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80" windowWidth="14865" windowHeight="7875" activeTab="0"/>
  </bookViews>
  <sheets>
    <sheet name="4.ZR " sheetId="1" r:id="rId1"/>
    <sheet name="List1" sheetId="2" r:id="rId2"/>
  </sheets>
  <definedNames>
    <definedName name="_xlnm.Print_Titles" localSheetId="0">'4.ZR '!$7:$8</definedName>
  </definedNames>
  <calcPr fullCalcOnLoad="1"/>
</workbook>
</file>

<file path=xl/sharedStrings.xml><?xml version="1.0" encoding="utf-8"?>
<sst xmlns="http://schemas.openxmlformats.org/spreadsheetml/2006/main" count="452" uniqueCount="278">
  <si>
    <t>daňové příjmy</t>
  </si>
  <si>
    <t>v tom: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</si>
  <si>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</si>
  <si>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</si>
  <si>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</si>
  <si>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</si>
  <si>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</si>
  <si>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</si>
  <si>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</si>
  <si>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</si>
  <si>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</si>
  <si>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</si>
  <si>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</si>
  <si>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</si>
  <si>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</si>
  <si>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</si>
  <si>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</si>
  <si>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</si>
  <si>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</si>
  <si>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</si>
  <si>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</si>
  <si>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</si>
  <si>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kap. 41 - rezerva a ost.výd.netýk.se odvětví</t>
  </si>
  <si>
    <t>Výdaje celkem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</si>
  <si>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</si>
  <si>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</si>
  <si>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</si>
  <si>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</si>
  <si>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</si>
  <si>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</si>
  <si>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</si>
  <si>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</si>
  <si>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</si>
  <si>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soutěže a přehlídky - SR</t>
  </si>
  <si>
    <t>běžné výdaje</t>
  </si>
  <si>
    <t>kapitálové výdaje</t>
  </si>
  <si>
    <t>dopravní územní obslužnost:</t>
  </si>
  <si>
    <t>sociální věci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</si>
  <si>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</si>
  <si>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</si>
  <si>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</si>
  <si>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</si>
  <si>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</si>
  <si>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v tom pro odvětví:</t>
  </si>
  <si>
    <t>doprava</t>
  </si>
  <si>
    <t>školství</t>
  </si>
  <si>
    <t>zdravotnictví</t>
  </si>
  <si>
    <t>nedaňové příjmy</t>
  </si>
  <si>
    <t>Financování</t>
  </si>
  <si>
    <t xml:space="preserve">  z MPSV</t>
  </si>
  <si>
    <t>pronájem a nákl.na detaš.pracoviště</t>
  </si>
  <si>
    <t xml:space="preserve">vodohosp.akce dle vodního zákona </t>
  </si>
  <si>
    <t>kofinancování</t>
  </si>
  <si>
    <t>kap. 13 - evropská integrace</t>
  </si>
  <si>
    <t xml:space="preserve">Rozpočet </t>
  </si>
  <si>
    <t>rozpočtu</t>
  </si>
  <si>
    <t>odvody PO</t>
  </si>
  <si>
    <t xml:space="preserve">platby za odebr. mn.podzemní vody 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</si>
  <si>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</si>
  <si>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</si>
  <si>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</si>
  <si>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v tom: </t>
  </si>
  <si>
    <t>kap. 12 - správa majetku kraje</t>
  </si>
  <si>
    <t xml:space="preserve">příjmy v rámci FV </t>
  </si>
  <si>
    <t>přijaté úroky</t>
  </si>
  <si>
    <t>vratka návratné finanční výpomoci</t>
  </si>
  <si>
    <t>program obnovy venkova</t>
  </si>
  <si>
    <t>cestovní ruch - kapitálové výdaje</t>
  </si>
  <si>
    <t>přijaté úvěry</t>
  </si>
  <si>
    <t xml:space="preserve">             kapitálové výdaje odvětví</t>
  </si>
  <si>
    <t xml:space="preserve">             kapitál.výdaje odvětví</t>
  </si>
  <si>
    <t>kap. 02 - životní prostředí a zemědělství</t>
  </si>
  <si>
    <t>kap. 50 - Fond rozvoje a reprodukce KHK</t>
  </si>
  <si>
    <t xml:space="preserve">   z toho: SÚS</t>
  </si>
  <si>
    <t xml:space="preserve">  z MMR</t>
  </si>
  <si>
    <t>kap. 39 - regionální rozvoj</t>
  </si>
  <si>
    <t xml:space="preserve">kap. 40 - územní plánování </t>
  </si>
  <si>
    <t xml:space="preserve">             běžné výdaje odvětví</t>
  </si>
  <si>
    <t xml:space="preserve">  z MPO</t>
  </si>
  <si>
    <t>kapitálové příjmy</t>
  </si>
  <si>
    <t xml:space="preserve">  odvětví školství</t>
  </si>
  <si>
    <t>preventivní programy - SR</t>
  </si>
  <si>
    <t>podpora romských žáků SŠ - SR</t>
  </si>
  <si>
    <t xml:space="preserve">kap. 11 - cestovní ruch </t>
  </si>
  <si>
    <t xml:space="preserve">             nerozděleno</t>
  </si>
  <si>
    <t xml:space="preserve">   v tom: kapitálové výdaje odvětví</t>
  </si>
  <si>
    <t xml:space="preserve">pozměňovací </t>
  </si>
  <si>
    <t>návrhy</t>
  </si>
  <si>
    <t xml:space="preserve">            nerozděleno</t>
  </si>
  <si>
    <t xml:space="preserve">  v tom: běžné výdaje odvětví</t>
  </si>
  <si>
    <t xml:space="preserve">správa majetku kraje </t>
  </si>
  <si>
    <t xml:space="preserve">  v tom: kapitálové výdaje odvětví</t>
  </si>
  <si>
    <t xml:space="preserve">činnost krajského úřadu </t>
  </si>
  <si>
    <t>nerozděleno na odvětví</t>
  </si>
  <si>
    <t xml:space="preserve">  ze zahraničí</t>
  </si>
  <si>
    <t>projekt PILOT 1 a PILOT Z - SR</t>
  </si>
  <si>
    <t>GS 1.1 podpora podnikání ve vybraných obl. - SR</t>
  </si>
  <si>
    <t>GS 4.2.2-Moder.a rozš.ubytovacích kapacit KHK-SR</t>
  </si>
  <si>
    <t>GS 3.2-Integr.obtíž.zaměst.skupin obyv.-SR</t>
  </si>
  <si>
    <t>GS 4.1.2-Medializace turistické nabídky - SR</t>
  </si>
  <si>
    <t xml:space="preserve">  odvětví zdravotnictví</t>
  </si>
  <si>
    <t xml:space="preserve">  z SFDI</t>
  </si>
  <si>
    <t>silnice II/319 RK-Rokytnice v OH - SR</t>
  </si>
  <si>
    <t>podp.výuky méně vyuč.cizích jazyků - SR</t>
  </si>
  <si>
    <t>zařízení pro děti vyžadující okamžitou pomoc - SR</t>
  </si>
  <si>
    <t>GRIP IT - SR</t>
  </si>
  <si>
    <t>splátka dodavatelského úvěru</t>
  </si>
  <si>
    <t>Schválený</t>
  </si>
  <si>
    <t>rozpočet</t>
  </si>
  <si>
    <t>1. změna</t>
  </si>
  <si>
    <t>po 1. změně</t>
  </si>
  <si>
    <t xml:space="preserve">  v tom pro odvětví: zastupitelstvo kraje</t>
  </si>
  <si>
    <t xml:space="preserve">                           životní prostředí a zemědělství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</si>
  <si>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</si>
  <si>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</si>
  <si>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</si>
  <si>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</si>
  <si>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</si>
  <si>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>prům.zóna Solnice-Kvasiny-ost.kapitál.výdaje-úvěr</t>
  </si>
  <si>
    <t xml:space="preserve">zastupitelstvo kraje </t>
  </si>
  <si>
    <t>neinvestiční přijaté transfery</t>
  </si>
  <si>
    <t xml:space="preserve">  neinv.transf.ze SR v rámci souhrn.dot.vztahu</t>
  </si>
  <si>
    <t>investiční přijaté transfery</t>
  </si>
  <si>
    <t>neinvestiční transfery a.s.</t>
  </si>
  <si>
    <t>neinvestiční transfery obcím</t>
  </si>
  <si>
    <t xml:space="preserve">   z toho: neinvestiční transfery obcím</t>
  </si>
  <si>
    <t xml:space="preserve">   z toho: investiční transfery obcím</t>
  </si>
  <si>
    <t>neinvestiční transfer s.r.o. OREDO</t>
  </si>
  <si>
    <t>investiční transfery PO</t>
  </si>
  <si>
    <t>neinv.transfer Regionální radě regionu soudržnosti SV</t>
  </si>
  <si>
    <t>GRIP IT - transfery ze zahraničí</t>
  </si>
  <si>
    <t>inv.transfer Regionální radě regionu soudržnosti SV</t>
  </si>
  <si>
    <t>investiční transfery obcím</t>
  </si>
  <si>
    <t xml:space="preserve">  v tom: PO - investiční transfery</t>
  </si>
  <si>
    <t xml:space="preserve">   v tom: PO - investiční transfery</t>
  </si>
  <si>
    <t xml:space="preserve">             investiční transfery a.s.</t>
  </si>
  <si>
    <t xml:space="preserve">             PO - investiční transfery</t>
  </si>
  <si>
    <t>zapojení výsledku hospodaření</t>
  </si>
  <si>
    <t>konsolidace výdajů - příděl do soc.fondu</t>
  </si>
  <si>
    <t>Výdaje celkem po konsolidaci</t>
  </si>
  <si>
    <t>zapojení zůstatku sociálního fondu z min. let</t>
  </si>
  <si>
    <t>kap. 20 - použití sociálního fondu - běž.výdaje</t>
  </si>
  <si>
    <t>splátky půjčených prostředků</t>
  </si>
  <si>
    <t>zabránění vzniku, rozvoje a šíření TBC - SR</t>
  </si>
  <si>
    <t>Technická pomoc - SR</t>
  </si>
  <si>
    <t>OP RLZ 2.1 - SR</t>
  </si>
  <si>
    <t>neinvestiční půjčené prostředky</t>
  </si>
  <si>
    <t>kap. 09 - volnočasové aktivity</t>
  </si>
  <si>
    <t>průmyslová zóna Solnice-Kvasiny-ost.kapitál.výd.-úvěr</t>
  </si>
  <si>
    <t>prům.zóna Solnice-Kvasiny-ostat.kap.výd.-úvěr</t>
  </si>
  <si>
    <t>2. změna</t>
  </si>
  <si>
    <t>po 2. změně</t>
  </si>
  <si>
    <t>NÁVRH NA ZMĚNU ROZPOČTU</t>
  </si>
  <si>
    <t>(v tis. Kč)</t>
  </si>
  <si>
    <t xml:space="preserve">  ze SÚJB</t>
  </si>
  <si>
    <t>neinvestiční transfery ze SR prostř.čerp.účtů</t>
  </si>
  <si>
    <t>investiční transfery ze SR prostř.čerp.účtů</t>
  </si>
  <si>
    <t>nedaňové příjmy odv.zdravotnictví</t>
  </si>
  <si>
    <t xml:space="preserve">  odvětví dopravy</t>
  </si>
  <si>
    <t>z toho:</t>
  </si>
  <si>
    <t>daň z příjmů právnických osob za kraje</t>
  </si>
  <si>
    <t>dotace ze SR poskytnutá prostř.čerp.účtů</t>
  </si>
  <si>
    <t>dot.ze SR poskytnuté prostř.čerpacích účtů</t>
  </si>
  <si>
    <t>vyhledávání budov se zvýš.výskytem radonu - SR</t>
  </si>
  <si>
    <t xml:space="preserve">            kapitálové výdaje odvětví</t>
  </si>
  <si>
    <t xml:space="preserve">                   - neinvestiční transfery</t>
  </si>
  <si>
    <t xml:space="preserve">  odvětví evropské integrace</t>
  </si>
  <si>
    <t xml:space="preserve">  odvětví sociálních věcí</t>
  </si>
  <si>
    <t xml:space="preserve">                  - neinvestiční transfery</t>
  </si>
  <si>
    <t xml:space="preserve">  z MK</t>
  </si>
  <si>
    <t>kulturní aktivity - SR</t>
  </si>
  <si>
    <t>projekty v rámci VISK - SR</t>
  </si>
  <si>
    <t>výdaje z finančního vypořádání</t>
  </si>
  <si>
    <t>3. změna</t>
  </si>
  <si>
    <t>po 3. změně</t>
  </si>
  <si>
    <t xml:space="preserve">  z MZ</t>
  </si>
  <si>
    <t xml:space="preserve">  z Úřadu vlády</t>
  </si>
  <si>
    <t xml:space="preserve">  odvětví kultury</t>
  </si>
  <si>
    <t>nedaňové příjmy odvětví soc.věcí</t>
  </si>
  <si>
    <t>volby do zastupitelstev obcí - SR</t>
  </si>
  <si>
    <t>výd.na krajs.koordinátora romských poradců - SR</t>
  </si>
  <si>
    <t>náhr.škod způs.zvl.chráněnými živočichy - SR</t>
  </si>
  <si>
    <t>likvidace nepoužitelných léčiv - SR</t>
  </si>
  <si>
    <t xml:space="preserve">investiční půjčené prostředky obcím   </t>
  </si>
  <si>
    <t>4. změna</t>
  </si>
  <si>
    <t>po 4. změně</t>
  </si>
  <si>
    <t>investiční transfery krajům</t>
  </si>
  <si>
    <t xml:space="preserve">  odvětví správy majetku kraje</t>
  </si>
  <si>
    <t>kompenzační pomůcky - SR</t>
  </si>
  <si>
    <t xml:space="preserve">             neinvestiční transfery a.s.</t>
  </si>
  <si>
    <t>nedaňové příjmy odvětví školství</t>
  </si>
  <si>
    <t xml:space="preserve">  z Národního fondu</t>
  </si>
  <si>
    <t xml:space="preserve">  ze SFDI</t>
  </si>
  <si>
    <t xml:space="preserve">  odvětví soc.</t>
  </si>
  <si>
    <t>komunikace v rámci průmyslové zóny - SR</t>
  </si>
  <si>
    <t>NA ROK 2008</t>
  </si>
  <si>
    <t xml:space="preserve">    v tom odvětví: školství</t>
  </si>
  <si>
    <t>pronájem služeb a prostor v RC NP</t>
  </si>
  <si>
    <t>zajištění správy majetku kraje</t>
  </si>
  <si>
    <t>OP RLZ 3.3 Rozv.kapacit dalšího profes.vzd.-SR r.2007</t>
  </si>
  <si>
    <t>neinv.dotace Centru evropského projektování a.s.</t>
  </si>
  <si>
    <t xml:space="preserve">  z toho: Centrum evropského projektování a.s.</t>
  </si>
  <si>
    <t>inv.dot.HZS KHK na výst.Centrál.pož.st.a stř.ZZS v HK</t>
  </si>
  <si>
    <t>OP RLZ 2.1 - z dotace SR z r.2007</t>
  </si>
  <si>
    <t xml:space="preserve">rezerva </t>
  </si>
  <si>
    <t>nedaňové příjmy odv.evropské integrace</t>
  </si>
  <si>
    <t xml:space="preserve">  ze zvl.účtu MF</t>
  </si>
  <si>
    <t>ESF - SR</t>
  </si>
  <si>
    <t>investiční transfery a. s.</t>
  </si>
  <si>
    <t>neinvestiční dotace obcím</t>
  </si>
  <si>
    <t>vklad pro založení a.s.</t>
  </si>
  <si>
    <t>komunikace v rámci průmyslové zóny - SR-z r.2007</t>
  </si>
  <si>
    <t>kofinancování a předfinancování</t>
  </si>
  <si>
    <t xml:space="preserve">             odvětví školství</t>
  </si>
  <si>
    <t>neinvestiční půjčené prostředky a.s.</t>
  </si>
  <si>
    <t>prům.zóna Solnice-Kvasiny-ost.běžné výdaje</t>
  </si>
  <si>
    <t>v tom: autobusová doprava</t>
  </si>
  <si>
    <t xml:space="preserve">          drážní doprava</t>
  </si>
  <si>
    <t>daň z příjmů právnických osob za kraj</t>
  </si>
  <si>
    <t xml:space="preserve">  z MV</t>
  </si>
  <si>
    <t>nedaňové příjmy odvětví kultury</t>
  </si>
  <si>
    <t>fin.asistentů pedagoga - SR</t>
  </si>
  <si>
    <t>výdaje jednotek sborů dobrovolných hasičů obcí-SR</t>
  </si>
  <si>
    <t xml:space="preserve">             školství</t>
  </si>
  <si>
    <t xml:space="preserve">             z toho neinvestiční transfery obcím</t>
  </si>
  <si>
    <t>vzdělávání dětí azylantů a cizinců - SR</t>
  </si>
  <si>
    <t xml:space="preserve">                           regionální rozvoj</t>
  </si>
  <si>
    <t>podpora EVVO ve školách - SR</t>
  </si>
  <si>
    <t>splátky půjčených prostředků od obcí</t>
  </si>
  <si>
    <t xml:space="preserve">ostatní kapitálové výdaje </t>
  </si>
  <si>
    <t xml:space="preserve">                        dopravy</t>
  </si>
  <si>
    <t>investiční transfery a.s.</t>
  </si>
  <si>
    <t>FM EHP/Norska - CZ-0037 z r.2007 - SR</t>
  </si>
  <si>
    <t>FM EHP/Norska - CZ-0037 - SR</t>
  </si>
  <si>
    <t>FM EHP/Norska - CZ-0037-sub-projekty - SR</t>
  </si>
  <si>
    <t>OP RLZ  5.1,5.2 Zabezp. fin.konečných.uživ.-SR</t>
  </si>
  <si>
    <t>zvýšení nenárokových složek platů pedagogů - SR</t>
  </si>
  <si>
    <t>zpřístupnění DVPP ZŠ 1.st. - SR</t>
  </si>
  <si>
    <t>podpora DVPP v regionech - SR</t>
  </si>
  <si>
    <t xml:space="preserve">OP RLZ 3.3 Zabezp. předfinanc.koneč. uživatelů-SR </t>
  </si>
  <si>
    <t>úhrada nákladů pro spec.odb.-inspekce soc.sl.-SR</t>
  </si>
  <si>
    <t>koncepce prev.kriminality na r.2009-2011 v KHK-SR</t>
  </si>
  <si>
    <t>protidrogová politika-kont.místo na malém městě-SR</t>
  </si>
  <si>
    <t>program prevence kriminality-prev.zadluženosti-SR</t>
  </si>
  <si>
    <t>nedaňové příjmy odvětví životního prostředí</t>
  </si>
  <si>
    <t>inv.dotace posk. prostř.čerp.ú. - SR</t>
  </si>
  <si>
    <t>inspekce posk.soc.služeb - SR</t>
  </si>
  <si>
    <t>projekt koncepce prevence kriminality - SR</t>
  </si>
  <si>
    <t xml:space="preserve">investiční půjčené prostředky   </t>
  </si>
  <si>
    <t xml:space="preserve">kofinancování a předfinancování </t>
  </si>
  <si>
    <t>kofinancování a předfinancování - inv.transf. PO</t>
  </si>
  <si>
    <t xml:space="preserve">příspěvky PO na provoz </t>
  </si>
  <si>
    <t>pr.z.Solnice-Kvasiny-i.transf.obcím (úvěr 14512,5tis.Kč)</t>
  </si>
  <si>
    <t>volby do zastupitelstev krajů - SR</t>
  </si>
  <si>
    <t>náhradní stravování žáků - SR</t>
  </si>
  <si>
    <t>nedaňové příjmy odvětví krajského úřadu</t>
  </si>
  <si>
    <t>přijaté půjčené prostř. (SFDI)</t>
  </si>
  <si>
    <t xml:space="preserve">  z RRRS SV</t>
  </si>
  <si>
    <t>ROP silnice a mosty-z půjčky SFDI</t>
  </si>
  <si>
    <t>GG 1.2-OPVK-Rovné příl.dětí,žáků se spec.vzd.potř.- SR</t>
  </si>
  <si>
    <t>GG 1.1-OPVK-Zvyš.kvality ve vzdělávání- SR</t>
  </si>
  <si>
    <t>GG 1.3-OPVK-Další vzd.prac.škol a škol.zař.- SR</t>
  </si>
  <si>
    <t>obnova silničního majetku - SFDI - SR</t>
  </si>
  <si>
    <t>majetkopráv.vypoř.pozemků - SFDI - SR</t>
  </si>
  <si>
    <t>refundace výdajů - výkupy pozemků - SR</t>
  </si>
  <si>
    <t xml:space="preserve">  z OSFA</t>
  </si>
  <si>
    <t>odstr.havarij.stavu čp.185 Karkulka, Pec p.Sněžkou-SR</t>
  </si>
  <si>
    <t>protiradonová opatření - SR</t>
  </si>
  <si>
    <t>OP LZZ Rozvoj dostup.a kvality soc.sl.v KHK - SR</t>
  </si>
  <si>
    <t>OP LZZ Služby sociální prevence v KHK - SR</t>
  </si>
  <si>
    <t>OP LZZ Vzd.posk.a zadavatelů soc.sl. KHK III. - SR</t>
  </si>
  <si>
    <t>nedaňové příjmy odvětví dopravy</t>
  </si>
  <si>
    <t>podpora čtenářství v ZŠ - SR</t>
  </si>
  <si>
    <t>podpora výuky cizích jazyků - SR</t>
  </si>
  <si>
    <t>obnova siničního majetku - SFDI - SR</t>
  </si>
  <si>
    <t>Příloha č. 1</t>
  </si>
  <si>
    <t>ROZPOČET KRÁLOVÉHRADECKÉHO KRAJE</t>
  </si>
  <si>
    <t>TP-OPVK-Vzd.pro konkurenceschopnost- SR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</si>
</sst>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>
        <color indexed="63"/>
      </left>
      <right/>
      <top style="medium"/>
      <bottom style="medium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3">
    <xf numFmtId="3" fontId="0" fillId="0" borderId="0" xfId="0" applyAlignment="1">
      <alignment/>
    </xf>
    <xf numFmtId="3" fontId="2" fillId="0" borderId="10" xfId="0" applyFont="1" applyBorder="1" applyAlignment="1">
      <alignment horizontal="left" vertical="center"/>
    </xf>
    <xf numFmtId="3" fontId="2" fillId="0" borderId="11" xfId="0" applyFont="1" applyBorder="1" applyAlignment="1">
      <alignment/>
    </xf>
    <xf numFmtId="3" fontId="4" fillId="0" borderId="11" xfId="0" applyFont="1" applyBorder="1" applyAlignment="1">
      <alignment/>
    </xf>
    <xf numFmtId="3" fontId="0" fillId="0" borderId="11" xfId="0" applyBorder="1" applyAlignment="1">
      <alignment/>
    </xf>
    <xf numFmtId="3" fontId="0" fillId="0" borderId="11" xfId="0" applyFont="1" applyBorder="1" applyAlignment="1">
      <alignment/>
    </xf>
    <xf numFmtId="3" fontId="5" fillId="0" borderId="11" xfId="0" applyFont="1" applyBorder="1" applyAlignment="1">
      <alignment/>
    </xf>
    <xf numFmtId="3" fontId="0" fillId="0" borderId="12" xfId="0" applyFont="1" applyBorder="1" applyAlignment="1">
      <alignment/>
    </xf>
    <xf numFmtId="3" fontId="3" fillId="0" borderId="0" xfId="0" applyFont="1" applyAlignment="1">
      <alignment horizontal="center" vertical="center"/>
    </xf>
    <xf numFmtId="3" fontId="4" fillId="0" borderId="11" xfId="0" applyFont="1" applyBorder="1" applyAlignment="1">
      <alignment/>
    </xf>
    <xf numFmtId="3" fontId="3" fillId="0" borderId="13" xfId="0" applyFont="1" applyBorder="1" applyAlignment="1">
      <alignment vertical="center"/>
    </xf>
    <xf numFmtId="3" fontId="2" fillId="0" borderId="11" xfId="0" applyFont="1" applyBorder="1" applyAlignment="1">
      <alignment/>
    </xf>
    <xf numFmtId="3" fontId="5" fillId="0" borderId="11" xfId="0" applyFont="1" applyBorder="1" applyAlignment="1">
      <alignment/>
    </xf>
    <xf numFmtId="165" fontId="0" fillId="0" borderId="0" xfId="0" applyNumberFormat="1" applyAlignment="1">
      <alignment horizontal="center" vertical="center"/>
    </xf>
    <xf numFmtId="165" fontId="2" fillId="0" borderId="10" xfId="38" applyNumberFormat="1" applyFont="1" applyBorder="1" applyAlignment="1">
      <alignment horizontal="center"/>
    </xf>
    <xf numFmtId="165" fontId="2" fillId="0" borderId="14" xfId="38" applyNumberFormat="1" applyFont="1" applyBorder="1" applyAlignment="1">
      <alignment horizontal="center"/>
    </xf>
    <xf numFmtId="165" fontId="2" fillId="0" borderId="11" xfId="38" applyNumberFormat="1" applyFont="1" applyBorder="1" applyAlignment="1">
      <alignment horizontal="center"/>
    </xf>
    <xf numFmtId="3" fontId="8" fillId="0" borderId="11" xfId="0" applyFont="1" applyBorder="1" applyAlignment="1">
      <alignment/>
    </xf>
    <xf numFmtId="3" fontId="2" fillId="0" borderId="11" xfId="0" applyFont="1" applyFill="1" applyBorder="1" applyAlignment="1">
      <alignment/>
    </xf>
    <xf numFmtId="3" fontId="0" fillId="0" borderId="14" xfId="0" applyFont="1" applyBorder="1" applyAlignment="1">
      <alignment/>
    </xf>
    <xf numFmtId="3" fontId="0" fillId="0" borderId="0" xfId="0" applyAlignment="1">
      <alignment horizontal="right"/>
    </xf>
    <xf numFmtId="3" fontId="0" fillId="0" borderId="14" xfId="0" applyBorder="1" applyAlignment="1">
      <alignment/>
    </xf>
    <xf numFmtId="3" fontId="8" fillId="0" borderId="14" xfId="0" applyFont="1" applyBorder="1" applyAlignment="1">
      <alignment/>
    </xf>
    <xf numFmtId="166" fontId="2" fillId="0" borderId="11" xfId="38" applyNumberFormat="1" applyFont="1" applyBorder="1" applyAlignment="1">
      <alignment/>
    </xf>
    <xf numFmtId="166" fontId="2" fillId="0" borderId="11" xfId="38" applyNumberFormat="1" applyFont="1" applyBorder="1" applyAlignment="1">
      <alignment/>
    </xf>
    <xf numFmtId="166" fontId="3" fillId="0" borderId="13" xfId="38" applyNumberFormat="1" applyFont="1" applyBorder="1" applyAlignment="1">
      <alignment vertical="center"/>
    </xf>
    <xf numFmtId="166" fontId="5" fillId="0" borderId="11" xfId="38" applyNumberFormat="1" applyFont="1" applyBorder="1" applyAlignment="1">
      <alignment/>
    </xf>
    <xf numFmtId="166" fontId="5" fillId="0" borderId="11" xfId="38" applyNumberFormat="1" applyFont="1" applyBorder="1" applyAlignment="1">
      <alignment/>
    </xf>
    <xf numFmtId="166" fontId="2" fillId="0" borderId="15" xfId="38" applyNumberFormat="1" applyFont="1" applyBorder="1" applyAlignment="1">
      <alignment/>
    </xf>
    <xf numFmtId="166" fontId="6" fillId="0" borderId="16" xfId="38" applyNumberFormat="1" applyFont="1" applyBorder="1" applyAlignment="1">
      <alignment vertical="center"/>
    </xf>
    <xf numFmtId="166" fontId="6" fillId="0" borderId="17" xfId="38" applyNumberFormat="1" applyFont="1" applyBorder="1" applyAlignment="1">
      <alignment vertical="center"/>
    </xf>
    <xf numFmtId="166" fontId="2" fillId="0" borderId="16" xfId="38" applyNumberFormat="1" applyFont="1" applyBorder="1" applyAlignment="1">
      <alignment vertical="center"/>
    </xf>
    <xf numFmtId="166" fontId="2" fillId="0" borderId="17" xfId="38" applyNumberFormat="1" applyFont="1" applyBorder="1" applyAlignment="1">
      <alignment vertical="center"/>
    </xf>
    <xf numFmtId="166" fontId="3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6" fillId="0" borderId="18" xfId="38" applyNumberFormat="1" applyFont="1" applyBorder="1" applyAlignment="1">
      <alignment vertical="center"/>
    </xf>
    <xf numFmtId="166" fontId="6" fillId="0" borderId="19" xfId="38" applyNumberFormat="1" applyFont="1" applyBorder="1" applyAlignment="1">
      <alignment vertical="center"/>
    </xf>
    <xf numFmtId="166" fontId="6" fillId="0" borderId="11" xfId="38" applyNumberFormat="1" applyFont="1" applyBorder="1" applyAlignment="1">
      <alignment vertical="center"/>
    </xf>
    <xf numFmtId="166" fontId="6" fillId="0" borderId="20" xfId="38" applyNumberFormat="1" applyFont="1" applyBorder="1" applyAlignment="1">
      <alignment vertical="center"/>
    </xf>
    <xf numFmtId="166" fontId="3" fillId="0" borderId="18" xfId="38" applyNumberFormat="1" applyFont="1" applyBorder="1" applyAlignment="1">
      <alignment vertical="center"/>
    </xf>
    <xf numFmtId="166" fontId="3" fillId="0" borderId="19" xfId="38" applyNumberFormat="1" applyFont="1" applyBorder="1" applyAlignment="1">
      <alignment vertical="center"/>
    </xf>
    <xf numFmtId="166" fontId="3" fillId="0" borderId="11" xfId="38" applyNumberFormat="1" applyFont="1" applyBorder="1" applyAlignment="1">
      <alignment vertical="center"/>
    </xf>
    <xf numFmtId="166" fontId="7" fillId="0" borderId="21" xfId="38" applyNumberFormat="1" applyFont="1" applyBorder="1" applyAlignment="1">
      <alignment vertical="center"/>
    </xf>
    <xf numFmtId="166" fontId="7" fillId="0" borderId="11" xfId="38" applyNumberFormat="1" applyFont="1" applyBorder="1" applyAlignment="1">
      <alignment vertical="center"/>
    </xf>
    <xf numFmtId="166" fontId="7" fillId="0" borderId="13" xfId="38" applyNumberFormat="1" applyFont="1" applyBorder="1" applyAlignment="1">
      <alignment vertical="center"/>
    </xf>
    <xf numFmtId="166" fontId="7" fillId="0" borderId="22" xfId="38" applyNumberFormat="1" applyFont="1" applyBorder="1" applyAlignment="1">
      <alignment vertical="center"/>
    </xf>
    <xf numFmtId="166" fontId="0" fillId="0" borderId="14" xfId="38" applyNumberFormat="1" applyFont="1" applyBorder="1" applyAlignment="1">
      <alignment/>
    </xf>
    <xf numFmtId="166" fontId="6" fillId="0" borderId="13" xfId="38" applyNumberFormat="1" applyFont="1" applyBorder="1" applyAlignment="1">
      <alignment vertical="center"/>
    </xf>
    <xf numFmtId="166" fontId="6" fillId="0" borderId="23" xfId="38" applyNumberFormat="1" applyFont="1" applyBorder="1" applyAlignment="1">
      <alignment vertical="center"/>
    </xf>
    <xf numFmtId="166" fontId="8" fillId="0" borderId="11" xfId="38" applyNumberFormat="1" applyFont="1" applyBorder="1" applyAlignment="1">
      <alignment/>
    </xf>
    <xf numFmtId="166" fontId="6" fillId="0" borderId="24" xfId="38" applyNumberFormat="1" applyFont="1" applyBorder="1" applyAlignment="1">
      <alignment vertical="center"/>
    </xf>
    <xf numFmtId="166" fontId="6" fillId="0" borderId="15" xfId="38" applyNumberFormat="1" applyFont="1" applyBorder="1" applyAlignment="1">
      <alignment vertical="center"/>
    </xf>
    <xf numFmtId="166" fontId="6" fillId="0" borderId="25" xfId="38" applyNumberFormat="1" applyFont="1" applyBorder="1" applyAlignment="1">
      <alignment vertical="center"/>
    </xf>
    <xf numFmtId="166" fontId="2" fillId="0" borderId="25" xfId="38" applyNumberFormat="1" applyFont="1" applyBorder="1" applyAlignment="1">
      <alignment vertical="center"/>
    </xf>
    <xf numFmtId="166" fontId="3" fillId="0" borderId="25" xfId="38" applyNumberFormat="1" applyFont="1" applyBorder="1" applyAlignment="1">
      <alignment vertical="center"/>
    </xf>
    <xf numFmtId="166" fontId="3" fillId="0" borderId="24" xfId="38" applyNumberFormat="1" applyFont="1" applyBorder="1" applyAlignment="1">
      <alignment vertical="center"/>
    </xf>
    <xf numFmtId="166" fontId="3" fillId="0" borderId="15" xfId="38" applyNumberFormat="1" applyFont="1" applyBorder="1" applyAlignment="1">
      <alignment vertical="center"/>
    </xf>
    <xf numFmtId="166" fontId="7" fillId="0" borderId="15" xfId="38" applyNumberFormat="1" applyFont="1" applyBorder="1" applyAlignment="1">
      <alignment vertical="center"/>
    </xf>
    <xf numFmtId="166" fontId="7" fillId="0" borderId="26" xfId="38" applyNumberFormat="1" applyFont="1" applyBorder="1" applyAlignment="1">
      <alignment vertical="center"/>
    </xf>
    <xf numFmtId="165" fontId="0" fillId="0" borderId="0" xfId="38" applyNumberFormat="1" applyFont="1" applyAlignment="1">
      <alignment/>
    </xf>
    <xf numFmtId="3" fontId="0" fillId="0" borderId="11" xfId="0" applyFont="1" applyBorder="1" applyAlignment="1">
      <alignment/>
    </xf>
    <xf numFmtId="166" fontId="0" fillId="0" borderId="11" xfId="38" applyNumberFormat="1" applyFont="1" applyBorder="1" applyAlignment="1">
      <alignment/>
    </xf>
    <xf numFmtId="166" fontId="0" fillId="0" borderId="11" xfId="38" applyNumberFormat="1" applyFont="1" applyFill="1" applyBorder="1" applyAlignment="1">
      <alignment/>
    </xf>
    <xf numFmtId="166" fontId="0" fillId="0" borderId="14" xfId="38" applyNumberFormat="1" applyFont="1" applyBorder="1" applyAlignment="1">
      <alignment/>
    </xf>
    <xf numFmtId="166" fontId="0" fillId="0" borderId="12" xfId="38" applyNumberFormat="1" applyFont="1" applyBorder="1" applyAlignment="1">
      <alignment/>
    </xf>
    <xf numFmtId="3" fontId="0" fillId="0" borderId="14" xfId="0" applyFont="1" applyBorder="1" applyAlignment="1">
      <alignment/>
    </xf>
    <xf numFmtId="166" fontId="0" fillId="0" borderId="27" xfId="38" applyNumberFormat="1" applyFont="1" applyBorder="1" applyAlignment="1">
      <alignment/>
    </xf>
    <xf numFmtId="3" fontId="0" fillId="0" borderId="11" xfId="0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6" fillId="0" borderId="28" xfId="38" applyNumberFormat="1" applyFont="1" applyBorder="1" applyAlignment="1">
      <alignment vertical="center"/>
    </xf>
    <xf numFmtId="166" fontId="2" fillId="0" borderId="28" xfId="38" applyNumberFormat="1" applyFont="1" applyBorder="1" applyAlignment="1">
      <alignment vertical="center"/>
    </xf>
    <xf numFmtId="166" fontId="3" fillId="0" borderId="28" xfId="38" applyNumberFormat="1" applyFont="1" applyBorder="1" applyAlignment="1">
      <alignment vertical="center"/>
    </xf>
    <xf numFmtId="166" fontId="6" fillId="0" borderId="29" xfId="38" applyNumberFormat="1" applyFont="1" applyBorder="1" applyAlignment="1">
      <alignment vertical="center"/>
    </xf>
    <xf numFmtId="166" fontId="7" fillId="0" borderId="0" xfId="38" applyNumberFormat="1" applyFont="1" applyBorder="1" applyAlignment="1">
      <alignment vertical="center"/>
    </xf>
    <xf numFmtId="166" fontId="7" fillId="0" borderId="30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3" fontId="0" fillId="0" borderId="0" xfId="0" applyFill="1" applyAlignment="1">
      <alignment/>
    </xf>
    <xf numFmtId="3" fontId="2" fillId="0" borderId="31" xfId="0" applyFont="1" applyBorder="1" applyAlignment="1">
      <alignment/>
    </xf>
    <xf numFmtId="166" fontId="2" fillId="0" borderId="31" xfId="38" applyNumberFormat="1" applyFont="1" applyBorder="1" applyAlignment="1">
      <alignment/>
    </xf>
    <xf numFmtId="166" fontId="6" fillId="0" borderId="12" xfId="38" applyNumberFormat="1" applyFont="1" applyBorder="1" applyAlignment="1">
      <alignment vertical="center"/>
    </xf>
    <xf numFmtId="166" fontId="3" fillId="0" borderId="29" xfId="38" applyNumberFormat="1" applyFont="1" applyBorder="1" applyAlignment="1">
      <alignment vertical="center"/>
    </xf>
    <xf numFmtId="166" fontId="6" fillId="0" borderId="32" xfId="38" applyNumberFormat="1" applyFont="1" applyBorder="1" applyAlignment="1">
      <alignment vertical="center"/>
    </xf>
    <xf numFmtId="166" fontId="3" fillId="0" borderId="12" xfId="38" applyNumberFormat="1" applyFont="1" applyBorder="1" applyAlignment="1">
      <alignment vertical="center"/>
    </xf>
    <xf numFmtId="166" fontId="7" fillId="0" borderId="12" xfId="38" applyNumberFormat="1" applyFont="1" applyBorder="1" applyAlignment="1">
      <alignment vertical="center"/>
    </xf>
    <xf numFmtId="166" fontId="7" fillId="0" borderId="32" xfId="38" applyNumberFormat="1" applyFont="1" applyBorder="1" applyAlignment="1">
      <alignment vertical="center"/>
    </xf>
    <xf numFmtId="166" fontId="6" fillId="0" borderId="33" xfId="38" applyNumberFormat="1" applyFont="1" applyBorder="1" applyAlignment="1">
      <alignment vertical="center"/>
    </xf>
    <xf numFmtId="166" fontId="2" fillId="0" borderId="33" xfId="38" applyNumberFormat="1" applyFont="1" applyBorder="1" applyAlignment="1">
      <alignment vertical="center"/>
    </xf>
    <xf numFmtId="166" fontId="3" fillId="0" borderId="33" xfId="38" applyNumberFormat="1" applyFont="1" applyBorder="1" applyAlignment="1">
      <alignment vertical="center"/>
    </xf>
    <xf numFmtId="3" fontId="6" fillId="0" borderId="16" xfId="0" applyFont="1" applyBorder="1" applyAlignment="1">
      <alignment vertical="center"/>
    </xf>
    <xf numFmtId="3" fontId="2" fillId="0" borderId="16" xfId="0" applyFont="1" applyBorder="1" applyAlignment="1">
      <alignment vertical="center"/>
    </xf>
    <xf numFmtId="3" fontId="3" fillId="0" borderId="16" xfId="0" applyFont="1" applyBorder="1" applyAlignment="1">
      <alignment vertical="center"/>
    </xf>
    <xf numFmtId="3" fontId="3" fillId="0" borderId="18" xfId="0" applyFont="1" applyBorder="1" applyAlignment="1">
      <alignment vertical="center"/>
    </xf>
    <xf numFmtId="3" fontId="3" fillId="0" borderId="11" xfId="0" applyFont="1" applyBorder="1" applyAlignment="1">
      <alignment vertical="center"/>
    </xf>
    <xf numFmtId="3" fontId="0" fillId="0" borderId="11" xfId="0" applyFont="1" applyBorder="1" applyAlignment="1">
      <alignment vertical="center"/>
    </xf>
    <xf numFmtId="3" fontId="0" fillId="0" borderId="11" xfId="0" applyBorder="1" applyAlignment="1">
      <alignment vertical="center"/>
    </xf>
    <xf numFmtId="3" fontId="0" fillId="0" borderId="13" xfId="0" applyFont="1" applyBorder="1" applyAlignment="1">
      <alignment vertical="center"/>
    </xf>
    <xf numFmtId="167" fontId="0" fillId="0" borderId="0" xfId="0" applyNumberFormat="1" applyFill="1" applyAlignment="1">
      <alignment/>
    </xf>
    <xf numFmtId="3" fontId="3" fillId="0" borderId="0" xfId="0" applyFont="1" applyAlignment="1">
      <alignment horizontal="center"/>
    </xf>
    <xf numFmtId="164" fontId="3" fillId="0" borderId="0" xfId="38" applyFont="1" applyAlignment="1">
      <alignment horizontal="center"/>
    </xf>
    <xf numFmtId="3" fontId="6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2" fillId="0" borderId="10" xfId="0" applyFont="1" applyBorder="1" applyAlignment="1">
      <alignment horizontal="center" vertical="center"/>
    </xf>
    <xf numFmtId="3" fontId="0" fillId="0" borderId="14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8"/>
  <sheetViews>
    <sheetView tabSelected="1" zoomScalePageLayoutView="0" workbookViewId="0" topLeftCell="A1">
      <pane xSplit="1" ySplit="8" topLeftCell="B18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293" sqref="K293"/>
    </sheetView>
  </sheetViews>
  <sheetFormatPr defaultColWidth="9.00390625" defaultRowHeight="12.75"/>
  <cols>
    <col min="1" max="1" width="43.75390625" style="0" customWidth="1"/>
    <col min="2" max="2" width="13.875" style="0" customWidth="1"/>
    <col min="3" max="3" width="9.125" style="0" hidden="1" customWidth="1"/>
    <col min="4" max="4" width="12.00390625" style="0" hidden="1" customWidth="1"/>
    <col min="5" max="5" width="12.125" style="0" hidden="1" customWidth="1"/>
    <col min="6" max="6" width="11.625" style="0" hidden="1" customWidth="1"/>
    <col min="7" max="7" width="13.25390625" style="0" hidden="1" customWidth="1"/>
    <col min="8" max="9" width="13.625" style="0" hidden="1" customWidth="1"/>
    <col min="10" max="10" width="13.75390625" style="0" hidden="1" customWidth="1"/>
    <col min="11" max="12" width="13.875" style="0" customWidth="1"/>
    <col min="13" max="13" width="13.875" style="0" hidden="1" customWidth="1"/>
    <col min="14" max="14" width="13.875" style="0" customWidth="1"/>
  </cols>
  <sheetData>
    <row r="1" spans="2:14" ht="12.75">
      <c r="B1" s="59"/>
      <c r="C1" s="59"/>
      <c r="D1" s="59"/>
      <c r="E1" s="20"/>
      <c r="N1" t="s">
        <v>275</v>
      </c>
    </row>
    <row r="2" spans="1:14" ht="15.75">
      <c r="A2" s="97" t="s">
        <v>276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5.75">
      <c r="A3" s="98" t="s">
        <v>195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5">
      <c r="A4" s="99" t="s">
        <v>152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2.75">
      <c r="A5" s="100" t="s">
        <v>153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5" ht="15.75">
      <c r="A6" s="8"/>
      <c r="B6" s="13"/>
      <c r="C6" s="13"/>
      <c r="D6" s="13"/>
      <c r="E6" s="13"/>
      <c r="K6" s="76"/>
      <c r="L6" s="76"/>
      <c r="M6" s="76"/>
      <c r="N6" s="76"/>
      <c r="O6" s="76"/>
    </row>
    <row r="7" spans="1:14" ht="12.75">
      <c r="A7" s="101" t="s">
        <v>3</v>
      </c>
      <c r="B7" s="14" t="s">
        <v>107</v>
      </c>
      <c r="C7" s="14" t="s">
        <v>109</v>
      </c>
      <c r="D7" s="14" t="s">
        <v>86</v>
      </c>
      <c r="E7" s="14" t="s">
        <v>54</v>
      </c>
      <c r="F7" s="14" t="s">
        <v>150</v>
      </c>
      <c r="G7" s="14" t="s">
        <v>86</v>
      </c>
      <c r="H7" s="14" t="s">
        <v>54</v>
      </c>
      <c r="I7" s="14" t="s">
        <v>173</v>
      </c>
      <c r="J7" s="14" t="s">
        <v>86</v>
      </c>
      <c r="K7" s="14" t="s">
        <v>54</v>
      </c>
      <c r="L7" s="14" t="s">
        <v>184</v>
      </c>
      <c r="M7" s="14" t="s">
        <v>86</v>
      </c>
      <c r="N7" s="14" t="s">
        <v>54</v>
      </c>
    </row>
    <row r="8" spans="1:14" ht="12.75">
      <c r="A8" s="102"/>
      <c r="B8" s="15" t="s">
        <v>108</v>
      </c>
      <c r="C8" s="15" t="s">
        <v>55</v>
      </c>
      <c r="D8" s="15" t="s">
        <v>87</v>
      </c>
      <c r="E8" s="15" t="s">
        <v>110</v>
      </c>
      <c r="F8" s="15" t="s">
        <v>55</v>
      </c>
      <c r="G8" s="15" t="s">
        <v>87</v>
      </c>
      <c r="H8" s="15" t="s">
        <v>151</v>
      </c>
      <c r="I8" s="15" t="s">
        <v>55</v>
      </c>
      <c r="J8" s="15" t="s">
        <v>87</v>
      </c>
      <c r="K8" s="15" t="s">
        <v>174</v>
      </c>
      <c r="L8" s="15" t="s">
        <v>55</v>
      </c>
      <c r="M8" s="15" t="s">
        <v>87</v>
      </c>
      <c r="N8" s="15" t="s">
        <v>185</v>
      </c>
    </row>
    <row r="9" spans="1:14" ht="12.75">
      <c r="A9" s="1" t="s">
        <v>4</v>
      </c>
      <c r="B9" s="14"/>
      <c r="C9" s="16"/>
      <c r="D9" s="16"/>
      <c r="E9" s="14"/>
      <c r="F9" s="16"/>
      <c r="G9" s="16"/>
      <c r="H9" s="14"/>
      <c r="I9" s="16"/>
      <c r="J9" s="16"/>
      <c r="K9" s="14"/>
      <c r="L9" s="16"/>
      <c r="M9" s="16"/>
      <c r="N9" s="14"/>
    </row>
    <row r="10" spans="1:14" ht="12.75">
      <c r="A10" s="2" t="s">
        <v>0</v>
      </c>
      <c r="B10" s="23">
        <v>2865000</v>
      </c>
      <c r="C10" s="23">
        <v>10000</v>
      </c>
      <c r="D10" s="23">
        <v>90000</v>
      </c>
      <c r="E10" s="23">
        <f>B10+C10+D10</f>
        <v>2965000</v>
      </c>
      <c r="F10" s="23">
        <f>F12</f>
        <v>24363.2</v>
      </c>
      <c r="G10" s="23"/>
      <c r="H10" s="23">
        <f>E10+F10+G10</f>
        <v>2989363.2</v>
      </c>
      <c r="I10" s="23">
        <v>80900</v>
      </c>
      <c r="J10" s="23"/>
      <c r="K10" s="23">
        <f>H10+I10+J10</f>
        <v>3070263.2</v>
      </c>
      <c r="L10" s="23">
        <v>12000</v>
      </c>
      <c r="M10" s="23"/>
      <c r="N10" s="23">
        <f>K10+L10+M10</f>
        <v>3082263.2</v>
      </c>
    </row>
    <row r="11" spans="1:14" ht="12.75">
      <c r="A11" s="9" t="s">
        <v>159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2.75">
      <c r="A12" s="60" t="s">
        <v>160</v>
      </c>
      <c r="B12" s="23"/>
      <c r="C12" s="23"/>
      <c r="D12" s="23"/>
      <c r="E12" s="23"/>
      <c r="F12" s="61">
        <v>24363.2</v>
      </c>
      <c r="G12" s="23"/>
      <c r="H12" s="61">
        <f>E12+F12+G12</f>
        <v>24363.2</v>
      </c>
      <c r="I12" s="61"/>
      <c r="J12" s="23"/>
      <c r="K12" s="61">
        <f>H12+I12+J12</f>
        <v>24363.2</v>
      </c>
      <c r="L12" s="61"/>
      <c r="M12" s="23"/>
      <c r="N12" s="61">
        <f>K12+L12+M12</f>
        <v>24363.2</v>
      </c>
    </row>
    <row r="13" spans="1:14" ht="12.75">
      <c r="A13" s="2" t="s">
        <v>47</v>
      </c>
      <c r="B13" s="23">
        <f>SUM(B15:B28)</f>
        <v>139525</v>
      </c>
      <c r="C13" s="23">
        <f>SUM(C15:C28)</f>
        <v>120.5</v>
      </c>
      <c r="D13" s="23">
        <f>SUM(D15:D28)</f>
        <v>51445.9</v>
      </c>
      <c r="E13" s="23">
        <f>B13+C13+D13</f>
        <v>191091.4</v>
      </c>
      <c r="F13" s="23">
        <f>SUM(F15:F28)</f>
        <v>8012.1</v>
      </c>
      <c r="G13" s="23">
        <f>SUM(G15:G28)</f>
        <v>45790.9</v>
      </c>
      <c r="H13" s="23">
        <f>E13+F13+G13</f>
        <v>244894.4</v>
      </c>
      <c r="I13" s="23">
        <f aca="true" t="shared" si="0" ref="I13:N13">SUM(I15:I28)</f>
        <v>64.6</v>
      </c>
      <c r="J13" s="23">
        <f t="shared" si="0"/>
        <v>18749.5</v>
      </c>
      <c r="K13" s="23">
        <f t="shared" si="0"/>
        <v>263708.5</v>
      </c>
      <c r="L13" s="23">
        <f t="shared" si="0"/>
        <v>11223</v>
      </c>
      <c r="M13" s="23">
        <f t="shared" si="0"/>
        <v>0</v>
      </c>
      <c r="N13" s="23">
        <f t="shared" si="0"/>
        <v>274931.5</v>
      </c>
    </row>
    <row r="14" spans="1:14" ht="12.75">
      <c r="A14" s="9" t="s">
        <v>61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2.75">
      <c r="A15" s="60" t="s">
        <v>64</v>
      </c>
      <c r="B15" s="61">
        <v>15000</v>
      </c>
      <c r="C15" s="61"/>
      <c r="D15" s="61"/>
      <c r="E15" s="61">
        <f>B15+C15+D15</f>
        <v>15000</v>
      </c>
      <c r="F15" s="61"/>
      <c r="G15" s="61"/>
      <c r="H15" s="61">
        <f aca="true" t="shared" si="1" ref="H15:H34">E15+F15+G15</f>
        <v>15000</v>
      </c>
      <c r="I15" s="61"/>
      <c r="J15" s="61"/>
      <c r="K15" s="61">
        <f aca="true" t="shared" si="2" ref="K15:K33">H15+I15+J15</f>
        <v>15000</v>
      </c>
      <c r="L15" s="61">
        <v>10000</v>
      </c>
      <c r="M15" s="61"/>
      <c r="N15" s="61">
        <f>K15+L15+M15</f>
        <v>25000</v>
      </c>
    </row>
    <row r="16" spans="1:14" ht="12.75">
      <c r="A16" s="60" t="s">
        <v>142</v>
      </c>
      <c r="B16" s="61"/>
      <c r="C16" s="61"/>
      <c r="D16" s="61">
        <v>50000</v>
      </c>
      <c r="E16" s="61">
        <f>B16+C16+D16</f>
        <v>50000</v>
      </c>
      <c r="F16" s="61">
        <v>1000</v>
      </c>
      <c r="G16" s="61"/>
      <c r="H16" s="61">
        <f t="shared" si="1"/>
        <v>51000</v>
      </c>
      <c r="I16" s="61"/>
      <c r="J16" s="61"/>
      <c r="K16" s="61">
        <f t="shared" si="2"/>
        <v>51000</v>
      </c>
      <c r="L16" s="61">
        <f>650+375</f>
        <v>1025</v>
      </c>
      <c r="M16" s="61"/>
      <c r="N16" s="61">
        <f aca="true" t="shared" si="3" ref="N16:N33">K16+L16+M16</f>
        <v>52025</v>
      </c>
    </row>
    <row r="17" spans="1:14" ht="12.75">
      <c r="A17" s="60" t="s">
        <v>228</v>
      </c>
      <c r="B17" s="61"/>
      <c r="C17" s="61"/>
      <c r="D17" s="61"/>
      <c r="E17" s="61"/>
      <c r="F17" s="61">
        <v>5000</v>
      </c>
      <c r="G17" s="61"/>
      <c r="H17" s="61">
        <f t="shared" si="1"/>
        <v>5000</v>
      </c>
      <c r="I17" s="61"/>
      <c r="J17" s="61"/>
      <c r="K17" s="61">
        <f t="shared" si="2"/>
        <v>5000</v>
      </c>
      <c r="L17" s="61">
        <v>-5000</v>
      </c>
      <c r="M17" s="61"/>
      <c r="N17" s="61">
        <f t="shared" si="3"/>
        <v>0</v>
      </c>
    </row>
    <row r="18" spans="1:14" ht="12.75">
      <c r="A18" s="60" t="s">
        <v>65</v>
      </c>
      <c r="B18" s="61">
        <v>1245</v>
      </c>
      <c r="C18" s="61"/>
      <c r="D18" s="61"/>
      <c r="E18" s="61">
        <f aca="true" t="shared" si="4" ref="E18:E34">B18+C18+D18</f>
        <v>1245</v>
      </c>
      <c r="F18" s="61"/>
      <c r="G18" s="61"/>
      <c r="H18" s="61">
        <f t="shared" si="1"/>
        <v>1245</v>
      </c>
      <c r="I18" s="61"/>
      <c r="J18" s="61"/>
      <c r="K18" s="61">
        <f t="shared" si="2"/>
        <v>1245</v>
      </c>
      <c r="L18" s="61"/>
      <c r="M18" s="61"/>
      <c r="N18" s="61">
        <f t="shared" si="3"/>
        <v>1245</v>
      </c>
    </row>
    <row r="19" spans="1:14" ht="12.75">
      <c r="A19" s="60" t="s">
        <v>57</v>
      </c>
      <c r="B19" s="61">
        <v>45000</v>
      </c>
      <c r="C19" s="61"/>
      <c r="D19" s="61"/>
      <c r="E19" s="61">
        <f t="shared" si="4"/>
        <v>45000</v>
      </c>
      <c r="F19" s="61"/>
      <c r="G19" s="61"/>
      <c r="H19" s="61">
        <f t="shared" si="1"/>
        <v>45000</v>
      </c>
      <c r="I19" s="61"/>
      <c r="J19" s="61"/>
      <c r="K19" s="61">
        <f t="shared" si="2"/>
        <v>45000</v>
      </c>
      <c r="L19" s="61"/>
      <c r="M19" s="61"/>
      <c r="N19" s="61">
        <f t="shared" si="3"/>
        <v>45000</v>
      </c>
    </row>
    <row r="20" spans="1:14" ht="12.75">
      <c r="A20" s="4" t="s">
        <v>271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>
        <v>89.8</v>
      </c>
      <c r="M20" s="61"/>
      <c r="N20" s="61">
        <f t="shared" si="3"/>
        <v>89.8</v>
      </c>
    </row>
    <row r="21" spans="1:14" ht="12.75">
      <c r="A21" s="60" t="s">
        <v>190</v>
      </c>
      <c r="B21" s="61"/>
      <c r="C21" s="61"/>
      <c r="D21" s="61">
        <v>103</v>
      </c>
      <c r="E21" s="61">
        <f t="shared" si="4"/>
        <v>103</v>
      </c>
      <c r="F21" s="61"/>
      <c r="G21" s="61"/>
      <c r="H21" s="61">
        <f t="shared" si="1"/>
        <v>103</v>
      </c>
      <c r="I21" s="61"/>
      <c r="J21" s="61">
        <v>30.6</v>
      </c>
      <c r="K21" s="61">
        <f t="shared" si="2"/>
        <v>133.6</v>
      </c>
      <c r="L21" s="61"/>
      <c r="M21" s="61"/>
      <c r="N21" s="61">
        <f t="shared" si="3"/>
        <v>133.6</v>
      </c>
    </row>
    <row r="22" spans="1:14" ht="12.75">
      <c r="A22" s="60" t="s">
        <v>205</v>
      </c>
      <c r="B22" s="61"/>
      <c r="C22" s="61">
        <v>120.5</v>
      </c>
      <c r="D22" s="61"/>
      <c r="E22" s="61">
        <f t="shared" si="4"/>
        <v>120.5</v>
      </c>
      <c r="F22" s="61"/>
      <c r="G22" s="61"/>
      <c r="H22" s="61">
        <f t="shared" si="1"/>
        <v>120.5</v>
      </c>
      <c r="I22" s="61">
        <v>19.6</v>
      </c>
      <c r="J22" s="61"/>
      <c r="K22" s="61">
        <f t="shared" si="2"/>
        <v>140.1</v>
      </c>
      <c r="L22" s="61"/>
      <c r="M22" s="61"/>
      <c r="N22" s="61">
        <f t="shared" si="3"/>
        <v>140.1</v>
      </c>
    </row>
    <row r="23" spans="1:14" ht="12.75">
      <c r="A23" s="60" t="s">
        <v>157</v>
      </c>
      <c r="B23" s="61"/>
      <c r="C23" s="61"/>
      <c r="D23" s="61"/>
      <c r="E23" s="61">
        <f t="shared" si="4"/>
        <v>0</v>
      </c>
      <c r="F23" s="61">
        <v>3821.5</v>
      </c>
      <c r="G23" s="61"/>
      <c r="H23" s="61">
        <f t="shared" si="1"/>
        <v>3821.5</v>
      </c>
      <c r="I23" s="61"/>
      <c r="J23" s="61">
        <v>16037.7</v>
      </c>
      <c r="K23" s="61">
        <f t="shared" si="2"/>
        <v>19859.2</v>
      </c>
      <c r="L23" s="61">
        <v>1599.7</v>
      </c>
      <c r="M23" s="61"/>
      <c r="N23" s="61">
        <f t="shared" si="3"/>
        <v>21458.9</v>
      </c>
    </row>
    <row r="24" spans="1:14" ht="12.75">
      <c r="A24" s="60" t="s">
        <v>220</v>
      </c>
      <c r="B24" s="61"/>
      <c r="C24" s="61"/>
      <c r="D24" s="61"/>
      <c r="E24" s="61">
        <f t="shared" si="4"/>
        <v>0</v>
      </c>
      <c r="F24" s="61">
        <v>10.6</v>
      </c>
      <c r="G24" s="61"/>
      <c r="H24" s="61">
        <f t="shared" si="1"/>
        <v>10.6</v>
      </c>
      <c r="I24" s="61"/>
      <c r="J24" s="61"/>
      <c r="K24" s="61">
        <f t="shared" si="2"/>
        <v>10.6</v>
      </c>
      <c r="L24" s="61"/>
      <c r="M24" s="61"/>
      <c r="N24" s="61">
        <f t="shared" si="3"/>
        <v>10.6</v>
      </c>
    </row>
    <row r="25" spans="1:14" ht="12.75">
      <c r="A25" s="4" t="s">
        <v>255</v>
      </c>
      <c r="B25" s="61"/>
      <c r="C25" s="61"/>
      <c r="D25" s="61"/>
      <c r="E25" s="61"/>
      <c r="F25" s="61"/>
      <c r="G25" s="61"/>
      <c r="H25" s="61"/>
      <c r="I25" s="61"/>
      <c r="J25" s="61"/>
      <c r="K25" s="61">
        <f t="shared" si="2"/>
        <v>0</v>
      </c>
      <c r="L25" s="61">
        <v>1658.3</v>
      </c>
      <c r="M25" s="61"/>
      <c r="N25" s="61">
        <f t="shared" si="3"/>
        <v>1658.3</v>
      </c>
    </row>
    <row r="26" spans="1:14" ht="12.75">
      <c r="A26" s="60" t="s">
        <v>244</v>
      </c>
      <c r="B26" s="61"/>
      <c r="C26" s="61"/>
      <c r="D26" s="61"/>
      <c r="E26" s="61"/>
      <c r="F26" s="61"/>
      <c r="G26" s="61"/>
      <c r="H26" s="61">
        <f t="shared" si="1"/>
        <v>0</v>
      </c>
      <c r="I26" s="61">
        <v>45</v>
      </c>
      <c r="J26" s="61"/>
      <c r="K26" s="61">
        <f t="shared" si="2"/>
        <v>45</v>
      </c>
      <c r="L26" s="61"/>
      <c r="M26" s="61"/>
      <c r="N26" s="61">
        <f t="shared" si="3"/>
        <v>45</v>
      </c>
    </row>
    <row r="27" spans="1:14" ht="12.75">
      <c r="A27" s="60" t="s">
        <v>178</v>
      </c>
      <c r="B27" s="61"/>
      <c r="C27" s="61"/>
      <c r="D27" s="61"/>
      <c r="E27" s="61">
        <f t="shared" si="4"/>
        <v>0</v>
      </c>
      <c r="F27" s="61"/>
      <c r="G27" s="61">
        <v>989.3</v>
      </c>
      <c r="H27" s="61">
        <f t="shared" si="1"/>
        <v>989.3</v>
      </c>
      <c r="I27" s="61"/>
      <c r="J27" s="61">
        <v>-989.3</v>
      </c>
      <c r="K27" s="61">
        <f t="shared" si="2"/>
        <v>0</v>
      </c>
      <c r="L27" s="61"/>
      <c r="M27" s="61"/>
      <c r="N27" s="61">
        <f t="shared" si="3"/>
        <v>0</v>
      </c>
    </row>
    <row r="28" spans="1:14" ht="12.75">
      <c r="A28" s="60" t="s">
        <v>56</v>
      </c>
      <c r="B28" s="61">
        <f>SUM(B29:B33)</f>
        <v>78280</v>
      </c>
      <c r="C28" s="61">
        <f>SUM(C29:C33)</f>
        <v>0</v>
      </c>
      <c r="D28" s="61">
        <f>SUM(D29:D33)</f>
        <v>1342.9</v>
      </c>
      <c r="E28" s="61">
        <f t="shared" si="4"/>
        <v>79622.9</v>
      </c>
      <c r="F28" s="61">
        <f>SUM(F29:F33)</f>
        <v>-1820</v>
      </c>
      <c r="G28" s="61">
        <f>SUM(G29:G33)</f>
        <v>44801.6</v>
      </c>
      <c r="H28" s="61">
        <f t="shared" si="1"/>
        <v>122604.5</v>
      </c>
      <c r="I28" s="61">
        <f>SUM(I29:I33)</f>
        <v>0</v>
      </c>
      <c r="J28" s="61">
        <f>SUM(J29:J33)</f>
        <v>3670.5</v>
      </c>
      <c r="K28" s="61">
        <f t="shared" si="2"/>
        <v>126275</v>
      </c>
      <c r="L28" s="61">
        <f>SUM(L29:L33)</f>
        <v>1850.2</v>
      </c>
      <c r="M28" s="61">
        <f>SUM(M29:M33)</f>
        <v>0</v>
      </c>
      <c r="N28" s="61">
        <f>SUM(N29:N33)</f>
        <v>128125.2</v>
      </c>
    </row>
    <row r="29" spans="1:14" ht="12.75">
      <c r="A29" s="60" t="s">
        <v>196</v>
      </c>
      <c r="B29" s="61">
        <v>26718</v>
      </c>
      <c r="C29" s="61"/>
      <c r="D29" s="61">
        <v>642.9</v>
      </c>
      <c r="E29" s="61">
        <f t="shared" si="4"/>
        <v>27360.9</v>
      </c>
      <c r="F29" s="61"/>
      <c r="G29" s="61">
        <v>1801.6</v>
      </c>
      <c r="H29" s="61">
        <f t="shared" si="1"/>
        <v>29162.5</v>
      </c>
      <c r="I29" s="61"/>
      <c r="J29" s="61">
        <v>3778.5</v>
      </c>
      <c r="K29" s="61">
        <f t="shared" si="2"/>
        <v>32941</v>
      </c>
      <c r="L29" s="61">
        <v>850.2</v>
      </c>
      <c r="M29" s="61"/>
      <c r="N29" s="61">
        <f t="shared" si="3"/>
        <v>33791.2</v>
      </c>
    </row>
    <row r="30" spans="1:14" ht="12.75">
      <c r="A30" s="60" t="s">
        <v>230</v>
      </c>
      <c r="B30" s="61"/>
      <c r="C30" s="61"/>
      <c r="D30" s="61"/>
      <c r="E30" s="61"/>
      <c r="F30" s="61"/>
      <c r="G30" s="61">
        <v>43000</v>
      </c>
      <c r="H30" s="61">
        <f t="shared" si="1"/>
        <v>43000</v>
      </c>
      <c r="I30" s="61"/>
      <c r="J30" s="61"/>
      <c r="K30" s="61">
        <f t="shared" si="2"/>
        <v>43000</v>
      </c>
      <c r="L30" s="61"/>
      <c r="M30" s="61"/>
      <c r="N30" s="61">
        <f t="shared" si="3"/>
        <v>43000</v>
      </c>
    </row>
    <row r="31" spans="1:14" ht="12.75">
      <c r="A31" s="60" t="s">
        <v>58</v>
      </c>
      <c r="B31" s="61">
        <v>26030</v>
      </c>
      <c r="C31" s="61"/>
      <c r="D31" s="61"/>
      <c r="E31" s="61">
        <f t="shared" si="4"/>
        <v>26030</v>
      </c>
      <c r="F31" s="61">
        <v>-1820</v>
      </c>
      <c r="G31" s="61"/>
      <c r="H31" s="61">
        <f t="shared" si="1"/>
        <v>24210</v>
      </c>
      <c r="I31" s="61"/>
      <c r="J31" s="61">
        <v>-108</v>
      </c>
      <c r="K31" s="61">
        <f t="shared" si="2"/>
        <v>24102</v>
      </c>
      <c r="L31" s="61"/>
      <c r="M31" s="61"/>
      <c r="N31" s="61">
        <f t="shared" si="3"/>
        <v>24102</v>
      </c>
    </row>
    <row r="32" spans="1:14" ht="12.75">
      <c r="A32" s="60" t="s">
        <v>59</v>
      </c>
      <c r="B32" s="61">
        <v>4175</v>
      </c>
      <c r="C32" s="61"/>
      <c r="D32" s="61">
        <v>700</v>
      </c>
      <c r="E32" s="61">
        <f t="shared" si="4"/>
        <v>4875</v>
      </c>
      <c r="F32" s="61"/>
      <c r="G32" s="61"/>
      <c r="H32" s="61">
        <f t="shared" si="1"/>
        <v>4875</v>
      </c>
      <c r="I32" s="61"/>
      <c r="J32" s="61"/>
      <c r="K32" s="61">
        <f t="shared" si="2"/>
        <v>4875</v>
      </c>
      <c r="L32" s="61">
        <v>1000</v>
      </c>
      <c r="M32" s="61"/>
      <c r="N32" s="61">
        <f t="shared" si="3"/>
        <v>5875</v>
      </c>
    </row>
    <row r="33" spans="1:14" ht="12.75">
      <c r="A33" s="60" t="s">
        <v>60</v>
      </c>
      <c r="B33" s="61">
        <v>21357</v>
      </c>
      <c r="C33" s="61"/>
      <c r="D33" s="61"/>
      <c r="E33" s="61">
        <f t="shared" si="4"/>
        <v>21357</v>
      </c>
      <c r="F33" s="61"/>
      <c r="G33" s="61"/>
      <c r="H33" s="61">
        <f t="shared" si="1"/>
        <v>21357</v>
      </c>
      <c r="I33" s="61"/>
      <c r="J33" s="61"/>
      <c r="K33" s="61">
        <f t="shared" si="2"/>
        <v>21357</v>
      </c>
      <c r="L33" s="61"/>
      <c r="M33" s="61"/>
      <c r="N33" s="61">
        <f t="shared" si="3"/>
        <v>21357</v>
      </c>
    </row>
    <row r="34" spans="1:14" ht="12.75">
      <c r="A34" s="11" t="s">
        <v>79</v>
      </c>
      <c r="B34" s="24">
        <f>B36+B39</f>
        <v>0</v>
      </c>
      <c r="C34" s="24">
        <f>C36+C39</f>
        <v>0</v>
      </c>
      <c r="D34" s="24">
        <f>D36+D39</f>
        <v>0</v>
      </c>
      <c r="E34" s="23">
        <f t="shared" si="4"/>
        <v>0</v>
      </c>
      <c r="F34" s="24">
        <f>SUM(F36:F39)</f>
        <v>5014.4</v>
      </c>
      <c r="G34" s="24">
        <f>G36+G39</f>
        <v>2167.9</v>
      </c>
      <c r="H34" s="23">
        <f t="shared" si="1"/>
        <v>7182.299999999999</v>
      </c>
      <c r="I34" s="24">
        <f aca="true" t="shared" si="5" ref="I34:N34">SUM(I36:I39)</f>
        <v>0</v>
      </c>
      <c r="J34" s="24">
        <f t="shared" si="5"/>
        <v>14065.3</v>
      </c>
      <c r="K34" s="24">
        <f t="shared" si="5"/>
        <v>21247.6</v>
      </c>
      <c r="L34" s="24">
        <f t="shared" si="5"/>
        <v>5000</v>
      </c>
      <c r="M34" s="24">
        <f t="shared" si="5"/>
        <v>0</v>
      </c>
      <c r="N34" s="24">
        <f t="shared" si="5"/>
        <v>26247.6</v>
      </c>
    </row>
    <row r="35" spans="1:14" ht="12.75">
      <c r="A35" s="9" t="s">
        <v>61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4" ht="12.75">
      <c r="A36" s="60" t="s">
        <v>80</v>
      </c>
      <c r="B36" s="61"/>
      <c r="C36" s="61"/>
      <c r="D36" s="61"/>
      <c r="E36" s="61">
        <f>B36+C36+D36</f>
        <v>0</v>
      </c>
      <c r="F36" s="61">
        <v>5014.4</v>
      </c>
      <c r="G36" s="61">
        <v>2167.9</v>
      </c>
      <c r="H36" s="61">
        <f>E36+F36+G36</f>
        <v>7182.299999999999</v>
      </c>
      <c r="I36" s="61"/>
      <c r="J36" s="61">
        <v>14065.3</v>
      </c>
      <c r="K36" s="61">
        <f>H36+I36+J36</f>
        <v>21247.6</v>
      </c>
      <c r="L36" s="61">
        <v>5000</v>
      </c>
      <c r="M36" s="61"/>
      <c r="N36" s="61">
        <f>K36+L36+M36</f>
        <v>26247.6</v>
      </c>
    </row>
    <row r="37" spans="1:14" ht="12.75" hidden="1">
      <c r="A37" s="60" t="s">
        <v>158</v>
      </c>
      <c r="B37" s="61"/>
      <c r="C37" s="61"/>
      <c r="D37" s="61"/>
      <c r="E37" s="61"/>
      <c r="F37" s="61"/>
      <c r="G37" s="61"/>
      <c r="H37" s="61">
        <f>E37+F37+G37</f>
        <v>0</v>
      </c>
      <c r="I37" s="62"/>
      <c r="J37" s="61"/>
      <c r="K37" s="61">
        <f>H37+I37+J37</f>
        <v>0</v>
      </c>
      <c r="L37" s="62"/>
      <c r="M37" s="61"/>
      <c r="N37" s="61">
        <f>K37+L37+M37</f>
        <v>0</v>
      </c>
    </row>
    <row r="38" spans="1:14" ht="12.75" hidden="1">
      <c r="A38" s="60" t="s">
        <v>193</v>
      </c>
      <c r="B38" s="61"/>
      <c r="C38" s="61"/>
      <c r="D38" s="61"/>
      <c r="E38" s="61"/>
      <c r="F38" s="61"/>
      <c r="G38" s="61"/>
      <c r="H38" s="61"/>
      <c r="I38" s="62"/>
      <c r="J38" s="61"/>
      <c r="K38" s="61">
        <f>H38+I38+J38</f>
        <v>0</v>
      </c>
      <c r="L38" s="62"/>
      <c r="M38" s="61"/>
      <c r="N38" s="61">
        <f>K38+L38+M38</f>
        <v>0</v>
      </c>
    </row>
    <row r="39" spans="1:14" ht="12.75" hidden="1">
      <c r="A39" s="60" t="s">
        <v>100</v>
      </c>
      <c r="B39" s="61"/>
      <c r="C39" s="61"/>
      <c r="D39" s="61"/>
      <c r="E39" s="61">
        <f>B39+C39+D39</f>
        <v>0</v>
      </c>
      <c r="F39" s="61"/>
      <c r="G39" s="61"/>
      <c r="H39" s="61">
        <f>E39+F39+G39</f>
        <v>0</v>
      </c>
      <c r="I39" s="61"/>
      <c r="J39" s="61"/>
      <c r="K39" s="61">
        <f>H39+I39+J39</f>
        <v>0</v>
      </c>
      <c r="L39" s="61"/>
      <c r="M39" s="61"/>
      <c r="N39" s="61">
        <f>K39+L39+M39</f>
        <v>0</v>
      </c>
    </row>
    <row r="40" spans="1:14" ht="12.75">
      <c r="A40" s="2" t="s">
        <v>120</v>
      </c>
      <c r="B40" s="23">
        <f>SUM(B42:B56)</f>
        <v>78247</v>
      </c>
      <c r="C40" s="23">
        <f>SUM(C42:C56)</f>
        <v>1073687.8000000005</v>
      </c>
      <c r="D40" s="23">
        <f>SUM(D42:D56)</f>
        <v>0</v>
      </c>
      <c r="E40" s="23">
        <f>B40+C40+D40</f>
        <v>1151934.8000000005</v>
      </c>
      <c r="F40" s="23">
        <f>SUM(F42:F56)</f>
        <v>1096357.7000000002</v>
      </c>
      <c r="G40" s="23">
        <f>SUM(G42:G56)</f>
        <v>0</v>
      </c>
      <c r="H40" s="23">
        <f>E40+F40+G40</f>
        <v>2248292.500000001</v>
      </c>
      <c r="I40" s="23">
        <f aca="true" t="shared" si="6" ref="I40:N40">SUM(I42:I56)</f>
        <v>1101652.3000000003</v>
      </c>
      <c r="J40" s="23">
        <f t="shared" si="6"/>
        <v>0</v>
      </c>
      <c r="K40" s="23">
        <f t="shared" si="6"/>
        <v>3349944.8000000003</v>
      </c>
      <c r="L40" s="23">
        <f t="shared" si="6"/>
        <v>1286811.0999999999</v>
      </c>
      <c r="M40" s="23">
        <f t="shared" si="6"/>
        <v>0</v>
      </c>
      <c r="N40" s="23">
        <f t="shared" si="6"/>
        <v>4636755.8999999985</v>
      </c>
    </row>
    <row r="41" spans="1:14" ht="12.75">
      <c r="A41" s="3" t="s">
        <v>1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</row>
    <row r="42" spans="1:14" ht="12.75">
      <c r="A42" s="4" t="s">
        <v>121</v>
      </c>
      <c r="B42" s="61">
        <v>78097</v>
      </c>
      <c r="C42" s="61"/>
      <c r="D42" s="61"/>
      <c r="E42" s="61">
        <f aca="true" t="shared" si="7" ref="E42:E47">B42+C42</f>
        <v>78097</v>
      </c>
      <c r="F42" s="61"/>
      <c r="G42" s="61"/>
      <c r="H42" s="61">
        <f aca="true" t="shared" si="8" ref="H42:H47">E42+F42+G42</f>
        <v>78097</v>
      </c>
      <c r="I42" s="61"/>
      <c r="J42" s="61"/>
      <c r="K42" s="61">
        <f aca="true" t="shared" si="9" ref="K42:K53">H42+I42+J42</f>
        <v>78097</v>
      </c>
      <c r="L42" s="61"/>
      <c r="M42" s="61"/>
      <c r="N42" s="61">
        <f aca="true" t="shared" si="10" ref="N42:N60">K42+L42+M42</f>
        <v>78097</v>
      </c>
    </row>
    <row r="43" spans="1:14" ht="12.75">
      <c r="A43" s="4" t="s">
        <v>24</v>
      </c>
      <c r="B43" s="61"/>
      <c r="C43" s="61">
        <f>568.5+104.1</f>
        <v>672.6</v>
      </c>
      <c r="D43" s="61"/>
      <c r="E43" s="61">
        <f t="shared" si="7"/>
        <v>672.6</v>
      </c>
      <c r="F43" s="61">
        <f>30+196.3</f>
        <v>226.3</v>
      </c>
      <c r="G43" s="61"/>
      <c r="H43" s="61">
        <f t="shared" si="8"/>
        <v>898.9000000000001</v>
      </c>
      <c r="I43" s="61">
        <f>836.2+51.4</f>
        <v>887.6</v>
      </c>
      <c r="J43" s="61"/>
      <c r="K43" s="61">
        <f t="shared" si="9"/>
        <v>1786.5</v>
      </c>
      <c r="L43" s="61">
        <f>359.5+178.4+100+325.5+150+636.9</f>
        <v>1750.3000000000002</v>
      </c>
      <c r="M43" s="61"/>
      <c r="N43" s="61">
        <f t="shared" si="10"/>
        <v>3536.8</v>
      </c>
    </row>
    <row r="44" spans="1:15" ht="12.75">
      <c r="A44" s="4" t="s">
        <v>40</v>
      </c>
      <c r="B44" s="61"/>
      <c r="C44" s="61">
        <f>1057865+106.1+1001.3+639+825+57+1371+138.1</f>
        <v>1062002.5000000002</v>
      </c>
      <c r="D44" s="61"/>
      <c r="E44" s="61">
        <f t="shared" si="7"/>
        <v>1062002.5000000002</v>
      </c>
      <c r="F44" s="61">
        <f>1061275+457.9+586.6+128.6+12+2662+2239.3+1766.7+381</f>
        <v>1069509.1</v>
      </c>
      <c r="G44" s="61"/>
      <c r="H44" s="61">
        <f t="shared" si="8"/>
        <v>2131511.6000000006</v>
      </c>
      <c r="I44" s="61">
        <v>1090401.8</v>
      </c>
      <c r="J44" s="61"/>
      <c r="K44" s="61">
        <f t="shared" si="9"/>
        <v>3221913.4000000004</v>
      </c>
      <c r="L44" s="61">
        <f>1771.2+1664.2+1013106-137.1+35.9+1141.6+47.5+490.7+90305.9+52.6+35+47580+386.4+376-2.1-40-0.4+345.9+1157.9+360+100+1212.5+641.8+316.2</f>
        <v>1160947.6999999997</v>
      </c>
      <c r="M44" s="61"/>
      <c r="N44" s="61">
        <f t="shared" si="10"/>
        <v>4382861.1</v>
      </c>
      <c r="O44" s="96"/>
    </row>
    <row r="45" spans="1:15" ht="12.75">
      <c r="A45" s="4" t="s">
        <v>49</v>
      </c>
      <c r="B45" s="61"/>
      <c r="C45" s="61">
        <f>819.6+85.5</f>
        <v>905.1</v>
      </c>
      <c r="D45" s="61"/>
      <c r="E45" s="61">
        <f t="shared" si="7"/>
        <v>905.1</v>
      </c>
      <c r="F45" s="61">
        <f>669.8+399.1+106.5+156.9</f>
        <v>1332.3000000000002</v>
      </c>
      <c r="G45" s="61"/>
      <c r="H45" s="61">
        <f t="shared" si="8"/>
        <v>2237.4</v>
      </c>
      <c r="I45" s="61">
        <v>5443.3</v>
      </c>
      <c r="J45" s="61"/>
      <c r="K45" s="61">
        <f t="shared" si="9"/>
        <v>7680.700000000001</v>
      </c>
      <c r="L45" s="61">
        <f>135.8+201.1+127.6+56.2+1304+1498+14924+93.4+747.9+943.4+4.9+331.8</f>
        <v>20368.100000000006</v>
      </c>
      <c r="M45" s="61"/>
      <c r="N45" s="61">
        <f t="shared" si="10"/>
        <v>28048.800000000007</v>
      </c>
      <c r="O45" s="75"/>
    </row>
    <row r="46" spans="1:15" ht="12.75">
      <c r="A46" s="4" t="s">
        <v>74</v>
      </c>
      <c r="B46" s="61"/>
      <c r="C46" s="61">
        <f>721.2+1117.9+4016.6+4234.8</f>
        <v>10090.5</v>
      </c>
      <c r="D46" s="61"/>
      <c r="E46" s="61">
        <f t="shared" si="7"/>
        <v>10090.5</v>
      </c>
      <c r="F46" s="61">
        <f>706.9+4592.4+166.6</f>
        <v>5465.9</v>
      </c>
      <c r="G46" s="61"/>
      <c r="H46" s="61">
        <f t="shared" si="8"/>
        <v>15556.4</v>
      </c>
      <c r="I46" s="61">
        <v>4590.1</v>
      </c>
      <c r="J46" s="61"/>
      <c r="K46" s="61">
        <f t="shared" si="9"/>
        <v>20146.5</v>
      </c>
      <c r="L46" s="61">
        <f>4501.4+552.3+25.3+5333.5+1153.1+691.8</f>
        <v>12257.4</v>
      </c>
      <c r="M46" s="61"/>
      <c r="N46" s="61">
        <f t="shared" si="10"/>
        <v>32403.9</v>
      </c>
      <c r="O46" s="96"/>
    </row>
    <row r="47" spans="1:14" ht="12.75">
      <c r="A47" s="4" t="s">
        <v>169</v>
      </c>
      <c r="B47" s="61"/>
      <c r="C47" s="61"/>
      <c r="D47" s="61"/>
      <c r="E47" s="61">
        <f t="shared" si="7"/>
        <v>0</v>
      </c>
      <c r="F47" s="61">
        <f>320+101</f>
        <v>421</v>
      </c>
      <c r="G47" s="61"/>
      <c r="H47" s="61">
        <f t="shared" si="8"/>
        <v>421</v>
      </c>
      <c r="I47" s="61"/>
      <c r="J47" s="61"/>
      <c r="K47" s="61">
        <f t="shared" si="9"/>
        <v>421</v>
      </c>
      <c r="L47" s="61">
        <f>131+45+30</f>
        <v>206</v>
      </c>
      <c r="M47" s="61"/>
      <c r="N47" s="61">
        <f t="shared" si="10"/>
        <v>627</v>
      </c>
    </row>
    <row r="48" spans="1:14" ht="12.75">
      <c r="A48" s="4" t="s">
        <v>175</v>
      </c>
      <c r="B48" s="61"/>
      <c r="C48" s="61"/>
      <c r="D48" s="61"/>
      <c r="E48" s="61"/>
      <c r="F48" s="61"/>
      <c r="G48" s="61"/>
      <c r="H48" s="61"/>
      <c r="I48" s="61">
        <v>60</v>
      </c>
      <c r="J48" s="61"/>
      <c r="K48" s="61">
        <f t="shared" si="9"/>
        <v>60</v>
      </c>
      <c r="L48" s="61"/>
      <c r="M48" s="61"/>
      <c r="N48" s="61">
        <f t="shared" si="10"/>
        <v>60</v>
      </c>
    </row>
    <row r="49" spans="1:14" ht="12.75">
      <c r="A49" s="4" t="s">
        <v>219</v>
      </c>
      <c r="B49" s="61"/>
      <c r="C49" s="61"/>
      <c r="D49" s="61"/>
      <c r="E49" s="61"/>
      <c r="F49" s="61">
        <v>8081</v>
      </c>
      <c r="G49" s="61"/>
      <c r="H49" s="61">
        <f>E49+F49+G49</f>
        <v>8081</v>
      </c>
      <c r="I49" s="61">
        <v>269</v>
      </c>
      <c r="J49" s="61"/>
      <c r="K49" s="61">
        <f t="shared" si="9"/>
        <v>8350</v>
      </c>
      <c r="L49" s="61"/>
      <c r="M49" s="61"/>
      <c r="N49" s="61">
        <f t="shared" si="10"/>
        <v>8350</v>
      </c>
    </row>
    <row r="50" spans="1:14" ht="12.75">
      <c r="A50" s="4" t="s">
        <v>191</v>
      </c>
      <c r="B50" s="61"/>
      <c r="C50" s="61"/>
      <c r="D50" s="61"/>
      <c r="E50" s="61"/>
      <c r="F50" s="61">
        <f>476.3+2965.5</f>
        <v>3441.8</v>
      </c>
      <c r="G50" s="61"/>
      <c r="H50" s="61">
        <f>E50+F50+G50</f>
        <v>3441.8</v>
      </c>
      <c r="I50" s="61"/>
      <c r="J50" s="61"/>
      <c r="K50" s="61">
        <f t="shared" si="9"/>
        <v>3441.8</v>
      </c>
      <c r="L50" s="61">
        <f>144.9+4739.9</f>
        <v>4884.799999999999</v>
      </c>
      <c r="M50" s="61"/>
      <c r="N50" s="61">
        <f t="shared" si="10"/>
        <v>8326.599999999999</v>
      </c>
    </row>
    <row r="51" spans="1:14" ht="12.75">
      <c r="A51" s="4" t="s">
        <v>176</v>
      </c>
      <c r="B51" s="61"/>
      <c r="C51" s="61"/>
      <c r="D51" s="61"/>
      <c r="E51" s="61"/>
      <c r="F51" s="61"/>
      <c r="G51" s="61"/>
      <c r="H51" s="61"/>
      <c r="I51" s="62"/>
      <c r="J51" s="61"/>
      <c r="K51" s="61">
        <f t="shared" si="9"/>
        <v>0</v>
      </c>
      <c r="L51" s="61">
        <v>340</v>
      </c>
      <c r="M51" s="61"/>
      <c r="N51" s="61">
        <f t="shared" si="10"/>
        <v>340</v>
      </c>
    </row>
    <row r="52" spans="1:15" ht="12.75">
      <c r="A52" s="4" t="s">
        <v>154</v>
      </c>
      <c r="B52" s="61"/>
      <c r="C52" s="61">
        <v>1.1</v>
      </c>
      <c r="D52" s="61"/>
      <c r="E52" s="61">
        <f>B52+C52</f>
        <v>1.1</v>
      </c>
      <c r="F52" s="61">
        <v>2.5</v>
      </c>
      <c r="G52" s="61"/>
      <c r="H52" s="61">
        <f>E52+F52+G52</f>
        <v>3.6</v>
      </c>
      <c r="I52" s="61">
        <v>0.5</v>
      </c>
      <c r="J52" s="61"/>
      <c r="K52" s="61">
        <f t="shared" si="9"/>
        <v>4.1</v>
      </c>
      <c r="L52" s="61">
        <f>0.1-2+1+0.1</f>
        <v>-0.7999999999999999</v>
      </c>
      <c r="M52" s="61"/>
      <c r="N52" s="61">
        <f t="shared" si="10"/>
        <v>3.3</v>
      </c>
      <c r="O52" s="75"/>
    </row>
    <row r="53" spans="1:14" ht="12.75">
      <c r="A53" s="4" t="s">
        <v>192</v>
      </c>
      <c r="B53" s="61"/>
      <c r="C53" s="61"/>
      <c r="D53" s="61"/>
      <c r="E53" s="61"/>
      <c r="F53" s="61"/>
      <c r="G53" s="61"/>
      <c r="H53" s="61">
        <f>E53+F53+G53</f>
        <v>0</v>
      </c>
      <c r="I53" s="61"/>
      <c r="J53" s="61"/>
      <c r="K53" s="61">
        <f t="shared" si="9"/>
        <v>0</v>
      </c>
      <c r="L53" s="61">
        <v>84327.8</v>
      </c>
      <c r="M53" s="61"/>
      <c r="N53" s="61">
        <f t="shared" si="10"/>
        <v>84327.8</v>
      </c>
    </row>
    <row r="54" spans="1:14" ht="12.75">
      <c r="A54" s="4" t="s">
        <v>25</v>
      </c>
      <c r="B54" s="61"/>
      <c r="C54" s="61">
        <v>16</v>
      </c>
      <c r="D54" s="61"/>
      <c r="E54" s="61">
        <f>B54+C54</f>
        <v>16</v>
      </c>
      <c r="F54" s="61"/>
      <c r="G54" s="61"/>
      <c r="H54" s="61">
        <f>E54+F54+G54</f>
        <v>16</v>
      </c>
      <c r="I54" s="61"/>
      <c r="J54" s="61"/>
      <c r="K54" s="61">
        <f>H54+I54+J54</f>
        <v>16</v>
      </c>
      <c r="L54" s="61"/>
      <c r="M54" s="61"/>
      <c r="N54" s="61">
        <f t="shared" si="10"/>
        <v>16</v>
      </c>
    </row>
    <row r="55" spans="1:14" ht="12.75">
      <c r="A55" s="4" t="s">
        <v>94</v>
      </c>
      <c r="B55" s="61"/>
      <c r="C55" s="61"/>
      <c r="D55" s="61"/>
      <c r="E55" s="61">
        <f>B55+C55</f>
        <v>0</v>
      </c>
      <c r="F55" s="61">
        <v>7877.8</v>
      </c>
      <c r="G55" s="61"/>
      <c r="H55" s="61">
        <f>E55+F55+G55</f>
        <v>7877.8</v>
      </c>
      <c r="I55" s="61"/>
      <c r="J55" s="61"/>
      <c r="K55" s="61">
        <f>H55+I55+J55</f>
        <v>7877.8</v>
      </c>
      <c r="L55" s="61"/>
      <c r="M55" s="61"/>
      <c r="N55" s="61">
        <f t="shared" si="10"/>
        <v>7877.8</v>
      </c>
    </row>
    <row r="56" spans="1:14" ht="12.75">
      <c r="A56" s="4" t="s">
        <v>26</v>
      </c>
      <c r="B56" s="61">
        <v>150</v>
      </c>
      <c r="C56" s="61"/>
      <c r="D56" s="61"/>
      <c r="E56" s="61">
        <f>B56+C56+D56</f>
        <v>150</v>
      </c>
      <c r="F56" s="61"/>
      <c r="G56" s="61"/>
      <c r="H56" s="61">
        <f>E56+F56+G56</f>
        <v>150</v>
      </c>
      <c r="I56" s="61"/>
      <c r="J56" s="61"/>
      <c r="K56" s="61">
        <f>H56+I56+J56</f>
        <v>150</v>
      </c>
      <c r="L56" s="61">
        <v>1729.8</v>
      </c>
      <c r="M56" s="61"/>
      <c r="N56" s="61">
        <f t="shared" si="10"/>
        <v>1879.8</v>
      </c>
    </row>
    <row r="57" spans="1:14" ht="12.75" hidden="1">
      <c r="A57" s="11" t="s">
        <v>155</v>
      </c>
      <c r="B57" s="61"/>
      <c r="C57" s="61"/>
      <c r="D57" s="61"/>
      <c r="E57" s="24">
        <f>E59</f>
        <v>0</v>
      </c>
      <c r="F57" s="24">
        <f>F59</f>
        <v>0</v>
      </c>
      <c r="G57" s="24">
        <f>G59</f>
        <v>0</v>
      </c>
      <c r="H57" s="24">
        <f>H59</f>
        <v>0</v>
      </c>
      <c r="I57" s="24">
        <f>I59+I60+I61</f>
        <v>0</v>
      </c>
      <c r="J57" s="24">
        <f>J59+J60+J61</f>
        <v>0</v>
      </c>
      <c r="K57" s="24">
        <f>K59+K60+K61</f>
        <v>0</v>
      </c>
      <c r="L57" s="24">
        <f>L59+L61</f>
        <v>0</v>
      </c>
      <c r="M57" s="24">
        <f>M59</f>
        <v>0</v>
      </c>
      <c r="N57" s="61">
        <f t="shared" si="10"/>
        <v>0</v>
      </c>
    </row>
    <row r="58" spans="1:14" ht="12.75" hidden="1">
      <c r="A58" s="9" t="s">
        <v>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>
        <f t="shared" si="10"/>
        <v>0</v>
      </c>
    </row>
    <row r="59" spans="1:14" ht="12.75" hidden="1">
      <c r="A59" s="4" t="s">
        <v>166</v>
      </c>
      <c r="B59" s="61"/>
      <c r="C59" s="61"/>
      <c r="D59" s="61"/>
      <c r="E59" s="61"/>
      <c r="F59" s="61"/>
      <c r="G59" s="61"/>
      <c r="H59" s="61">
        <f>E59+F59+G59</f>
        <v>0</v>
      </c>
      <c r="I59" s="61"/>
      <c r="J59" s="61"/>
      <c r="K59" s="61">
        <f>H59+I59+J59</f>
        <v>0</v>
      </c>
      <c r="L59" s="61"/>
      <c r="M59" s="61"/>
      <c r="N59" s="61">
        <f t="shared" si="10"/>
        <v>0</v>
      </c>
    </row>
    <row r="60" spans="1:14" ht="12.75" hidden="1">
      <c r="A60" s="4" t="s">
        <v>177</v>
      </c>
      <c r="B60" s="61"/>
      <c r="C60" s="61"/>
      <c r="D60" s="61"/>
      <c r="E60" s="61"/>
      <c r="F60" s="61"/>
      <c r="G60" s="61"/>
      <c r="H60" s="61"/>
      <c r="I60" s="61"/>
      <c r="J60" s="61"/>
      <c r="K60" s="61">
        <f>H60+I60+J60</f>
        <v>0</v>
      </c>
      <c r="L60" s="61"/>
      <c r="M60" s="61"/>
      <c r="N60" s="61">
        <f t="shared" si="10"/>
        <v>0</v>
      </c>
    </row>
    <row r="61" spans="1:14" ht="12.75" hidden="1">
      <c r="A61" s="21" t="s">
        <v>187</v>
      </c>
      <c r="B61" s="63"/>
      <c r="C61" s="63"/>
      <c r="D61" s="63"/>
      <c r="E61" s="63"/>
      <c r="F61" s="63"/>
      <c r="G61" s="63"/>
      <c r="H61" s="63"/>
      <c r="I61" s="63"/>
      <c r="J61" s="63"/>
      <c r="K61" s="63">
        <f>H61+I61+J61</f>
        <v>0</v>
      </c>
      <c r="L61" s="63"/>
      <c r="M61" s="63"/>
      <c r="N61" s="63">
        <f>K61+L61+M61</f>
        <v>0</v>
      </c>
    </row>
    <row r="62" spans="1:14" ht="12.75">
      <c r="A62" s="2" t="s">
        <v>122</v>
      </c>
      <c r="B62" s="23">
        <f>SUM(B64:B72)</f>
        <v>0</v>
      </c>
      <c r="C62" s="23">
        <f>SUM(C64:C72)</f>
        <v>21020.6</v>
      </c>
      <c r="D62" s="23"/>
      <c r="E62" s="23">
        <f>B62+C62</f>
        <v>21020.6</v>
      </c>
      <c r="F62" s="23">
        <f>SUM(F64:F72)</f>
        <v>9556.5</v>
      </c>
      <c r="G62" s="23"/>
      <c r="H62" s="23">
        <f>E62+F62+G62</f>
        <v>30577.1</v>
      </c>
      <c r="I62" s="23">
        <f aca="true" t="shared" si="11" ref="I62:N62">SUM(I64:I72)</f>
        <v>1009.5</v>
      </c>
      <c r="J62" s="23">
        <f t="shared" si="11"/>
        <v>0</v>
      </c>
      <c r="K62" s="23">
        <f t="shared" si="11"/>
        <v>31586.6</v>
      </c>
      <c r="L62" s="23">
        <f t="shared" si="11"/>
        <v>146896.2</v>
      </c>
      <c r="M62" s="23">
        <f t="shared" si="11"/>
        <v>0</v>
      </c>
      <c r="N62" s="23">
        <f t="shared" si="11"/>
        <v>178482.80000000002</v>
      </c>
    </row>
    <row r="63" spans="1:14" ht="12.75">
      <c r="A63" s="3" t="s">
        <v>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14" ht="12.75">
      <c r="A64" s="4" t="s">
        <v>40</v>
      </c>
      <c r="B64" s="61"/>
      <c r="C64" s="61"/>
      <c r="D64" s="61"/>
      <c r="E64" s="61">
        <f>B64+C64</f>
        <v>0</v>
      </c>
      <c r="F64" s="61"/>
      <c r="G64" s="61"/>
      <c r="H64" s="61">
        <f>E64+F64</f>
        <v>0</v>
      </c>
      <c r="I64" s="61"/>
      <c r="J64" s="61"/>
      <c r="K64" s="61">
        <f>H64+I64+J64</f>
        <v>0</v>
      </c>
      <c r="L64" s="61">
        <f>12240.4+1052</f>
        <v>13292.4</v>
      </c>
      <c r="M64" s="61"/>
      <c r="N64" s="61">
        <f>K64+L64</f>
        <v>13292.4</v>
      </c>
    </row>
    <row r="65" spans="1:14" ht="12.75">
      <c r="A65" s="5" t="s">
        <v>265</v>
      </c>
      <c r="B65" s="61"/>
      <c r="C65" s="61"/>
      <c r="D65" s="61"/>
      <c r="E65" s="61">
        <f>B65+C65</f>
        <v>0</v>
      </c>
      <c r="F65" s="61"/>
      <c r="G65" s="61"/>
      <c r="H65" s="61">
        <f>E65+F65</f>
        <v>0</v>
      </c>
      <c r="I65" s="61"/>
      <c r="J65" s="61"/>
      <c r="K65" s="61">
        <f aca="true" t="shared" si="12" ref="K65:K72">H65+I65+J65</f>
        <v>0</v>
      </c>
      <c r="L65" s="61">
        <v>5500</v>
      </c>
      <c r="M65" s="61"/>
      <c r="N65" s="61">
        <f aca="true" t="shared" si="13" ref="N65:N72">K65+L65</f>
        <v>5500</v>
      </c>
    </row>
    <row r="66" spans="1:14" ht="12.75">
      <c r="A66" s="5" t="s">
        <v>24</v>
      </c>
      <c r="B66" s="61"/>
      <c r="C66" s="61"/>
      <c r="D66" s="61"/>
      <c r="E66" s="61"/>
      <c r="F66" s="61"/>
      <c r="G66" s="61"/>
      <c r="H66" s="61"/>
      <c r="I66" s="61"/>
      <c r="J66" s="61"/>
      <c r="K66" s="61">
        <f t="shared" si="12"/>
        <v>0</v>
      </c>
      <c r="L66" s="61">
        <f>231.4+214.5</f>
        <v>445.9</v>
      </c>
      <c r="M66" s="61"/>
      <c r="N66" s="61">
        <f t="shared" si="13"/>
        <v>445.9</v>
      </c>
    </row>
    <row r="67" spans="1:14" ht="12.75" hidden="1">
      <c r="A67" s="5" t="s">
        <v>78</v>
      </c>
      <c r="B67" s="61"/>
      <c r="C67" s="61"/>
      <c r="D67" s="61"/>
      <c r="E67" s="61"/>
      <c r="F67" s="61"/>
      <c r="G67" s="61"/>
      <c r="H67" s="61"/>
      <c r="I67" s="61"/>
      <c r="J67" s="61"/>
      <c r="K67" s="61">
        <f t="shared" si="12"/>
        <v>0</v>
      </c>
      <c r="L67" s="61"/>
      <c r="M67" s="61"/>
      <c r="N67" s="61">
        <f t="shared" si="13"/>
        <v>0</v>
      </c>
    </row>
    <row r="68" spans="1:14" ht="12.75">
      <c r="A68" s="4" t="s">
        <v>74</v>
      </c>
      <c r="B68" s="61"/>
      <c r="C68" s="61"/>
      <c r="D68" s="61"/>
      <c r="E68" s="61">
        <f>B68+C68</f>
        <v>0</v>
      </c>
      <c r="F68" s="61">
        <f>439.8</f>
        <v>439.8</v>
      </c>
      <c r="G68" s="61"/>
      <c r="H68" s="61">
        <f>E68+F68+G68</f>
        <v>439.8</v>
      </c>
      <c r="I68" s="61">
        <v>1009.5</v>
      </c>
      <c r="J68" s="61"/>
      <c r="K68" s="61">
        <f t="shared" si="12"/>
        <v>1449.3</v>
      </c>
      <c r="L68" s="61">
        <f>918.9+302.8+1822.9+2828+2307.1+54</f>
        <v>8233.7</v>
      </c>
      <c r="M68" s="61"/>
      <c r="N68" s="61">
        <f t="shared" si="13"/>
        <v>9683</v>
      </c>
    </row>
    <row r="69" spans="1:14" ht="12.75">
      <c r="A69" s="21" t="s">
        <v>101</v>
      </c>
      <c r="B69" s="63"/>
      <c r="C69" s="63"/>
      <c r="D69" s="63"/>
      <c r="E69" s="63">
        <f>B69+C69</f>
        <v>0</v>
      </c>
      <c r="F69" s="63">
        <v>130</v>
      </c>
      <c r="G69" s="63"/>
      <c r="H69" s="63">
        <f>E69+F69</f>
        <v>130</v>
      </c>
      <c r="I69" s="63"/>
      <c r="J69" s="63"/>
      <c r="K69" s="63">
        <f t="shared" si="12"/>
        <v>130</v>
      </c>
      <c r="L69" s="63">
        <f>16837.2+2101.8+2577.8-56.4</f>
        <v>21460.399999999998</v>
      </c>
      <c r="M69" s="63"/>
      <c r="N69" s="63">
        <f t="shared" si="13"/>
        <v>21590.399999999998</v>
      </c>
    </row>
    <row r="70" spans="1:14" ht="12.75">
      <c r="A70" s="4" t="s">
        <v>191</v>
      </c>
      <c r="B70" s="61"/>
      <c r="C70" s="61"/>
      <c r="D70" s="61"/>
      <c r="E70" s="61"/>
      <c r="F70" s="61">
        <v>8049.2</v>
      </c>
      <c r="G70" s="61"/>
      <c r="H70" s="61">
        <f>E70+F70+G70</f>
        <v>8049.2</v>
      </c>
      <c r="I70" s="61"/>
      <c r="J70" s="61"/>
      <c r="K70" s="61">
        <f t="shared" si="12"/>
        <v>8049.2</v>
      </c>
      <c r="L70" s="61">
        <v>28857.1</v>
      </c>
      <c r="M70" s="61"/>
      <c r="N70" s="61">
        <f t="shared" si="13"/>
        <v>36906.299999999996</v>
      </c>
    </row>
    <row r="71" spans="1:15" ht="12.75">
      <c r="A71" s="4" t="s">
        <v>257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>
        <f>25925+20680.7</f>
        <v>46605.7</v>
      </c>
      <c r="M71" s="61"/>
      <c r="N71" s="61">
        <f t="shared" si="13"/>
        <v>46605.7</v>
      </c>
      <c r="O71" s="75"/>
    </row>
    <row r="72" spans="1:14" ht="12.75">
      <c r="A72" s="4" t="s">
        <v>206</v>
      </c>
      <c r="B72" s="61"/>
      <c r="C72" s="61">
        <f>18264.6+2756</f>
        <v>21020.6</v>
      </c>
      <c r="D72" s="61"/>
      <c r="E72" s="61">
        <f>B72+C72</f>
        <v>21020.6</v>
      </c>
      <c r="F72" s="61">
        <v>937.5</v>
      </c>
      <c r="G72" s="61"/>
      <c r="H72" s="61">
        <f>E72+F72</f>
        <v>21958.1</v>
      </c>
      <c r="I72" s="61"/>
      <c r="J72" s="61"/>
      <c r="K72" s="61">
        <f t="shared" si="12"/>
        <v>21958.1</v>
      </c>
      <c r="L72" s="61">
        <f>8022.7+6048.2+6023.6+2406.5</f>
        <v>22501</v>
      </c>
      <c r="M72" s="61"/>
      <c r="N72" s="61">
        <f t="shared" si="13"/>
        <v>44459.1</v>
      </c>
    </row>
    <row r="73" spans="1:14" ht="12.75">
      <c r="A73" s="11" t="s">
        <v>156</v>
      </c>
      <c r="B73" s="61"/>
      <c r="C73" s="61"/>
      <c r="D73" s="61"/>
      <c r="E73" s="24">
        <f>E75</f>
        <v>0</v>
      </c>
      <c r="F73" s="24">
        <f>F75</f>
        <v>0</v>
      </c>
      <c r="G73" s="24">
        <f>G75</f>
        <v>0</v>
      </c>
      <c r="H73" s="24">
        <f>H75+H77</f>
        <v>0</v>
      </c>
      <c r="I73" s="24">
        <f aca="true" t="shared" si="14" ref="I73:N73">SUM(I75:I77)</f>
        <v>15000</v>
      </c>
      <c r="J73" s="24">
        <f t="shared" si="14"/>
        <v>0</v>
      </c>
      <c r="K73" s="24">
        <f t="shared" si="14"/>
        <v>15000</v>
      </c>
      <c r="L73" s="24">
        <f t="shared" si="14"/>
        <v>0</v>
      </c>
      <c r="M73" s="24">
        <f t="shared" si="14"/>
        <v>0</v>
      </c>
      <c r="N73" s="24">
        <f t="shared" si="14"/>
        <v>15000</v>
      </c>
    </row>
    <row r="74" spans="1:14" ht="12.75">
      <c r="A74" s="9" t="s">
        <v>1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</row>
    <row r="75" spans="1:14" ht="12.75" hidden="1">
      <c r="A75" s="4" t="s">
        <v>167</v>
      </c>
      <c r="B75" s="61"/>
      <c r="C75" s="61"/>
      <c r="D75" s="61"/>
      <c r="E75" s="61"/>
      <c r="F75" s="61"/>
      <c r="G75" s="61"/>
      <c r="H75" s="61">
        <f>E75+F75+G75</f>
        <v>0</v>
      </c>
      <c r="I75" s="61"/>
      <c r="J75" s="61"/>
      <c r="K75" s="61">
        <f>H75+I75+J75</f>
        <v>0</v>
      </c>
      <c r="L75" s="61"/>
      <c r="M75" s="61"/>
      <c r="N75" s="61">
        <f>K75+L75+M75</f>
        <v>0</v>
      </c>
    </row>
    <row r="76" spans="1:14" ht="12.75">
      <c r="A76" s="4" t="s">
        <v>80</v>
      </c>
      <c r="B76" s="61"/>
      <c r="C76" s="61"/>
      <c r="D76" s="61"/>
      <c r="E76" s="61"/>
      <c r="F76" s="61"/>
      <c r="G76" s="61"/>
      <c r="H76" s="61"/>
      <c r="I76" s="61">
        <v>15000</v>
      </c>
      <c r="J76" s="61"/>
      <c r="K76" s="61">
        <f>H76+I76+J76</f>
        <v>15000</v>
      </c>
      <c r="L76" s="61"/>
      <c r="M76" s="61"/>
      <c r="N76" s="61">
        <f>K76+L76+M76</f>
        <v>15000</v>
      </c>
    </row>
    <row r="77" spans="1:14" ht="12.75" hidden="1">
      <c r="A77" s="4" t="s">
        <v>177</v>
      </c>
      <c r="B77" s="61"/>
      <c r="C77" s="61"/>
      <c r="D77" s="61"/>
      <c r="E77" s="61"/>
      <c r="F77" s="61"/>
      <c r="G77" s="61"/>
      <c r="H77" s="61"/>
      <c r="I77" s="61"/>
      <c r="J77" s="61"/>
      <c r="K77" s="61">
        <f>H77+I77+J77</f>
        <v>0</v>
      </c>
      <c r="L77" s="61"/>
      <c r="M77" s="61"/>
      <c r="N77" s="61">
        <f>K77+L77+M77</f>
        <v>0</v>
      </c>
    </row>
    <row r="78" spans="1:14" ht="12.75">
      <c r="A78" s="11" t="s">
        <v>63</v>
      </c>
      <c r="B78" s="24"/>
      <c r="C78" s="24"/>
      <c r="D78" s="24"/>
      <c r="E78" s="24">
        <f>B78+C78+D78</f>
        <v>0</v>
      </c>
      <c r="F78" s="24"/>
      <c r="G78" s="24">
        <v>22488.5</v>
      </c>
      <c r="H78" s="24">
        <f>E78+F78+G78</f>
        <v>22488.5</v>
      </c>
      <c r="I78" s="24"/>
      <c r="J78" s="24"/>
      <c r="K78" s="24">
        <f>H78+I78+J78</f>
        <v>22488.5</v>
      </c>
      <c r="L78" s="24"/>
      <c r="M78" s="24"/>
      <c r="N78" s="24">
        <f>K78+L78+M78</f>
        <v>22488.5</v>
      </c>
    </row>
    <row r="79" spans="1:14" ht="16.5" thickBot="1">
      <c r="A79" s="10" t="s">
        <v>2</v>
      </c>
      <c r="B79" s="25">
        <f>B10+B13+B40+B78+B62+B34</f>
        <v>3082772</v>
      </c>
      <c r="C79" s="25">
        <f>C10+C13+C40+C78+C62+C34</f>
        <v>1104828.9000000006</v>
      </c>
      <c r="D79" s="25">
        <f>D10+D13+D40+D78+D62+D34</f>
        <v>141445.9</v>
      </c>
      <c r="E79" s="25">
        <f>E10+E13+E40+E78+E62+E34+E73+E57</f>
        <v>4329046.8</v>
      </c>
      <c r="F79" s="25">
        <f>F10+F13+F40+F78+F62+F34+F73+F57</f>
        <v>1143303.9000000001</v>
      </c>
      <c r="G79" s="25">
        <f>G10+G13+G40+G78+G62+G34</f>
        <v>70447.29999999999</v>
      </c>
      <c r="H79" s="25">
        <f>H10+H13+H40+H78+H62+H34+H73+H57</f>
        <v>5542798.000000001</v>
      </c>
      <c r="I79" s="25">
        <f>I10+I13+I40+I78+I62+I34+I73+I57</f>
        <v>1198626.4000000004</v>
      </c>
      <c r="J79" s="25">
        <f>J10+J13+J40+J78+J62+J34+J73+J57</f>
        <v>32814.8</v>
      </c>
      <c r="K79" s="25">
        <f>K10+K13+K40+K78+K62+K34+K73+K57</f>
        <v>6774239.199999999</v>
      </c>
      <c r="L79" s="25">
        <f>L10+L13+L40+L78+L62+L34+L73+L57</f>
        <v>1461930.2999999998</v>
      </c>
      <c r="M79" s="25">
        <f>M10+M13+M40+M78+M62+M34</f>
        <v>0</v>
      </c>
      <c r="N79" s="25">
        <f>N10+N13+N40+N78+N62+N34+N73+N57</f>
        <v>8236169.499999998</v>
      </c>
    </row>
    <row r="80" spans="1:14" ht="12.75">
      <c r="A80" s="2" t="s">
        <v>5</v>
      </c>
      <c r="B80" s="23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</row>
    <row r="81" spans="1:14" ht="12.75">
      <c r="A81" s="2" t="s">
        <v>14</v>
      </c>
      <c r="B81" s="23">
        <f>B82+B90</f>
        <v>45200</v>
      </c>
      <c r="C81" s="23">
        <f>C82+C90</f>
        <v>1160</v>
      </c>
      <c r="D81" s="23">
        <f>D82+D90</f>
        <v>3820</v>
      </c>
      <c r="E81" s="23">
        <f>B81+C81+D81</f>
        <v>50180</v>
      </c>
      <c r="F81" s="23">
        <f>F82+F90</f>
        <v>187.29999999999998</v>
      </c>
      <c r="G81" s="23">
        <f>G82+G90</f>
        <v>-5</v>
      </c>
      <c r="H81" s="23">
        <f>E81+F81+G81</f>
        <v>50362.3</v>
      </c>
      <c r="I81" s="23">
        <f aca="true" t="shared" si="15" ref="I81:N81">I82+I90</f>
        <v>3350</v>
      </c>
      <c r="J81" s="23">
        <f t="shared" si="15"/>
        <v>0</v>
      </c>
      <c r="K81" s="23">
        <f t="shared" si="15"/>
        <v>53712.3</v>
      </c>
      <c r="L81" s="23">
        <f t="shared" si="15"/>
        <v>1600</v>
      </c>
      <c r="M81" s="23">
        <f t="shared" si="15"/>
        <v>0</v>
      </c>
      <c r="N81" s="23">
        <f t="shared" si="15"/>
        <v>55312.3</v>
      </c>
    </row>
    <row r="82" spans="1:14" ht="12.75">
      <c r="A82" s="6" t="s">
        <v>34</v>
      </c>
      <c r="B82" s="26">
        <f aca="true" t="shared" si="16" ref="B82:N82">SUM(B84:B89)</f>
        <v>45200</v>
      </c>
      <c r="C82" s="26">
        <f t="shared" si="16"/>
        <v>1160</v>
      </c>
      <c r="D82" s="26">
        <f t="shared" si="16"/>
        <v>3820</v>
      </c>
      <c r="E82" s="26">
        <f t="shared" si="16"/>
        <v>50180</v>
      </c>
      <c r="F82" s="26">
        <f t="shared" si="16"/>
        <v>187.29999999999998</v>
      </c>
      <c r="G82" s="26">
        <f t="shared" si="16"/>
        <v>-5</v>
      </c>
      <c r="H82" s="26">
        <f t="shared" si="16"/>
        <v>50362.3</v>
      </c>
      <c r="I82" s="26">
        <f t="shared" si="16"/>
        <v>3215</v>
      </c>
      <c r="J82" s="26">
        <f t="shared" si="16"/>
        <v>0</v>
      </c>
      <c r="K82" s="26">
        <f t="shared" si="16"/>
        <v>53577.3</v>
      </c>
      <c r="L82" s="26">
        <f t="shared" si="16"/>
        <v>1600</v>
      </c>
      <c r="M82" s="26">
        <f t="shared" si="16"/>
        <v>0</v>
      </c>
      <c r="N82" s="26">
        <f t="shared" si="16"/>
        <v>55177.3</v>
      </c>
    </row>
    <row r="83" spans="1:14" ht="12.75">
      <c r="A83" s="3" t="s">
        <v>1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</row>
    <row r="84" spans="1:14" ht="12.75">
      <c r="A84" s="4" t="s">
        <v>6</v>
      </c>
      <c r="B84" s="61">
        <v>20247</v>
      </c>
      <c r="C84" s="61"/>
      <c r="D84" s="61"/>
      <c r="E84" s="61">
        <f>B84+C84</f>
        <v>20247</v>
      </c>
      <c r="F84" s="61">
        <v>138.7</v>
      </c>
      <c r="G84" s="61"/>
      <c r="H84" s="61">
        <f aca="true" t="shared" si="17" ref="H84:H90">E84+F84+G84</f>
        <v>20385.7</v>
      </c>
      <c r="I84" s="61"/>
      <c r="J84" s="61"/>
      <c r="K84" s="61">
        <f aca="true" t="shared" si="18" ref="K84:K89">H84+I84+J84</f>
        <v>20385.7</v>
      </c>
      <c r="L84" s="61"/>
      <c r="M84" s="61"/>
      <c r="N84" s="61">
        <f aca="true" t="shared" si="19" ref="N84:N89">K84+L84+M84</f>
        <v>20385.7</v>
      </c>
    </row>
    <row r="85" spans="1:14" ht="12.75">
      <c r="A85" s="4" t="s">
        <v>7</v>
      </c>
      <c r="B85" s="61">
        <v>5039</v>
      </c>
      <c r="C85" s="61"/>
      <c r="D85" s="61"/>
      <c r="E85" s="61">
        <f>B85+C85</f>
        <v>5039</v>
      </c>
      <c r="F85" s="61">
        <v>48.6</v>
      </c>
      <c r="G85" s="61"/>
      <c r="H85" s="61">
        <f t="shared" si="17"/>
        <v>5087.6</v>
      </c>
      <c r="I85" s="61"/>
      <c r="J85" s="61"/>
      <c r="K85" s="61">
        <f t="shared" si="18"/>
        <v>5087.6</v>
      </c>
      <c r="L85" s="61"/>
      <c r="M85" s="61"/>
      <c r="N85" s="61">
        <f t="shared" si="19"/>
        <v>5087.6</v>
      </c>
    </row>
    <row r="86" spans="1:14" ht="12.75">
      <c r="A86" s="4" t="s">
        <v>8</v>
      </c>
      <c r="B86" s="61">
        <v>1800</v>
      </c>
      <c r="C86" s="61"/>
      <c r="D86" s="61">
        <v>180</v>
      </c>
      <c r="E86" s="61">
        <f>B86+C86+D86</f>
        <v>1980</v>
      </c>
      <c r="F86" s="61"/>
      <c r="G86" s="61"/>
      <c r="H86" s="61">
        <f t="shared" si="17"/>
        <v>1980</v>
      </c>
      <c r="I86" s="61"/>
      <c r="J86" s="61"/>
      <c r="K86" s="61">
        <f t="shared" si="18"/>
        <v>1980</v>
      </c>
      <c r="L86" s="61"/>
      <c r="M86" s="61"/>
      <c r="N86" s="61">
        <f t="shared" si="19"/>
        <v>1980</v>
      </c>
    </row>
    <row r="87" spans="1:14" ht="12.75">
      <c r="A87" s="4" t="s">
        <v>9</v>
      </c>
      <c r="B87" s="61">
        <v>7464</v>
      </c>
      <c r="C87" s="61">
        <v>300</v>
      </c>
      <c r="D87" s="61">
        <v>3500</v>
      </c>
      <c r="E87" s="61">
        <f>B87+C87+D87</f>
        <v>11264</v>
      </c>
      <c r="F87" s="61"/>
      <c r="G87" s="61"/>
      <c r="H87" s="61">
        <f t="shared" si="17"/>
        <v>11264</v>
      </c>
      <c r="I87" s="61">
        <f>250+600</f>
        <v>850</v>
      </c>
      <c r="J87" s="61"/>
      <c r="K87" s="61">
        <f t="shared" si="18"/>
        <v>12114</v>
      </c>
      <c r="L87" s="61">
        <f>2000-200-200</f>
        <v>1600</v>
      </c>
      <c r="M87" s="61"/>
      <c r="N87" s="61">
        <f t="shared" si="19"/>
        <v>13714</v>
      </c>
    </row>
    <row r="88" spans="1:14" ht="12.75">
      <c r="A88" s="4" t="s">
        <v>28</v>
      </c>
      <c r="B88" s="61">
        <v>2000</v>
      </c>
      <c r="C88" s="61"/>
      <c r="D88" s="61"/>
      <c r="E88" s="61">
        <f>SUM(B88:D88)</f>
        <v>2000</v>
      </c>
      <c r="F88" s="61"/>
      <c r="G88" s="61"/>
      <c r="H88" s="61">
        <f t="shared" si="17"/>
        <v>2000</v>
      </c>
      <c r="I88" s="61"/>
      <c r="J88" s="61"/>
      <c r="K88" s="61">
        <f t="shared" si="18"/>
        <v>2000</v>
      </c>
      <c r="L88" s="61"/>
      <c r="M88" s="61"/>
      <c r="N88" s="61">
        <f t="shared" si="19"/>
        <v>2000</v>
      </c>
    </row>
    <row r="89" spans="1:14" ht="12.75">
      <c r="A89" s="4" t="s">
        <v>10</v>
      </c>
      <c r="B89" s="61">
        <v>8650</v>
      </c>
      <c r="C89" s="61">
        <f>560+300</f>
        <v>860</v>
      </c>
      <c r="D89" s="61">
        <v>140</v>
      </c>
      <c r="E89" s="61">
        <f>SUM(B89:D89)</f>
        <v>9650</v>
      </c>
      <c r="F89" s="61"/>
      <c r="G89" s="61">
        <v>-5</v>
      </c>
      <c r="H89" s="61">
        <f t="shared" si="17"/>
        <v>9645</v>
      </c>
      <c r="I89" s="61">
        <f>-50+2500-85</f>
        <v>2365</v>
      </c>
      <c r="J89" s="61"/>
      <c r="K89" s="61">
        <f t="shared" si="18"/>
        <v>12010</v>
      </c>
      <c r="L89" s="61"/>
      <c r="M89" s="61"/>
      <c r="N89" s="61">
        <f t="shared" si="19"/>
        <v>12010</v>
      </c>
    </row>
    <row r="90" spans="1:14" ht="12.75">
      <c r="A90" s="12" t="s">
        <v>35</v>
      </c>
      <c r="B90" s="27">
        <f>SUM(B92:B93)</f>
        <v>0</v>
      </c>
      <c r="C90" s="27">
        <f>SUM(C92:C93)</f>
        <v>0</v>
      </c>
      <c r="D90" s="27">
        <f>SUM(D92:D93)</f>
        <v>0</v>
      </c>
      <c r="E90" s="27">
        <f>B90+C90+D90</f>
        <v>0</v>
      </c>
      <c r="F90" s="27">
        <f>SUM(F92:F93)</f>
        <v>0</v>
      </c>
      <c r="G90" s="27">
        <f>SUM(G92:G93)</f>
        <v>0</v>
      </c>
      <c r="H90" s="27">
        <f t="shared" si="17"/>
        <v>0</v>
      </c>
      <c r="I90" s="27">
        <f aca="true" t="shared" si="20" ref="I90:N90">SUM(I92:I93)</f>
        <v>135</v>
      </c>
      <c r="J90" s="27">
        <f t="shared" si="20"/>
        <v>0</v>
      </c>
      <c r="K90" s="27">
        <f t="shared" si="20"/>
        <v>135</v>
      </c>
      <c r="L90" s="27">
        <f t="shared" si="20"/>
        <v>0</v>
      </c>
      <c r="M90" s="27">
        <f t="shared" si="20"/>
        <v>0</v>
      </c>
      <c r="N90" s="27">
        <f t="shared" si="20"/>
        <v>135</v>
      </c>
    </row>
    <row r="91" spans="1:14" ht="12.75">
      <c r="A91" s="9" t="s">
        <v>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4" ht="12.75" hidden="1">
      <c r="A92" s="60" t="s">
        <v>38</v>
      </c>
      <c r="B92" s="61"/>
      <c r="C92" s="61"/>
      <c r="D92" s="61"/>
      <c r="E92" s="61">
        <f>B92+C92</f>
        <v>0</v>
      </c>
      <c r="F92" s="61"/>
      <c r="G92" s="61"/>
      <c r="H92" s="61">
        <f>E92+F92+G92</f>
        <v>0</v>
      </c>
      <c r="I92" s="61"/>
      <c r="J92" s="61"/>
      <c r="K92" s="61">
        <f>H92+I92+J92</f>
        <v>0</v>
      </c>
      <c r="L92" s="61"/>
      <c r="M92" s="61"/>
      <c r="N92" s="61">
        <f>K92+L92+M92</f>
        <v>0</v>
      </c>
    </row>
    <row r="93" spans="1:14" ht="12.75">
      <c r="A93" s="21" t="s">
        <v>10</v>
      </c>
      <c r="B93" s="63"/>
      <c r="C93" s="63"/>
      <c r="D93" s="63"/>
      <c r="E93" s="63">
        <f>SUM(B93:D93)</f>
        <v>0</v>
      </c>
      <c r="F93" s="63"/>
      <c r="G93" s="63"/>
      <c r="H93" s="63">
        <f>E93+F93+G93</f>
        <v>0</v>
      </c>
      <c r="I93" s="63">
        <f>50+85</f>
        <v>135</v>
      </c>
      <c r="J93" s="63"/>
      <c r="K93" s="63">
        <f>H93+I93+J93</f>
        <v>135</v>
      </c>
      <c r="L93" s="63"/>
      <c r="M93" s="63"/>
      <c r="N93" s="63">
        <f>K93+L93+M93</f>
        <v>135</v>
      </c>
    </row>
    <row r="94" spans="1:14" ht="12.75">
      <c r="A94" s="2" t="s">
        <v>15</v>
      </c>
      <c r="B94" s="23">
        <f>B95</f>
        <v>244237</v>
      </c>
      <c r="C94" s="23">
        <f>C95</f>
        <v>17103.2</v>
      </c>
      <c r="D94" s="23">
        <f>D95</f>
        <v>1643</v>
      </c>
      <c r="E94" s="23">
        <f>B94+C94+D94</f>
        <v>262983.2</v>
      </c>
      <c r="F94" s="23">
        <f>F95</f>
        <v>30</v>
      </c>
      <c r="G94" s="23">
        <f>G95</f>
        <v>0</v>
      </c>
      <c r="H94" s="23">
        <f>E94+F94+G94</f>
        <v>263013.2</v>
      </c>
      <c r="I94" s="23">
        <f>I95</f>
        <v>3882</v>
      </c>
      <c r="J94" s="23">
        <f>J95</f>
        <v>0</v>
      </c>
      <c r="K94" s="23">
        <f>K95+K110</f>
        <v>266895.2</v>
      </c>
      <c r="L94" s="23">
        <f>L95+L110</f>
        <v>1770.6</v>
      </c>
      <c r="M94" s="23">
        <f>M95+M110</f>
        <v>0</v>
      </c>
      <c r="N94" s="23">
        <f>N95+N110</f>
        <v>268665.8</v>
      </c>
    </row>
    <row r="95" spans="1:14" ht="12.75">
      <c r="A95" s="6" t="s">
        <v>34</v>
      </c>
      <c r="B95" s="26">
        <f>SUM(B97:B109)</f>
        <v>244237</v>
      </c>
      <c r="C95" s="26">
        <f>SUM(C97:C109)</f>
        <v>17103.2</v>
      </c>
      <c r="D95" s="26">
        <f>SUM(D97:D109)</f>
        <v>1643</v>
      </c>
      <c r="E95" s="26">
        <f>B95+C95+D95</f>
        <v>262983.2</v>
      </c>
      <c r="F95" s="26">
        <f>SUM(F97:F109)</f>
        <v>30</v>
      </c>
      <c r="G95" s="26">
        <f>SUM(G97:G109)</f>
        <v>0</v>
      </c>
      <c r="H95" s="26">
        <f>E95+F95+G95</f>
        <v>263013.2</v>
      </c>
      <c r="I95" s="26">
        <f aca="true" t="shared" si="21" ref="I95:N95">SUM(I97:I109)</f>
        <v>3882</v>
      </c>
      <c r="J95" s="26">
        <f t="shared" si="21"/>
        <v>0</v>
      </c>
      <c r="K95" s="26">
        <f t="shared" si="21"/>
        <v>266895.2</v>
      </c>
      <c r="L95" s="26">
        <f t="shared" si="21"/>
        <v>1770.6</v>
      </c>
      <c r="M95" s="26">
        <f t="shared" si="21"/>
        <v>0</v>
      </c>
      <c r="N95" s="26">
        <f t="shared" si="21"/>
        <v>268665.8</v>
      </c>
    </row>
    <row r="96" spans="1:14" ht="12.75">
      <c r="A96" s="3" t="s">
        <v>1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</row>
    <row r="97" spans="1:14" ht="12.75">
      <c r="A97" s="4" t="s">
        <v>11</v>
      </c>
      <c r="B97" s="61">
        <v>118069</v>
      </c>
      <c r="C97" s="61">
        <v>7384</v>
      </c>
      <c r="D97" s="61"/>
      <c r="E97" s="61">
        <f>B97+C97</f>
        <v>125453</v>
      </c>
      <c r="F97" s="61"/>
      <c r="G97" s="61"/>
      <c r="H97" s="61">
        <f aca="true" t="shared" si="22" ref="H97:H107">E97+F97+G97</f>
        <v>125453</v>
      </c>
      <c r="I97" s="61"/>
      <c r="J97" s="61"/>
      <c r="K97" s="61">
        <f aca="true" t="shared" si="23" ref="K97:K109">H97+I97+J97</f>
        <v>125453</v>
      </c>
      <c r="L97" s="61">
        <f>16.5-157.5-277</f>
        <v>-418</v>
      </c>
      <c r="M97" s="61"/>
      <c r="N97" s="61">
        <f aca="true" t="shared" si="24" ref="N97:N109">K97+L97+M97</f>
        <v>125035</v>
      </c>
    </row>
    <row r="98" spans="1:14" ht="12.75">
      <c r="A98" s="4" t="s">
        <v>7</v>
      </c>
      <c r="B98" s="61">
        <v>41383</v>
      </c>
      <c r="C98" s="61">
        <v>2616</v>
      </c>
      <c r="D98" s="61"/>
      <c r="E98" s="61">
        <f>B98+C98</f>
        <v>43999</v>
      </c>
      <c r="F98" s="61"/>
      <c r="G98" s="61"/>
      <c r="H98" s="61">
        <f t="shared" si="22"/>
        <v>43999</v>
      </c>
      <c r="I98" s="61"/>
      <c r="J98" s="61"/>
      <c r="K98" s="61">
        <f t="shared" si="23"/>
        <v>43999</v>
      </c>
      <c r="L98" s="61">
        <f>157.5</f>
        <v>157.5</v>
      </c>
      <c r="M98" s="61"/>
      <c r="N98" s="61">
        <f t="shared" si="24"/>
        <v>44156.5</v>
      </c>
    </row>
    <row r="99" spans="1:14" ht="12.75">
      <c r="A99" s="4" t="s">
        <v>12</v>
      </c>
      <c r="B99" s="61">
        <v>280</v>
      </c>
      <c r="C99" s="61"/>
      <c r="D99" s="61"/>
      <c r="E99" s="61">
        <f>B99+C99</f>
        <v>280</v>
      </c>
      <c r="F99" s="61"/>
      <c r="G99" s="61"/>
      <c r="H99" s="61">
        <f t="shared" si="22"/>
        <v>280</v>
      </c>
      <c r="I99" s="61"/>
      <c r="J99" s="61"/>
      <c r="K99" s="61">
        <f t="shared" si="23"/>
        <v>280</v>
      </c>
      <c r="L99" s="61"/>
      <c r="M99" s="61"/>
      <c r="N99" s="61">
        <f t="shared" si="24"/>
        <v>280</v>
      </c>
    </row>
    <row r="100" spans="1:14" ht="12.75">
      <c r="A100" s="4" t="s">
        <v>9</v>
      </c>
      <c r="B100" s="61">
        <v>43290</v>
      </c>
      <c r="C100" s="61">
        <f>7103.2-5600</f>
        <v>1503.1999999999998</v>
      </c>
      <c r="D100" s="61">
        <v>1643</v>
      </c>
      <c r="E100" s="61">
        <f>B100+C100+D100</f>
        <v>46436.2</v>
      </c>
      <c r="F100" s="61"/>
      <c r="G100" s="61"/>
      <c r="H100" s="61">
        <f t="shared" si="22"/>
        <v>46436.2</v>
      </c>
      <c r="I100" s="61">
        <f>24+550</f>
        <v>574</v>
      </c>
      <c r="J100" s="61"/>
      <c r="K100" s="61">
        <f t="shared" si="23"/>
        <v>47010.2</v>
      </c>
      <c r="L100" s="61">
        <f>1658.3-375+277+120</f>
        <v>1680.3</v>
      </c>
      <c r="M100" s="61"/>
      <c r="N100" s="61">
        <f t="shared" si="24"/>
        <v>48690.5</v>
      </c>
    </row>
    <row r="101" spans="1:14" ht="12.75">
      <c r="A101" s="4" t="s">
        <v>13</v>
      </c>
      <c r="B101" s="61">
        <v>152</v>
      </c>
      <c r="C101" s="61"/>
      <c r="D101" s="61"/>
      <c r="E101" s="61">
        <f>B101+C101</f>
        <v>152</v>
      </c>
      <c r="F101" s="61"/>
      <c r="G101" s="61"/>
      <c r="H101" s="61">
        <f t="shared" si="22"/>
        <v>152</v>
      </c>
      <c r="I101" s="61"/>
      <c r="J101" s="61"/>
      <c r="K101" s="61">
        <f t="shared" si="23"/>
        <v>152</v>
      </c>
      <c r="L101" s="61"/>
      <c r="M101" s="61"/>
      <c r="N101" s="61">
        <f t="shared" si="24"/>
        <v>152</v>
      </c>
    </row>
    <row r="102" spans="1:14" ht="12.75">
      <c r="A102" s="4" t="s">
        <v>50</v>
      </c>
      <c r="B102" s="61">
        <v>580</v>
      </c>
      <c r="C102" s="61"/>
      <c r="D102" s="61"/>
      <c r="E102" s="61">
        <f>B102+C102</f>
        <v>580</v>
      </c>
      <c r="F102" s="61"/>
      <c r="G102" s="61"/>
      <c r="H102" s="61">
        <f t="shared" si="22"/>
        <v>580</v>
      </c>
      <c r="I102" s="61"/>
      <c r="J102" s="61"/>
      <c r="K102" s="61">
        <f t="shared" si="23"/>
        <v>580</v>
      </c>
      <c r="L102" s="61"/>
      <c r="M102" s="61"/>
      <c r="N102" s="61">
        <f t="shared" si="24"/>
        <v>580</v>
      </c>
    </row>
    <row r="103" spans="1:14" ht="12.75">
      <c r="A103" s="4" t="s">
        <v>197</v>
      </c>
      <c r="B103" s="61">
        <v>40483</v>
      </c>
      <c r="C103" s="61">
        <v>5600</v>
      </c>
      <c r="D103" s="61"/>
      <c r="E103" s="61">
        <f>B103+C103</f>
        <v>46083</v>
      </c>
      <c r="F103" s="61"/>
      <c r="G103" s="61"/>
      <c r="H103" s="61">
        <f t="shared" si="22"/>
        <v>46083</v>
      </c>
      <c r="I103" s="61">
        <v>3000</v>
      </c>
      <c r="J103" s="61"/>
      <c r="K103" s="61">
        <f t="shared" si="23"/>
        <v>49083</v>
      </c>
      <c r="L103" s="61"/>
      <c r="M103" s="61"/>
      <c r="N103" s="61">
        <f t="shared" si="24"/>
        <v>49083</v>
      </c>
    </row>
    <row r="104" spans="1:14" ht="12.75">
      <c r="A104" s="4" t="s">
        <v>243</v>
      </c>
      <c r="B104" s="61"/>
      <c r="C104" s="61"/>
      <c r="D104" s="61"/>
      <c r="E104" s="61"/>
      <c r="F104" s="61"/>
      <c r="G104" s="61"/>
      <c r="H104" s="61">
        <v>0</v>
      </c>
      <c r="I104" s="61">
        <v>44</v>
      </c>
      <c r="J104" s="61"/>
      <c r="K104" s="61">
        <f t="shared" si="23"/>
        <v>44</v>
      </c>
      <c r="L104" s="61"/>
      <c r="M104" s="61"/>
      <c r="N104" s="61">
        <f t="shared" si="24"/>
        <v>44</v>
      </c>
    </row>
    <row r="105" spans="1:14" ht="12.75">
      <c r="A105" s="4" t="s">
        <v>246</v>
      </c>
      <c r="B105" s="61"/>
      <c r="C105" s="61"/>
      <c r="D105" s="61"/>
      <c r="E105" s="61"/>
      <c r="F105" s="61"/>
      <c r="G105" s="61"/>
      <c r="H105" s="61">
        <v>0</v>
      </c>
      <c r="I105" s="61">
        <v>104</v>
      </c>
      <c r="J105" s="61"/>
      <c r="K105" s="61">
        <f t="shared" si="23"/>
        <v>104</v>
      </c>
      <c r="L105" s="61">
        <v>-89.2</v>
      </c>
      <c r="M105" s="61"/>
      <c r="N105" s="61">
        <f t="shared" si="24"/>
        <v>14.799999999999997</v>
      </c>
    </row>
    <row r="106" spans="1:14" ht="12.75">
      <c r="A106" s="4" t="s">
        <v>247</v>
      </c>
      <c r="B106" s="61"/>
      <c r="C106" s="61"/>
      <c r="D106" s="61"/>
      <c r="E106" s="61"/>
      <c r="F106" s="61"/>
      <c r="G106" s="61"/>
      <c r="H106" s="61">
        <v>0</v>
      </c>
      <c r="I106" s="61">
        <v>160</v>
      </c>
      <c r="J106" s="61"/>
      <c r="K106" s="61">
        <f t="shared" si="23"/>
        <v>160</v>
      </c>
      <c r="L106" s="61"/>
      <c r="M106" s="61"/>
      <c r="N106" s="61">
        <f t="shared" si="24"/>
        <v>160</v>
      </c>
    </row>
    <row r="107" spans="1:14" ht="12.75">
      <c r="A107" s="4" t="s">
        <v>179</v>
      </c>
      <c r="B107" s="61"/>
      <c r="C107" s="61"/>
      <c r="D107" s="61"/>
      <c r="E107" s="61"/>
      <c r="F107" s="61">
        <v>30</v>
      </c>
      <c r="G107" s="61"/>
      <c r="H107" s="61">
        <f t="shared" si="22"/>
        <v>30</v>
      </c>
      <c r="I107" s="61"/>
      <c r="J107" s="61"/>
      <c r="K107" s="61">
        <f t="shared" si="23"/>
        <v>30</v>
      </c>
      <c r="L107" s="61"/>
      <c r="M107" s="61"/>
      <c r="N107" s="61">
        <f t="shared" si="24"/>
        <v>30</v>
      </c>
    </row>
    <row r="108" spans="1:14" ht="12.75">
      <c r="A108" s="4" t="s">
        <v>253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>
        <f t="shared" si="23"/>
        <v>0</v>
      </c>
      <c r="L108" s="61">
        <v>100</v>
      </c>
      <c r="M108" s="61"/>
      <c r="N108" s="61">
        <f t="shared" si="24"/>
        <v>100</v>
      </c>
    </row>
    <row r="109" spans="1:14" ht="12.75">
      <c r="A109" s="21" t="s">
        <v>180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>
        <f t="shared" si="23"/>
        <v>0</v>
      </c>
      <c r="L109" s="63">
        <v>340</v>
      </c>
      <c r="M109" s="63"/>
      <c r="N109" s="63">
        <f t="shared" si="24"/>
        <v>340</v>
      </c>
    </row>
    <row r="110" spans="1:14" ht="12.75" customHeight="1" hidden="1">
      <c r="A110" s="6" t="s">
        <v>35</v>
      </c>
      <c r="B110" s="26">
        <f>B112</f>
        <v>0</v>
      </c>
      <c r="C110" s="26">
        <f>C112</f>
        <v>0</v>
      </c>
      <c r="D110" s="26">
        <f>D112</f>
        <v>0</v>
      </c>
      <c r="E110" s="26">
        <f>B110+C110+D110</f>
        <v>0</v>
      </c>
      <c r="F110" s="26">
        <f>F112</f>
        <v>0</v>
      </c>
      <c r="G110" s="26">
        <f>G112</f>
        <v>0</v>
      </c>
      <c r="H110" s="26">
        <f>E110+F110+G110</f>
        <v>0</v>
      </c>
      <c r="I110" s="26">
        <f aca="true" t="shared" si="25" ref="I110:N110">I112</f>
        <v>0</v>
      </c>
      <c r="J110" s="26">
        <f t="shared" si="25"/>
        <v>0</v>
      </c>
      <c r="K110" s="26">
        <f t="shared" si="25"/>
        <v>0</v>
      </c>
      <c r="L110" s="26">
        <f t="shared" si="25"/>
        <v>0</v>
      </c>
      <c r="M110" s="26">
        <f t="shared" si="25"/>
        <v>0</v>
      </c>
      <c r="N110" s="26">
        <f t="shared" si="25"/>
        <v>0</v>
      </c>
    </row>
    <row r="111" spans="1:14" ht="12.75" customHeight="1" hidden="1">
      <c r="A111" s="3" t="s">
        <v>1</v>
      </c>
      <c r="B111" s="61"/>
      <c r="C111" s="61"/>
      <c r="D111" s="61"/>
      <c r="E111" s="23"/>
      <c r="F111" s="61"/>
      <c r="G111" s="61"/>
      <c r="H111" s="23"/>
      <c r="I111" s="61"/>
      <c r="J111" s="61"/>
      <c r="K111" s="23"/>
      <c r="L111" s="61"/>
      <c r="M111" s="61"/>
      <c r="N111" s="23"/>
    </row>
    <row r="112" spans="1:14" ht="12.75" customHeight="1" hidden="1">
      <c r="A112" s="21" t="s">
        <v>186</v>
      </c>
      <c r="B112" s="63"/>
      <c r="C112" s="63"/>
      <c r="D112" s="63"/>
      <c r="E112" s="63">
        <f>SUM(B112:D112)</f>
        <v>0</v>
      </c>
      <c r="F112" s="63"/>
      <c r="G112" s="63"/>
      <c r="H112" s="63">
        <f>SUM(E112:G112)</f>
        <v>0</v>
      </c>
      <c r="I112" s="63"/>
      <c r="J112" s="63"/>
      <c r="K112" s="63">
        <f>H112+I112+J112</f>
        <v>0</v>
      </c>
      <c r="L112" s="63"/>
      <c r="M112" s="63"/>
      <c r="N112" s="63">
        <f>SUM(K112:M112)</f>
        <v>0</v>
      </c>
    </row>
    <row r="113" spans="1:14" ht="12.75">
      <c r="A113" s="2" t="s">
        <v>71</v>
      </c>
      <c r="B113" s="23">
        <f>B114+B125</f>
        <v>133200</v>
      </c>
      <c r="C113" s="23">
        <f>C114+C125</f>
        <v>3468.1</v>
      </c>
      <c r="D113" s="23">
        <f>D114+D125</f>
        <v>19972.7</v>
      </c>
      <c r="E113" s="23">
        <f>B113+C113+D113</f>
        <v>156640.80000000002</v>
      </c>
      <c r="F113" s="23">
        <f>F114+F125</f>
        <v>8996.3</v>
      </c>
      <c r="G113" s="23">
        <f>G114+G125</f>
        <v>33513.7</v>
      </c>
      <c r="H113" s="23">
        <f>E113+F113+G113</f>
        <v>199150.8</v>
      </c>
      <c r="I113" s="23">
        <f aca="true" t="shared" si="26" ref="I113:N113">I114+I125</f>
        <v>11352.3</v>
      </c>
      <c r="J113" s="23">
        <f t="shared" si="26"/>
        <v>0</v>
      </c>
      <c r="K113" s="23">
        <f t="shared" si="26"/>
        <v>210503.09999999998</v>
      </c>
      <c r="L113" s="23">
        <f t="shared" si="26"/>
        <v>1500</v>
      </c>
      <c r="M113" s="23">
        <f t="shared" si="26"/>
        <v>0</v>
      </c>
      <c r="N113" s="23">
        <f t="shared" si="26"/>
        <v>212003.1</v>
      </c>
    </row>
    <row r="114" spans="1:14" ht="12.75">
      <c r="A114" s="6" t="s">
        <v>34</v>
      </c>
      <c r="B114" s="26">
        <f>SUM(B116:B123)</f>
        <v>88200</v>
      </c>
      <c r="C114" s="26">
        <f>SUM(C116:C123)</f>
        <v>271.1</v>
      </c>
      <c r="D114" s="26">
        <f>SUM(D116:D123)</f>
        <v>240</v>
      </c>
      <c r="E114" s="26">
        <f>B114+C114+D114</f>
        <v>88711.1</v>
      </c>
      <c r="F114" s="26">
        <f>SUM(F116:F123)</f>
        <v>3517.3</v>
      </c>
      <c r="G114" s="26">
        <f>SUM(G116:G123)</f>
        <v>6423.6</v>
      </c>
      <c r="H114" s="26">
        <f>E114+F114+G114</f>
        <v>98652.00000000001</v>
      </c>
      <c r="I114" s="26">
        <f aca="true" t="shared" si="27" ref="I114:N114">SUM(I116:I123)</f>
        <v>2352.3</v>
      </c>
      <c r="J114" s="26">
        <f t="shared" si="27"/>
        <v>112.5</v>
      </c>
      <c r="K114" s="26">
        <f t="shared" si="27"/>
        <v>101116.8</v>
      </c>
      <c r="L114" s="26">
        <f t="shared" si="27"/>
        <v>-5735.9</v>
      </c>
      <c r="M114" s="26">
        <f t="shared" si="27"/>
        <v>0</v>
      </c>
      <c r="N114" s="26">
        <f t="shared" si="27"/>
        <v>95380.90000000001</v>
      </c>
    </row>
    <row r="115" spans="1:14" ht="12.75">
      <c r="A115" s="3" t="s">
        <v>1</v>
      </c>
      <c r="B115" s="61"/>
      <c r="C115" s="61"/>
      <c r="D115" s="61"/>
      <c r="E115" s="23"/>
      <c r="F115" s="61"/>
      <c r="G115" s="61"/>
      <c r="H115" s="23"/>
      <c r="I115" s="61"/>
      <c r="J115" s="61"/>
      <c r="K115" s="23"/>
      <c r="L115" s="61"/>
      <c r="M115" s="61"/>
      <c r="N115" s="23"/>
    </row>
    <row r="116" spans="1:14" ht="12.75">
      <c r="A116" s="7" t="s">
        <v>123</v>
      </c>
      <c r="B116" s="64">
        <v>45000</v>
      </c>
      <c r="C116" s="64"/>
      <c r="D116" s="64"/>
      <c r="E116" s="61">
        <f>B116+C116</f>
        <v>45000</v>
      </c>
      <c r="F116" s="64"/>
      <c r="G116" s="64"/>
      <c r="H116" s="61">
        <f aca="true" t="shared" si="28" ref="H116:H125">E116+F116+G116</f>
        <v>45000</v>
      </c>
      <c r="I116" s="64"/>
      <c r="J116" s="64"/>
      <c r="K116" s="61">
        <f aca="true" t="shared" si="29" ref="K116:K124">H116+I116+J116</f>
        <v>45000</v>
      </c>
      <c r="L116" s="64"/>
      <c r="M116" s="64"/>
      <c r="N116" s="61">
        <f aca="true" t="shared" si="30" ref="N116:N124">K116+L116+M116</f>
        <v>45000</v>
      </c>
    </row>
    <row r="117" spans="1:14" ht="12.75">
      <c r="A117" s="4" t="s">
        <v>9</v>
      </c>
      <c r="B117" s="61">
        <v>43200</v>
      </c>
      <c r="C117" s="61"/>
      <c r="D117" s="61">
        <v>240</v>
      </c>
      <c r="E117" s="61">
        <f>SUM(B117:D117)</f>
        <v>43440</v>
      </c>
      <c r="F117" s="61">
        <v>-200</v>
      </c>
      <c r="G117" s="61">
        <f>-2884.1+7709.7</f>
        <v>4825.6</v>
      </c>
      <c r="H117" s="61">
        <f t="shared" si="28"/>
        <v>48065.6</v>
      </c>
      <c r="I117" s="61">
        <f>2000+80</f>
        <v>2080</v>
      </c>
      <c r="J117" s="61">
        <f>-3494.2-120</f>
        <v>-3614.2</v>
      </c>
      <c r="K117" s="61">
        <f t="shared" si="29"/>
        <v>46531.4</v>
      </c>
      <c r="L117" s="61">
        <f>-7235</f>
        <v>-7235</v>
      </c>
      <c r="M117" s="61"/>
      <c r="N117" s="61">
        <f t="shared" si="30"/>
        <v>39296.4</v>
      </c>
    </row>
    <row r="118" spans="1:14" ht="12.75">
      <c r="A118" s="4" t="s">
        <v>212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>
        <v>1500</v>
      </c>
      <c r="M118" s="61"/>
      <c r="N118" s="61">
        <f t="shared" si="30"/>
        <v>1500</v>
      </c>
    </row>
    <row r="119" spans="1:14" ht="12.75">
      <c r="A119" s="4" t="s">
        <v>124</v>
      </c>
      <c r="B119" s="61"/>
      <c r="C119" s="61"/>
      <c r="D119" s="61"/>
      <c r="E119" s="61">
        <f>SUM(B119:D119)</f>
        <v>0</v>
      </c>
      <c r="F119" s="61"/>
      <c r="G119" s="61">
        <f>454.1+330</f>
        <v>784.1</v>
      </c>
      <c r="H119" s="61">
        <f t="shared" si="28"/>
        <v>784.1</v>
      </c>
      <c r="I119" s="61">
        <f>-80+45</f>
        <v>-35</v>
      </c>
      <c r="J119" s="61">
        <f>3494.2+120</f>
        <v>3614.2</v>
      </c>
      <c r="K119" s="61">
        <f t="shared" si="29"/>
        <v>4363.3</v>
      </c>
      <c r="L119" s="61">
        <v>-103</v>
      </c>
      <c r="M119" s="61"/>
      <c r="N119" s="61">
        <f t="shared" si="30"/>
        <v>4260.3</v>
      </c>
    </row>
    <row r="120" spans="1:14" ht="12.75">
      <c r="A120" s="4" t="s">
        <v>146</v>
      </c>
      <c r="B120" s="61"/>
      <c r="C120" s="61"/>
      <c r="D120" s="61"/>
      <c r="E120" s="61">
        <f>SUM(B120:D120)</f>
        <v>0</v>
      </c>
      <c r="F120" s="61"/>
      <c r="G120" s="61"/>
      <c r="H120" s="61">
        <f t="shared" si="28"/>
        <v>0</v>
      </c>
      <c r="I120" s="61"/>
      <c r="J120" s="61"/>
      <c r="K120" s="61">
        <f t="shared" si="29"/>
        <v>0</v>
      </c>
      <c r="L120" s="61"/>
      <c r="M120" s="61"/>
      <c r="N120" s="61">
        <f t="shared" si="30"/>
        <v>0</v>
      </c>
    </row>
    <row r="121" spans="1:14" ht="12.75">
      <c r="A121" s="4" t="s">
        <v>181</v>
      </c>
      <c r="B121" s="61"/>
      <c r="C121" s="61"/>
      <c r="D121" s="61"/>
      <c r="E121" s="61"/>
      <c r="F121" s="61">
        <v>196.3</v>
      </c>
      <c r="G121" s="61"/>
      <c r="H121" s="61">
        <f t="shared" si="28"/>
        <v>196.3</v>
      </c>
      <c r="I121" s="61">
        <f>255.9+51.4</f>
        <v>307.3</v>
      </c>
      <c r="J121" s="61"/>
      <c r="K121" s="61">
        <f t="shared" si="29"/>
        <v>503.6</v>
      </c>
      <c r="L121" s="61"/>
      <c r="M121" s="61"/>
      <c r="N121" s="61">
        <f t="shared" si="30"/>
        <v>503.6</v>
      </c>
    </row>
    <row r="122" spans="1:14" ht="12.75">
      <c r="A122" s="4" t="s">
        <v>41</v>
      </c>
      <c r="B122" s="61"/>
      <c r="C122" s="61"/>
      <c r="D122" s="61"/>
      <c r="E122" s="61"/>
      <c r="F122" s="61">
        <v>3521</v>
      </c>
      <c r="G122" s="61"/>
      <c r="H122" s="61">
        <f t="shared" si="28"/>
        <v>3521</v>
      </c>
      <c r="I122" s="61"/>
      <c r="J122" s="61"/>
      <c r="K122" s="61">
        <f t="shared" si="29"/>
        <v>3521</v>
      </c>
      <c r="L122" s="61"/>
      <c r="M122" s="61"/>
      <c r="N122" s="61">
        <f t="shared" si="30"/>
        <v>3521</v>
      </c>
    </row>
    <row r="123" spans="1:14" ht="12.75">
      <c r="A123" s="60" t="s">
        <v>51</v>
      </c>
      <c r="B123" s="61"/>
      <c r="C123" s="61">
        <v>271.1</v>
      </c>
      <c r="D123" s="61"/>
      <c r="E123" s="61">
        <f>SUM(B123:D123)</f>
        <v>271.1</v>
      </c>
      <c r="F123" s="61"/>
      <c r="G123" s="61">
        <v>813.9</v>
      </c>
      <c r="H123" s="61">
        <f t="shared" si="28"/>
        <v>1085</v>
      </c>
      <c r="I123" s="61"/>
      <c r="J123" s="61">
        <v>112.5</v>
      </c>
      <c r="K123" s="61">
        <f t="shared" si="29"/>
        <v>1197.5</v>
      </c>
      <c r="L123" s="61">
        <v>102.1</v>
      </c>
      <c r="M123" s="61"/>
      <c r="N123" s="61">
        <f t="shared" si="30"/>
        <v>1299.6</v>
      </c>
    </row>
    <row r="124" spans="1:14" ht="12.75">
      <c r="A124" s="60" t="s">
        <v>125</v>
      </c>
      <c r="B124" s="61"/>
      <c r="C124" s="61">
        <v>271.1</v>
      </c>
      <c r="D124" s="61"/>
      <c r="E124" s="61">
        <f>SUM(B124:D124)</f>
        <v>271.1</v>
      </c>
      <c r="F124" s="61"/>
      <c r="G124" s="61">
        <v>813.9</v>
      </c>
      <c r="H124" s="61">
        <f t="shared" si="28"/>
        <v>1085</v>
      </c>
      <c r="I124" s="61"/>
      <c r="J124" s="61">
        <v>112.5</v>
      </c>
      <c r="K124" s="61">
        <f t="shared" si="29"/>
        <v>1197.5</v>
      </c>
      <c r="L124" s="61">
        <v>102.1</v>
      </c>
      <c r="M124" s="61"/>
      <c r="N124" s="61">
        <f t="shared" si="30"/>
        <v>1299.6</v>
      </c>
    </row>
    <row r="125" spans="1:14" ht="12.75">
      <c r="A125" s="12" t="s">
        <v>35</v>
      </c>
      <c r="B125" s="27">
        <f>SUM(B127:B131)</f>
        <v>45000</v>
      </c>
      <c r="C125" s="27">
        <f>SUM(C127:C131)</f>
        <v>3197</v>
      </c>
      <c r="D125" s="27">
        <f>SUM(D127:D131)</f>
        <v>19732.7</v>
      </c>
      <c r="E125" s="27">
        <f>B125+C125+D125</f>
        <v>67929.7</v>
      </c>
      <c r="F125" s="27">
        <f>SUM(F127:F131)</f>
        <v>5479</v>
      </c>
      <c r="G125" s="27">
        <f>SUM(G127:G131)</f>
        <v>27090.1</v>
      </c>
      <c r="H125" s="27">
        <f t="shared" si="28"/>
        <v>100498.79999999999</v>
      </c>
      <c r="I125" s="27">
        <f aca="true" t="shared" si="31" ref="I125:N125">SUM(I127:I131)</f>
        <v>9000</v>
      </c>
      <c r="J125" s="27">
        <f t="shared" si="31"/>
        <v>-112.5</v>
      </c>
      <c r="K125" s="27">
        <f t="shared" si="31"/>
        <v>109386.29999999999</v>
      </c>
      <c r="L125" s="27">
        <f t="shared" si="31"/>
        <v>7235.9</v>
      </c>
      <c r="M125" s="27">
        <f t="shared" si="31"/>
        <v>0</v>
      </c>
      <c r="N125" s="27">
        <f t="shared" si="31"/>
        <v>116622.2</v>
      </c>
    </row>
    <row r="126" spans="1:14" ht="12.75">
      <c r="A126" s="9" t="s">
        <v>1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12.75">
      <c r="A127" s="60" t="s">
        <v>210</v>
      </c>
      <c r="B127" s="61"/>
      <c r="C127" s="61">
        <v>3468.1</v>
      </c>
      <c r="D127" s="61"/>
      <c r="E127" s="61">
        <f>SUM(B127:D127)</f>
        <v>3468.1</v>
      </c>
      <c r="F127" s="61"/>
      <c r="G127" s="61"/>
      <c r="H127" s="61">
        <f>SUM(E127:G127)</f>
        <v>3468.1</v>
      </c>
      <c r="I127" s="61"/>
      <c r="J127" s="61"/>
      <c r="K127" s="61">
        <f aca="true" t="shared" si="32" ref="K127:K132">H127+I127+J127</f>
        <v>3468.1</v>
      </c>
      <c r="L127" s="61">
        <v>-1100</v>
      </c>
      <c r="M127" s="61"/>
      <c r="N127" s="61">
        <f aca="true" t="shared" si="33" ref="N127:N132">K127+L127+M127</f>
        <v>2368.1</v>
      </c>
    </row>
    <row r="128" spans="1:14" ht="12.75">
      <c r="A128" s="60" t="s">
        <v>132</v>
      </c>
      <c r="B128" s="61"/>
      <c r="C128" s="61"/>
      <c r="D128" s="61">
        <v>18832.7</v>
      </c>
      <c r="E128" s="61">
        <f>SUM(B128:D128)</f>
        <v>18832.7</v>
      </c>
      <c r="F128" s="61"/>
      <c r="G128" s="61">
        <v>8000</v>
      </c>
      <c r="H128" s="61">
        <f>SUM(E128:G128)</f>
        <v>26832.7</v>
      </c>
      <c r="I128" s="61">
        <v>9000</v>
      </c>
      <c r="J128" s="61"/>
      <c r="K128" s="61">
        <f t="shared" si="32"/>
        <v>35832.7</v>
      </c>
      <c r="L128" s="61">
        <v>6188</v>
      </c>
      <c r="M128" s="61"/>
      <c r="N128" s="61">
        <f t="shared" si="33"/>
        <v>42020.7</v>
      </c>
    </row>
    <row r="129" spans="1:14" ht="12.75">
      <c r="A129" s="60" t="s">
        <v>38</v>
      </c>
      <c r="B129" s="61"/>
      <c r="C129" s="61"/>
      <c r="D129" s="61">
        <v>900</v>
      </c>
      <c r="E129" s="61">
        <f>SUM(B129:D129)</f>
        <v>900</v>
      </c>
      <c r="F129" s="61"/>
      <c r="G129" s="61">
        <v>2100</v>
      </c>
      <c r="H129" s="61">
        <f>E129+F129+G129</f>
        <v>3000</v>
      </c>
      <c r="I129" s="61"/>
      <c r="J129" s="61"/>
      <c r="K129" s="61">
        <f t="shared" si="32"/>
        <v>3000</v>
      </c>
      <c r="L129" s="61">
        <v>2250</v>
      </c>
      <c r="M129" s="61"/>
      <c r="N129" s="61">
        <f t="shared" si="33"/>
        <v>5250</v>
      </c>
    </row>
    <row r="130" spans="1:14" ht="12.75">
      <c r="A130" s="4" t="s">
        <v>41</v>
      </c>
      <c r="B130" s="61"/>
      <c r="C130" s="61"/>
      <c r="D130" s="61"/>
      <c r="E130" s="61"/>
      <c r="F130" s="61">
        <v>5479</v>
      </c>
      <c r="G130" s="61"/>
      <c r="H130" s="61">
        <f>E130+F130+G130</f>
        <v>5479</v>
      </c>
      <c r="I130" s="61"/>
      <c r="J130" s="61"/>
      <c r="K130" s="61">
        <f t="shared" si="32"/>
        <v>5479</v>
      </c>
      <c r="L130" s="61"/>
      <c r="M130" s="61"/>
      <c r="N130" s="61">
        <f t="shared" si="33"/>
        <v>5479</v>
      </c>
    </row>
    <row r="131" spans="1:14" ht="12.75">
      <c r="A131" s="60" t="s">
        <v>51</v>
      </c>
      <c r="B131" s="61">
        <v>45000</v>
      </c>
      <c r="C131" s="61">
        <v>-271.1</v>
      </c>
      <c r="D131" s="61"/>
      <c r="E131" s="61">
        <f>SUM(B131:D131)</f>
        <v>44728.9</v>
      </c>
      <c r="F131" s="61"/>
      <c r="G131" s="61">
        <v>16990.1</v>
      </c>
      <c r="H131" s="61">
        <f>SUM(E131:G131)</f>
        <v>61719</v>
      </c>
      <c r="I131" s="61"/>
      <c r="J131" s="61">
        <v>-112.5</v>
      </c>
      <c r="K131" s="61">
        <f t="shared" si="32"/>
        <v>61606.5</v>
      </c>
      <c r="L131" s="61">
        <v>-102.1</v>
      </c>
      <c r="M131" s="61"/>
      <c r="N131" s="61">
        <f t="shared" si="33"/>
        <v>61504.4</v>
      </c>
    </row>
    <row r="132" spans="1:14" ht="12.75">
      <c r="A132" s="65" t="s">
        <v>126</v>
      </c>
      <c r="B132" s="63"/>
      <c r="C132" s="63">
        <v>18435</v>
      </c>
      <c r="D132" s="63"/>
      <c r="E132" s="63">
        <f>SUM(B132:D132)</f>
        <v>18435</v>
      </c>
      <c r="F132" s="63"/>
      <c r="G132" s="63">
        <v>11935</v>
      </c>
      <c r="H132" s="63">
        <f>SUM(E132:G132)</f>
        <v>30370</v>
      </c>
      <c r="I132" s="63"/>
      <c r="J132" s="63"/>
      <c r="K132" s="63">
        <f t="shared" si="32"/>
        <v>30370</v>
      </c>
      <c r="L132" s="63">
        <v>4440</v>
      </c>
      <c r="M132" s="63"/>
      <c r="N132" s="63">
        <f t="shared" si="33"/>
        <v>34810</v>
      </c>
    </row>
    <row r="133" spans="1:14" ht="12.75">
      <c r="A133" s="11" t="s">
        <v>147</v>
      </c>
      <c r="B133" s="24">
        <f aca="true" t="shared" si="34" ref="B133:J133">B134+B140</f>
        <v>3670</v>
      </c>
      <c r="C133" s="24">
        <f t="shared" si="34"/>
        <v>1428</v>
      </c>
      <c r="D133" s="24">
        <f t="shared" si="34"/>
        <v>300</v>
      </c>
      <c r="E133" s="24">
        <f t="shared" si="34"/>
        <v>5398</v>
      </c>
      <c r="F133" s="24">
        <f t="shared" si="34"/>
        <v>0</v>
      </c>
      <c r="G133" s="24">
        <f t="shared" si="34"/>
        <v>13530</v>
      </c>
      <c r="H133" s="24">
        <f t="shared" si="34"/>
        <v>18928</v>
      </c>
      <c r="I133" s="24">
        <f t="shared" si="34"/>
        <v>0</v>
      </c>
      <c r="J133" s="24">
        <f t="shared" si="34"/>
        <v>0</v>
      </c>
      <c r="K133" s="24">
        <f>K134+K140</f>
        <v>18928</v>
      </c>
      <c r="L133" s="24">
        <f>L134+L140</f>
        <v>0</v>
      </c>
      <c r="M133" s="24">
        <f>M134+M140</f>
        <v>0</v>
      </c>
      <c r="N133" s="24">
        <f>N134+N140</f>
        <v>18928</v>
      </c>
    </row>
    <row r="134" spans="1:14" ht="12.75">
      <c r="A134" s="6" t="s">
        <v>34</v>
      </c>
      <c r="B134" s="26">
        <f>SUM(B136:B139)</f>
        <v>3670</v>
      </c>
      <c r="C134" s="26">
        <f>SUM(C136:C139)</f>
        <v>1428</v>
      </c>
      <c r="D134" s="26">
        <f>SUM(D136:D139)</f>
        <v>300</v>
      </c>
      <c r="E134" s="26">
        <f>B134+C134+D134</f>
        <v>5398</v>
      </c>
      <c r="F134" s="26">
        <f>SUM(F136:F139)</f>
        <v>0</v>
      </c>
      <c r="G134" s="26">
        <f>SUM(G136:G139)</f>
        <v>9404</v>
      </c>
      <c r="H134" s="26">
        <f>E134+F134+G134</f>
        <v>14802</v>
      </c>
      <c r="I134" s="26">
        <f aca="true" t="shared" si="35" ref="I134:N134">SUM(I136:I139)</f>
        <v>0</v>
      </c>
      <c r="J134" s="26">
        <f t="shared" si="35"/>
        <v>0</v>
      </c>
      <c r="K134" s="26">
        <f t="shared" si="35"/>
        <v>14802</v>
      </c>
      <c r="L134" s="26">
        <f t="shared" si="35"/>
        <v>0</v>
      </c>
      <c r="M134" s="26">
        <f t="shared" si="35"/>
        <v>0</v>
      </c>
      <c r="N134" s="26">
        <f t="shared" si="35"/>
        <v>14802</v>
      </c>
    </row>
    <row r="135" spans="1:14" ht="12.75">
      <c r="A135" s="3" t="s">
        <v>1</v>
      </c>
      <c r="B135" s="61"/>
      <c r="C135" s="61"/>
      <c r="D135" s="61"/>
      <c r="E135" s="23"/>
      <c r="F135" s="61"/>
      <c r="G135" s="61"/>
      <c r="H135" s="23"/>
      <c r="I135" s="61"/>
      <c r="J135" s="61"/>
      <c r="K135" s="23"/>
      <c r="L135" s="61"/>
      <c r="M135" s="61"/>
      <c r="N135" s="23"/>
    </row>
    <row r="136" spans="1:14" ht="12.75">
      <c r="A136" s="4" t="s">
        <v>9</v>
      </c>
      <c r="B136" s="61">
        <v>3670</v>
      </c>
      <c r="C136" s="61">
        <v>-1900</v>
      </c>
      <c r="D136" s="61">
        <v>300</v>
      </c>
      <c r="E136" s="61">
        <f>SUM(B136:D136)</f>
        <v>2070</v>
      </c>
      <c r="F136" s="61"/>
      <c r="G136" s="61"/>
      <c r="H136" s="61">
        <f>SUM(E136:G136)</f>
        <v>2070</v>
      </c>
      <c r="I136" s="61"/>
      <c r="J136" s="61"/>
      <c r="K136" s="61">
        <f>H136+I136+J136</f>
        <v>2070</v>
      </c>
      <c r="L136" s="61"/>
      <c r="M136" s="61"/>
      <c r="N136" s="61">
        <f>K136+L136+M136</f>
        <v>2070</v>
      </c>
    </row>
    <row r="137" spans="1:14" ht="12.75">
      <c r="A137" s="5" t="s">
        <v>33</v>
      </c>
      <c r="B137" s="61"/>
      <c r="C137" s="61">
        <f>57+1371</f>
        <v>1428</v>
      </c>
      <c r="D137" s="61"/>
      <c r="E137" s="61">
        <f>SUM(B137:D137)</f>
        <v>1428</v>
      </c>
      <c r="F137" s="61"/>
      <c r="G137" s="61"/>
      <c r="H137" s="61">
        <f>SUM(E137:G137)</f>
        <v>1428</v>
      </c>
      <c r="I137" s="61"/>
      <c r="J137" s="61"/>
      <c r="K137" s="61">
        <f>H137+I137+J137</f>
        <v>1428</v>
      </c>
      <c r="L137" s="61"/>
      <c r="M137" s="61"/>
      <c r="N137" s="61">
        <f>K137+L137+M137</f>
        <v>1428</v>
      </c>
    </row>
    <row r="138" spans="1:14" ht="12.75">
      <c r="A138" s="5" t="s">
        <v>124</v>
      </c>
      <c r="B138" s="61"/>
      <c r="C138" s="61">
        <v>1900</v>
      </c>
      <c r="D138" s="61"/>
      <c r="E138" s="61">
        <f>SUM(B138:D138)</f>
        <v>1900</v>
      </c>
      <c r="F138" s="61"/>
      <c r="G138" s="61"/>
      <c r="H138" s="61">
        <f>SUM(E138:G138)</f>
        <v>1900</v>
      </c>
      <c r="I138" s="61"/>
      <c r="J138" s="61"/>
      <c r="K138" s="61">
        <f>H138+I138+J138</f>
        <v>1900</v>
      </c>
      <c r="L138" s="61"/>
      <c r="M138" s="61"/>
      <c r="N138" s="61">
        <f>K138+L138+M138</f>
        <v>1900</v>
      </c>
    </row>
    <row r="139" spans="1:14" ht="12.75">
      <c r="A139" s="4" t="s">
        <v>41</v>
      </c>
      <c r="B139" s="61"/>
      <c r="C139" s="61"/>
      <c r="D139" s="61"/>
      <c r="E139" s="61">
        <f>SUM(B139:D139)</f>
        <v>0</v>
      </c>
      <c r="F139" s="61"/>
      <c r="G139" s="61">
        <v>9404</v>
      </c>
      <c r="H139" s="61">
        <f>SUM(E139:G139)</f>
        <v>9404</v>
      </c>
      <c r="I139" s="61"/>
      <c r="J139" s="61"/>
      <c r="K139" s="61">
        <f>H139+I139+J139</f>
        <v>9404</v>
      </c>
      <c r="L139" s="61"/>
      <c r="M139" s="61"/>
      <c r="N139" s="61">
        <f>K139+L139+M139</f>
        <v>9404</v>
      </c>
    </row>
    <row r="140" spans="1:14" ht="12.75">
      <c r="A140" s="6" t="s">
        <v>35</v>
      </c>
      <c r="B140" s="26">
        <f>B142</f>
        <v>0</v>
      </c>
      <c r="C140" s="26">
        <f>C142</f>
        <v>0</v>
      </c>
      <c r="D140" s="26">
        <f>D142</f>
        <v>0</v>
      </c>
      <c r="E140" s="26">
        <f>B140+C140+D140</f>
        <v>0</v>
      </c>
      <c r="F140" s="26">
        <f>F142</f>
        <v>0</v>
      </c>
      <c r="G140" s="26">
        <f>G142</f>
        <v>4126</v>
      </c>
      <c r="H140" s="26">
        <f>E140+F140+G140</f>
        <v>4126</v>
      </c>
      <c r="I140" s="26">
        <f aca="true" t="shared" si="36" ref="I140:N140">I142</f>
        <v>0</v>
      </c>
      <c r="J140" s="26">
        <f t="shared" si="36"/>
        <v>0</v>
      </c>
      <c r="K140" s="26">
        <f t="shared" si="36"/>
        <v>4126</v>
      </c>
      <c r="L140" s="26">
        <f t="shared" si="36"/>
        <v>0</v>
      </c>
      <c r="M140" s="26">
        <f t="shared" si="36"/>
        <v>0</v>
      </c>
      <c r="N140" s="26">
        <f t="shared" si="36"/>
        <v>4126</v>
      </c>
    </row>
    <row r="141" spans="1:14" ht="12.75">
      <c r="A141" s="3" t="s">
        <v>1</v>
      </c>
      <c r="B141" s="61"/>
      <c r="C141" s="61"/>
      <c r="D141" s="61"/>
      <c r="E141" s="23"/>
      <c r="F141" s="61"/>
      <c r="G141" s="61"/>
      <c r="H141" s="23"/>
      <c r="I141" s="61"/>
      <c r="J141" s="61"/>
      <c r="K141" s="23"/>
      <c r="L141" s="61"/>
      <c r="M141" s="61"/>
      <c r="N141" s="23"/>
    </row>
    <row r="142" spans="1:14" ht="12.75">
      <c r="A142" s="21" t="s">
        <v>41</v>
      </c>
      <c r="B142" s="63"/>
      <c r="C142" s="63"/>
      <c r="D142" s="63"/>
      <c r="E142" s="63">
        <f>SUM(B142:D142)</f>
        <v>0</v>
      </c>
      <c r="F142" s="63"/>
      <c r="G142" s="63">
        <v>4126</v>
      </c>
      <c r="H142" s="63">
        <f>SUM(E142:G142)</f>
        <v>4126</v>
      </c>
      <c r="I142" s="63"/>
      <c r="J142" s="63"/>
      <c r="K142" s="63">
        <f>H142+I142+J142</f>
        <v>4126</v>
      </c>
      <c r="L142" s="63"/>
      <c r="M142" s="63"/>
      <c r="N142" s="63">
        <f>K142+L142+M142</f>
        <v>4126</v>
      </c>
    </row>
    <row r="143" spans="1:14" ht="12.75">
      <c r="A143" s="2" t="s">
        <v>16</v>
      </c>
      <c r="B143" s="23">
        <f>B144+B156</f>
        <v>939417</v>
      </c>
      <c r="C143" s="23">
        <f>C144+C156</f>
        <v>23853.899999999998</v>
      </c>
      <c r="D143" s="23">
        <f>D144+D156</f>
        <v>164569</v>
      </c>
      <c r="E143" s="23">
        <f>B143+C143+D143</f>
        <v>1127839.9</v>
      </c>
      <c r="F143" s="23">
        <f>F144+F156</f>
        <v>1067.5</v>
      </c>
      <c r="G143" s="23">
        <f>G144+G156</f>
        <v>72300</v>
      </c>
      <c r="H143" s="23">
        <f>E143+F143+G143</f>
        <v>1201207.4</v>
      </c>
      <c r="I143" s="23">
        <f aca="true" t="shared" si="37" ref="I143:N143">I144+I156</f>
        <v>58109.4</v>
      </c>
      <c r="J143" s="23">
        <f t="shared" si="37"/>
        <v>0</v>
      </c>
      <c r="K143" s="23">
        <f t="shared" si="37"/>
        <v>1259316.8</v>
      </c>
      <c r="L143" s="23">
        <f t="shared" si="37"/>
        <v>353076</v>
      </c>
      <c r="M143" s="23">
        <f t="shared" si="37"/>
        <v>0</v>
      </c>
      <c r="N143" s="23">
        <f t="shared" si="37"/>
        <v>1612392.8000000003</v>
      </c>
    </row>
    <row r="144" spans="1:14" ht="12.75">
      <c r="A144" s="6" t="s">
        <v>34</v>
      </c>
      <c r="B144" s="26">
        <f>SUM(B147:B155)</f>
        <v>939417</v>
      </c>
      <c r="C144" s="26">
        <f>SUM(C147:C153)</f>
        <v>0</v>
      </c>
      <c r="D144" s="26">
        <f>SUM(D147:D153)</f>
        <v>156469</v>
      </c>
      <c r="E144" s="26">
        <f>B144+C144+D144</f>
        <v>1095886</v>
      </c>
      <c r="F144" s="26">
        <f>SUM(F147:F153)</f>
        <v>0</v>
      </c>
      <c r="G144" s="26">
        <f>SUM(G147:G153)</f>
        <v>69000</v>
      </c>
      <c r="H144" s="26">
        <f>E144+F144+G144</f>
        <v>1164886</v>
      </c>
      <c r="I144" s="26">
        <f>SUM(I147:I153)</f>
        <v>18300</v>
      </c>
      <c r="J144" s="26">
        <f>SUM(J147:J155)</f>
        <v>1300</v>
      </c>
      <c r="K144" s="26">
        <f>SUM(K147:K155)</f>
        <v>1184486</v>
      </c>
      <c r="L144" s="26">
        <f>SUM(L147:L155)</f>
        <v>86430.50000000001</v>
      </c>
      <c r="M144" s="26">
        <f>SUM(M147:M155)</f>
        <v>0</v>
      </c>
      <c r="N144" s="26">
        <f>SUM(N147:N155)</f>
        <v>1270916.5000000002</v>
      </c>
    </row>
    <row r="145" spans="1:14" ht="12.75">
      <c r="A145" s="3" t="s">
        <v>1</v>
      </c>
      <c r="B145" s="61"/>
      <c r="C145" s="61"/>
      <c r="D145" s="61"/>
      <c r="E145" s="23"/>
      <c r="F145" s="61"/>
      <c r="G145" s="61"/>
      <c r="H145" s="23"/>
      <c r="I145" s="61"/>
      <c r="J145" s="61"/>
      <c r="K145" s="23"/>
      <c r="L145" s="61"/>
      <c r="M145" s="61"/>
      <c r="N145" s="23"/>
    </row>
    <row r="146" spans="1:14" ht="12.75">
      <c r="A146" s="5" t="s">
        <v>36</v>
      </c>
      <c r="B146" s="61">
        <f aca="true" t="shared" si="38" ref="B146:I146">B147+B148</f>
        <v>500231</v>
      </c>
      <c r="C146" s="61">
        <f t="shared" si="38"/>
        <v>0</v>
      </c>
      <c r="D146" s="61">
        <f t="shared" si="38"/>
        <v>64569</v>
      </c>
      <c r="E146" s="61">
        <f t="shared" si="38"/>
        <v>564800</v>
      </c>
      <c r="F146" s="61">
        <f t="shared" si="38"/>
        <v>0</v>
      </c>
      <c r="G146" s="61">
        <f t="shared" si="38"/>
        <v>6000</v>
      </c>
      <c r="H146" s="61">
        <f t="shared" si="38"/>
        <v>570800</v>
      </c>
      <c r="I146" s="61">
        <f t="shared" si="38"/>
        <v>16000</v>
      </c>
      <c r="J146" s="61"/>
      <c r="K146" s="61">
        <f>K147+K148</f>
        <v>586800</v>
      </c>
      <c r="L146" s="61">
        <f>L147+L148</f>
        <v>9819.6</v>
      </c>
      <c r="M146" s="61">
        <f>M147+M148</f>
        <v>0</v>
      </c>
      <c r="N146" s="61">
        <f>N147+N148</f>
        <v>596619.6</v>
      </c>
    </row>
    <row r="147" spans="1:14" ht="12.75">
      <c r="A147" s="5" t="s">
        <v>216</v>
      </c>
      <c r="B147" s="49">
        <v>202696</v>
      </c>
      <c r="C147" s="49"/>
      <c r="D147" s="49">
        <v>34604</v>
      </c>
      <c r="E147" s="49">
        <f aca="true" t="shared" si="39" ref="E147:E156">B147+C147+D147</f>
        <v>237300</v>
      </c>
      <c r="F147" s="49"/>
      <c r="G147" s="49">
        <v>6000</v>
      </c>
      <c r="H147" s="49">
        <f aca="true" t="shared" si="40" ref="H147:H156">E147+F147+G147</f>
        <v>243300</v>
      </c>
      <c r="I147" s="61">
        <v>8000</v>
      </c>
      <c r="J147" s="61"/>
      <c r="K147" s="61">
        <f aca="true" t="shared" si="41" ref="K147:K155">H147+I147+J147</f>
        <v>251300</v>
      </c>
      <c r="L147" s="61">
        <f>10893+1819.6</f>
        <v>12712.6</v>
      </c>
      <c r="M147" s="61"/>
      <c r="N147" s="61">
        <f>K147+L147+M147</f>
        <v>264012.6</v>
      </c>
    </row>
    <row r="148" spans="1:14" ht="12.75">
      <c r="A148" s="4" t="s">
        <v>217</v>
      </c>
      <c r="B148" s="49">
        <v>297535</v>
      </c>
      <c r="C148" s="49"/>
      <c r="D148" s="49">
        <v>29965</v>
      </c>
      <c r="E148" s="49">
        <f t="shared" si="39"/>
        <v>327500</v>
      </c>
      <c r="F148" s="49"/>
      <c r="G148" s="49"/>
      <c r="H148" s="49">
        <f t="shared" si="40"/>
        <v>327500</v>
      </c>
      <c r="I148" s="61">
        <v>8000</v>
      </c>
      <c r="J148" s="61"/>
      <c r="K148" s="61">
        <f t="shared" si="41"/>
        <v>335500</v>
      </c>
      <c r="L148" s="61">
        <v>-2893</v>
      </c>
      <c r="M148" s="61"/>
      <c r="N148" s="61">
        <f aca="true" t="shared" si="42" ref="N148:N155">K148+L148+M148</f>
        <v>332607</v>
      </c>
    </row>
    <row r="149" spans="1:14" ht="12.75">
      <c r="A149" s="7" t="s">
        <v>18</v>
      </c>
      <c r="B149" s="64">
        <v>10000</v>
      </c>
      <c r="C149" s="64"/>
      <c r="D149" s="64"/>
      <c r="E149" s="61">
        <f t="shared" si="39"/>
        <v>10000</v>
      </c>
      <c r="F149" s="64"/>
      <c r="G149" s="64"/>
      <c r="H149" s="61">
        <f t="shared" si="40"/>
        <v>10000</v>
      </c>
      <c r="I149" s="64"/>
      <c r="J149" s="64"/>
      <c r="K149" s="61">
        <f t="shared" si="41"/>
        <v>10000</v>
      </c>
      <c r="L149" s="64"/>
      <c r="M149" s="64"/>
      <c r="N149" s="61">
        <f t="shared" si="42"/>
        <v>10000</v>
      </c>
    </row>
    <row r="150" spans="1:14" ht="12.75">
      <c r="A150" s="4" t="s">
        <v>127</v>
      </c>
      <c r="B150" s="61">
        <v>0</v>
      </c>
      <c r="C150" s="61">
        <v>2400</v>
      </c>
      <c r="D150" s="61"/>
      <c r="E150" s="61">
        <f t="shared" si="39"/>
        <v>2400</v>
      </c>
      <c r="F150" s="61"/>
      <c r="G150" s="61"/>
      <c r="H150" s="61">
        <f t="shared" si="40"/>
        <v>2400</v>
      </c>
      <c r="I150" s="61">
        <v>2300</v>
      </c>
      <c r="J150" s="61"/>
      <c r="K150" s="61">
        <f t="shared" si="41"/>
        <v>4700</v>
      </c>
      <c r="L150" s="61"/>
      <c r="M150" s="61"/>
      <c r="N150" s="61">
        <f t="shared" si="42"/>
        <v>4700</v>
      </c>
    </row>
    <row r="151" spans="1:14" ht="12.75">
      <c r="A151" s="4" t="s">
        <v>214</v>
      </c>
      <c r="B151" s="61"/>
      <c r="C151" s="61"/>
      <c r="D151" s="61">
        <v>30000</v>
      </c>
      <c r="E151" s="61">
        <f t="shared" si="39"/>
        <v>30000</v>
      </c>
      <c r="F151" s="61"/>
      <c r="G151" s="61"/>
      <c r="H151" s="61">
        <f t="shared" si="40"/>
        <v>30000</v>
      </c>
      <c r="I151" s="61"/>
      <c r="J151" s="61"/>
      <c r="K151" s="61">
        <f t="shared" si="41"/>
        <v>30000</v>
      </c>
      <c r="L151" s="61"/>
      <c r="M151" s="61"/>
      <c r="N151" s="61">
        <f t="shared" si="42"/>
        <v>30000</v>
      </c>
    </row>
    <row r="152" spans="1:14" ht="12.75">
      <c r="A152" s="4" t="s">
        <v>106</v>
      </c>
      <c r="B152" s="61">
        <v>67796</v>
      </c>
      <c r="C152" s="61"/>
      <c r="D152" s="61"/>
      <c r="E152" s="61">
        <f t="shared" si="39"/>
        <v>67796</v>
      </c>
      <c r="F152" s="61"/>
      <c r="G152" s="61"/>
      <c r="H152" s="61">
        <f t="shared" si="40"/>
        <v>67796</v>
      </c>
      <c r="I152" s="61"/>
      <c r="J152" s="61"/>
      <c r="K152" s="61">
        <f t="shared" si="41"/>
        <v>67796</v>
      </c>
      <c r="L152" s="61"/>
      <c r="M152" s="61"/>
      <c r="N152" s="61">
        <f t="shared" si="42"/>
        <v>67796</v>
      </c>
    </row>
    <row r="153" spans="1:14" ht="12.75">
      <c r="A153" s="4" t="s">
        <v>9</v>
      </c>
      <c r="B153" s="61">
        <v>361390</v>
      </c>
      <c r="C153" s="61">
        <v>-2400</v>
      </c>
      <c r="D153" s="61">
        <v>61900</v>
      </c>
      <c r="E153" s="61">
        <f t="shared" si="39"/>
        <v>420890</v>
      </c>
      <c r="F153" s="61"/>
      <c r="G153" s="61">
        <v>63000</v>
      </c>
      <c r="H153" s="61">
        <f t="shared" si="40"/>
        <v>483890</v>
      </c>
      <c r="I153" s="61"/>
      <c r="J153" s="61"/>
      <c r="K153" s="61">
        <f t="shared" si="41"/>
        <v>483890</v>
      </c>
      <c r="L153" s="61">
        <f>-200-8000</f>
        <v>-8200</v>
      </c>
      <c r="M153" s="61"/>
      <c r="N153" s="61">
        <f t="shared" si="42"/>
        <v>475690</v>
      </c>
    </row>
    <row r="154" spans="1:14" ht="12.75">
      <c r="A154" s="4" t="s">
        <v>274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>
        <v>84327.8</v>
      </c>
      <c r="M154" s="61"/>
      <c r="N154" s="61">
        <f t="shared" si="42"/>
        <v>84327.8</v>
      </c>
    </row>
    <row r="155" spans="1:14" ht="12.75">
      <c r="A155" s="4" t="s">
        <v>249</v>
      </c>
      <c r="B155" s="61"/>
      <c r="C155" s="61"/>
      <c r="D155" s="61"/>
      <c r="E155" s="61"/>
      <c r="F155" s="61"/>
      <c r="G155" s="61"/>
      <c r="H155" s="61">
        <f t="shared" si="40"/>
        <v>0</v>
      </c>
      <c r="I155" s="61"/>
      <c r="J155" s="61">
        <v>1300</v>
      </c>
      <c r="K155" s="61">
        <f t="shared" si="41"/>
        <v>1300</v>
      </c>
      <c r="L155" s="61">
        <f>-100+583.1</f>
        <v>483.1</v>
      </c>
      <c r="M155" s="61"/>
      <c r="N155" s="61">
        <f t="shared" si="42"/>
        <v>1783.1</v>
      </c>
    </row>
    <row r="156" spans="1:14" ht="12.75">
      <c r="A156" s="12" t="s">
        <v>35</v>
      </c>
      <c r="B156" s="27">
        <f>SUM(B158:B169)</f>
        <v>0</v>
      </c>
      <c r="C156" s="27">
        <f>SUM(C158:C169)</f>
        <v>23853.899999999998</v>
      </c>
      <c r="D156" s="27">
        <f>SUM(D158:D169)</f>
        <v>8100</v>
      </c>
      <c r="E156" s="27">
        <f t="shared" si="39"/>
        <v>31953.899999999998</v>
      </c>
      <c r="F156" s="27">
        <f>SUM(F158:F169)</f>
        <v>1067.5</v>
      </c>
      <c r="G156" s="27">
        <f>SUM(G158:G169)</f>
        <v>3300</v>
      </c>
      <c r="H156" s="27">
        <f t="shared" si="40"/>
        <v>36321.399999999994</v>
      </c>
      <c r="I156" s="27">
        <f aca="true" t="shared" si="43" ref="I156:N156">SUM(I158:I169)</f>
        <v>39809.4</v>
      </c>
      <c r="J156" s="27">
        <f t="shared" si="43"/>
        <v>-1300</v>
      </c>
      <c r="K156" s="27">
        <f t="shared" si="43"/>
        <v>74830.8</v>
      </c>
      <c r="L156" s="27">
        <f t="shared" si="43"/>
        <v>266645.5</v>
      </c>
      <c r="M156" s="27">
        <f t="shared" si="43"/>
        <v>0</v>
      </c>
      <c r="N156" s="27">
        <f t="shared" si="43"/>
        <v>341476.29999999993</v>
      </c>
    </row>
    <row r="157" spans="1:14" ht="12.75">
      <c r="A157" s="9" t="s">
        <v>1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1:14" ht="12.75">
      <c r="A158" s="60" t="s">
        <v>38</v>
      </c>
      <c r="B158" s="61"/>
      <c r="C158" s="61"/>
      <c r="D158" s="61">
        <v>8100</v>
      </c>
      <c r="E158" s="61">
        <f>B158+C158+D158</f>
        <v>8100</v>
      </c>
      <c r="F158" s="61"/>
      <c r="G158" s="61"/>
      <c r="H158" s="61">
        <f aca="true" t="shared" si="44" ref="H158:H165">E158+F158+G158</f>
        <v>8100</v>
      </c>
      <c r="I158" s="61"/>
      <c r="J158" s="61"/>
      <c r="K158" s="61">
        <f aca="true" t="shared" si="45" ref="K158:K170">H158+I158+J158</f>
        <v>8100</v>
      </c>
      <c r="L158" s="61"/>
      <c r="M158" s="61"/>
      <c r="N158" s="61">
        <f>K158+L158+M158</f>
        <v>8100</v>
      </c>
    </row>
    <row r="159" spans="1:14" ht="12.75">
      <c r="A159" s="4" t="s">
        <v>212</v>
      </c>
      <c r="B159" s="61"/>
      <c r="C159" s="61"/>
      <c r="D159" s="61"/>
      <c r="E159" s="61"/>
      <c r="F159" s="61"/>
      <c r="G159" s="61"/>
      <c r="H159" s="61">
        <f t="shared" si="44"/>
        <v>0</v>
      </c>
      <c r="I159" s="61">
        <v>39809.4</v>
      </c>
      <c r="J159" s="61">
        <v>-1300</v>
      </c>
      <c r="K159" s="61">
        <f t="shared" si="45"/>
        <v>38509.4</v>
      </c>
      <c r="L159" s="61">
        <v>100</v>
      </c>
      <c r="M159" s="61"/>
      <c r="N159" s="61">
        <f aca="true" t="shared" si="46" ref="N159:N170">K159+L159+M159</f>
        <v>38609.4</v>
      </c>
    </row>
    <row r="160" spans="1:14" ht="12.75">
      <c r="A160" s="60" t="s">
        <v>231</v>
      </c>
      <c r="B160" s="61"/>
      <c r="C160" s="61"/>
      <c r="D160" s="61"/>
      <c r="E160" s="61">
        <f>B160+C160+D160</f>
        <v>0</v>
      </c>
      <c r="F160" s="61"/>
      <c r="G160" s="61">
        <v>3300</v>
      </c>
      <c r="H160" s="61">
        <f t="shared" si="44"/>
        <v>3300</v>
      </c>
      <c r="I160" s="61"/>
      <c r="J160" s="61"/>
      <c r="K160" s="61">
        <f t="shared" si="45"/>
        <v>3300</v>
      </c>
      <c r="L160" s="61">
        <v>-3300</v>
      </c>
      <c r="M160" s="61"/>
      <c r="N160" s="61">
        <f t="shared" si="46"/>
        <v>0</v>
      </c>
    </row>
    <row r="161" spans="1:14" ht="12.75">
      <c r="A161" s="4" t="s">
        <v>132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>
        <v>200</v>
      </c>
      <c r="M161" s="61"/>
      <c r="N161" s="61">
        <f t="shared" si="46"/>
        <v>200</v>
      </c>
    </row>
    <row r="162" spans="1:14" ht="12.75">
      <c r="A162" s="4" t="s">
        <v>263</v>
      </c>
      <c r="B162" s="61"/>
      <c r="C162" s="61"/>
      <c r="D162" s="61"/>
      <c r="E162" s="61"/>
      <c r="F162" s="61">
        <v>130</v>
      </c>
      <c r="G162" s="61"/>
      <c r="H162" s="61">
        <f t="shared" si="44"/>
        <v>130</v>
      </c>
      <c r="I162" s="61"/>
      <c r="J162" s="61"/>
      <c r="K162" s="61">
        <f t="shared" si="45"/>
        <v>130</v>
      </c>
      <c r="L162" s="61">
        <v>-56.4</v>
      </c>
      <c r="M162" s="61"/>
      <c r="N162" s="61">
        <f t="shared" si="46"/>
        <v>73.6</v>
      </c>
    </row>
    <row r="163" spans="1:14" ht="12.75">
      <c r="A163" s="4" t="s">
        <v>258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>
        <f>77060.9+28860.8+41638.3+78124.1</f>
        <v>225684.1</v>
      </c>
      <c r="M163" s="61"/>
      <c r="N163" s="61">
        <f t="shared" si="46"/>
        <v>225684.1</v>
      </c>
    </row>
    <row r="164" spans="1:14" ht="12.75">
      <c r="A164" s="60" t="s">
        <v>194</v>
      </c>
      <c r="B164" s="61"/>
      <c r="C164" s="61">
        <f>18264.6+2756</f>
        <v>21020.6</v>
      </c>
      <c r="D164" s="61"/>
      <c r="E164" s="61">
        <f aca="true" t="shared" si="47" ref="E164:E169">B164+C164+D164</f>
        <v>21020.6</v>
      </c>
      <c r="F164" s="61">
        <v>937.5</v>
      </c>
      <c r="G164" s="61"/>
      <c r="H164" s="61">
        <f t="shared" si="44"/>
        <v>21958.1</v>
      </c>
      <c r="I164" s="61"/>
      <c r="J164" s="61"/>
      <c r="K164" s="61">
        <f t="shared" si="45"/>
        <v>21958.1</v>
      </c>
      <c r="L164" s="61">
        <f>6048.2+8022.7+6023.6+2406.5</f>
        <v>22501</v>
      </c>
      <c r="M164" s="61"/>
      <c r="N164" s="61">
        <f t="shared" si="46"/>
        <v>44459.1</v>
      </c>
    </row>
    <row r="165" spans="1:14" ht="12.75">
      <c r="A165" s="60" t="s">
        <v>211</v>
      </c>
      <c r="B165" s="61"/>
      <c r="C165" s="61">
        <v>2833.3</v>
      </c>
      <c r="D165" s="61"/>
      <c r="E165" s="61">
        <f t="shared" si="47"/>
        <v>2833.3</v>
      </c>
      <c r="F165" s="61"/>
      <c r="G165" s="61"/>
      <c r="H165" s="61">
        <f t="shared" si="44"/>
        <v>2833.3</v>
      </c>
      <c r="I165" s="61"/>
      <c r="J165" s="61"/>
      <c r="K165" s="61">
        <f t="shared" si="45"/>
        <v>2833.3</v>
      </c>
      <c r="L165" s="61"/>
      <c r="M165" s="61"/>
      <c r="N165" s="61">
        <f t="shared" si="46"/>
        <v>2833.3</v>
      </c>
    </row>
    <row r="166" spans="1:14" ht="12.75">
      <c r="A166" s="21" t="s">
        <v>262</v>
      </c>
      <c r="B166" s="63"/>
      <c r="C166" s="63"/>
      <c r="D166" s="63"/>
      <c r="E166" s="63">
        <f t="shared" si="47"/>
        <v>0</v>
      </c>
      <c r="F166" s="63"/>
      <c r="G166" s="63"/>
      <c r="H166" s="63"/>
      <c r="I166" s="63"/>
      <c r="J166" s="63"/>
      <c r="K166" s="63">
        <f t="shared" si="45"/>
        <v>0</v>
      </c>
      <c r="L166" s="63">
        <f>16837.2+2101.8+2577.8</f>
        <v>21516.8</v>
      </c>
      <c r="M166" s="63"/>
      <c r="N166" s="63">
        <f t="shared" si="46"/>
        <v>21516.8</v>
      </c>
    </row>
    <row r="167" spans="1:14" ht="12.75" hidden="1">
      <c r="A167" s="17" t="s">
        <v>148</v>
      </c>
      <c r="B167" s="61"/>
      <c r="C167" s="61"/>
      <c r="D167" s="61"/>
      <c r="E167" s="61">
        <f t="shared" si="47"/>
        <v>0</v>
      </c>
      <c r="F167" s="61"/>
      <c r="G167" s="61"/>
      <c r="H167" s="61">
        <f>E167+F167+G167</f>
        <v>0</v>
      </c>
      <c r="I167" s="61"/>
      <c r="J167" s="61"/>
      <c r="K167" s="61">
        <f t="shared" si="45"/>
        <v>0</v>
      </c>
      <c r="L167" s="61"/>
      <c r="M167" s="61"/>
      <c r="N167" s="61">
        <f t="shared" si="46"/>
        <v>0</v>
      </c>
    </row>
    <row r="168" spans="1:14" ht="12.75" hidden="1">
      <c r="A168" s="60" t="s">
        <v>102</v>
      </c>
      <c r="B168" s="61"/>
      <c r="C168" s="61"/>
      <c r="D168" s="61"/>
      <c r="E168" s="61">
        <f t="shared" si="47"/>
        <v>0</v>
      </c>
      <c r="F168" s="61"/>
      <c r="G168" s="61"/>
      <c r="H168" s="61">
        <f>E168+F168+G168</f>
        <v>0</v>
      </c>
      <c r="I168" s="61"/>
      <c r="J168" s="61"/>
      <c r="K168" s="61">
        <f t="shared" si="45"/>
        <v>0</v>
      </c>
      <c r="L168" s="61"/>
      <c r="M168" s="61"/>
      <c r="N168" s="61">
        <f t="shared" si="46"/>
        <v>0</v>
      </c>
    </row>
    <row r="169" spans="1:14" ht="12.75" hidden="1">
      <c r="A169" s="60" t="s">
        <v>52</v>
      </c>
      <c r="B169" s="61"/>
      <c r="C169" s="61"/>
      <c r="D169" s="61"/>
      <c r="E169" s="61">
        <f t="shared" si="47"/>
        <v>0</v>
      </c>
      <c r="F169" s="61"/>
      <c r="G169" s="61"/>
      <c r="H169" s="61">
        <f>E169+F169+G169</f>
        <v>0</v>
      </c>
      <c r="I169" s="61"/>
      <c r="J169" s="61"/>
      <c r="K169" s="61">
        <f t="shared" si="45"/>
        <v>0</v>
      </c>
      <c r="L169" s="61"/>
      <c r="M169" s="61"/>
      <c r="N169" s="61">
        <f t="shared" si="46"/>
        <v>0</v>
      </c>
    </row>
    <row r="170" spans="1:14" ht="12.75" hidden="1">
      <c r="A170" s="65" t="s">
        <v>73</v>
      </c>
      <c r="B170" s="63"/>
      <c r="C170" s="63"/>
      <c r="D170" s="63"/>
      <c r="E170" s="63">
        <f>B170+C170</f>
        <v>0</v>
      </c>
      <c r="F170" s="63"/>
      <c r="G170" s="63"/>
      <c r="H170" s="63">
        <f>E170+F170</f>
        <v>0</v>
      </c>
      <c r="I170" s="63"/>
      <c r="J170" s="63"/>
      <c r="K170" s="63">
        <f t="shared" si="45"/>
        <v>0</v>
      </c>
      <c r="L170" s="63"/>
      <c r="M170" s="63"/>
      <c r="N170" s="63">
        <f t="shared" si="46"/>
        <v>0</v>
      </c>
    </row>
    <row r="171" spans="1:14" ht="12.75">
      <c r="A171" s="2" t="s">
        <v>83</v>
      </c>
      <c r="B171" s="23">
        <f aca="true" t="shared" si="48" ref="B171:I171">B172</f>
        <v>7000</v>
      </c>
      <c r="C171" s="23">
        <f t="shared" si="48"/>
        <v>0</v>
      </c>
      <c r="D171" s="23">
        <f t="shared" si="48"/>
        <v>0</v>
      </c>
      <c r="E171" s="23">
        <f t="shared" si="48"/>
        <v>7000</v>
      </c>
      <c r="F171" s="23">
        <f t="shared" si="48"/>
        <v>4400</v>
      </c>
      <c r="G171" s="23">
        <f t="shared" si="48"/>
        <v>2949</v>
      </c>
      <c r="H171" s="23">
        <f t="shared" si="48"/>
        <v>14349</v>
      </c>
      <c r="I171" s="23">
        <f t="shared" si="48"/>
        <v>12036.9</v>
      </c>
      <c r="J171" s="23">
        <f>J172+J177</f>
        <v>0</v>
      </c>
      <c r="K171" s="23">
        <f>K172+K177</f>
        <v>26385.9</v>
      </c>
      <c r="L171" s="23">
        <f>L172+L177</f>
        <v>0</v>
      </c>
      <c r="M171" s="23">
        <f>M172+M177</f>
        <v>0</v>
      </c>
      <c r="N171" s="23">
        <f>N172+N177</f>
        <v>26385.9</v>
      </c>
    </row>
    <row r="172" spans="1:14" ht="12.75">
      <c r="A172" s="6" t="s">
        <v>34</v>
      </c>
      <c r="B172" s="26">
        <f>SUM(B174:B176)</f>
        <v>7000</v>
      </c>
      <c r="C172" s="26">
        <f>SUM(C174:C174)</f>
        <v>0</v>
      </c>
      <c r="D172" s="26">
        <f>SUM(D174:D174)</f>
        <v>0</v>
      </c>
      <c r="E172" s="26">
        <f>B172+C172</f>
        <v>7000</v>
      </c>
      <c r="F172" s="26">
        <f>SUM(F174:F176)</f>
        <v>4400</v>
      </c>
      <c r="G172" s="26">
        <f>SUM(G174:G176)</f>
        <v>2949</v>
      </c>
      <c r="H172" s="26">
        <f>E172+F172+G172</f>
        <v>14349</v>
      </c>
      <c r="I172" s="26">
        <f aca="true" t="shared" si="49" ref="I172:N172">SUM(I174:I176)</f>
        <v>12036.9</v>
      </c>
      <c r="J172" s="26">
        <f t="shared" si="49"/>
        <v>-200</v>
      </c>
      <c r="K172" s="26">
        <f t="shared" si="49"/>
        <v>26185.9</v>
      </c>
      <c r="L172" s="26">
        <f t="shared" si="49"/>
        <v>0</v>
      </c>
      <c r="M172" s="26">
        <f t="shared" si="49"/>
        <v>0</v>
      </c>
      <c r="N172" s="26">
        <f t="shared" si="49"/>
        <v>26185.9</v>
      </c>
    </row>
    <row r="173" spans="1:14" ht="12.75">
      <c r="A173" s="3" t="s">
        <v>1</v>
      </c>
      <c r="B173" s="61"/>
      <c r="C173" s="61"/>
      <c r="D173" s="61"/>
      <c r="E173" s="23"/>
      <c r="F173" s="61"/>
      <c r="G173" s="61"/>
      <c r="H173" s="23"/>
      <c r="I173" s="61"/>
      <c r="J173" s="61"/>
      <c r="K173" s="23"/>
      <c r="L173" s="61"/>
      <c r="M173" s="61"/>
      <c r="N173" s="23"/>
    </row>
    <row r="174" spans="1:14" ht="12.75">
      <c r="A174" s="60" t="s">
        <v>9</v>
      </c>
      <c r="B174" s="61">
        <v>7000</v>
      </c>
      <c r="C174" s="61"/>
      <c r="D174" s="61"/>
      <c r="E174" s="61">
        <f>B174+C174+D174</f>
        <v>7000</v>
      </c>
      <c r="F174" s="61">
        <v>1400</v>
      </c>
      <c r="G174" s="61">
        <v>249</v>
      </c>
      <c r="H174" s="61">
        <f>E174+F174+G174</f>
        <v>8649</v>
      </c>
      <c r="I174" s="61"/>
      <c r="J174" s="61"/>
      <c r="K174" s="61">
        <f>H174+I174+J174</f>
        <v>8649</v>
      </c>
      <c r="L174" s="61"/>
      <c r="M174" s="61"/>
      <c r="N174" s="61">
        <f>K174+L174+M174</f>
        <v>8649</v>
      </c>
    </row>
    <row r="175" spans="1:14" ht="12.75">
      <c r="A175" s="4" t="s">
        <v>212</v>
      </c>
      <c r="B175" s="61"/>
      <c r="C175" s="61"/>
      <c r="D175" s="61"/>
      <c r="E175" s="61"/>
      <c r="F175" s="61"/>
      <c r="G175" s="61"/>
      <c r="H175" s="61"/>
      <c r="I175" s="61">
        <v>12036.9</v>
      </c>
      <c r="J175" s="61"/>
      <c r="K175" s="61">
        <f>H175+I175+J175</f>
        <v>12036.9</v>
      </c>
      <c r="L175" s="61"/>
      <c r="M175" s="61"/>
      <c r="N175" s="61">
        <f>K175+L175+M175</f>
        <v>12036.9</v>
      </c>
    </row>
    <row r="176" spans="1:14" ht="12.75">
      <c r="A176" s="17" t="s">
        <v>41</v>
      </c>
      <c r="B176" s="61"/>
      <c r="C176" s="61"/>
      <c r="D176" s="61"/>
      <c r="E176" s="61"/>
      <c r="F176" s="61">
        <v>3000</v>
      </c>
      <c r="G176" s="61">
        <v>2700</v>
      </c>
      <c r="H176" s="61">
        <f>E176+F176+G176</f>
        <v>5700</v>
      </c>
      <c r="I176" s="61"/>
      <c r="J176" s="61">
        <v>-200</v>
      </c>
      <c r="K176" s="61">
        <f>H176+I176+J176</f>
        <v>5500</v>
      </c>
      <c r="L176" s="61"/>
      <c r="M176" s="61"/>
      <c r="N176" s="61">
        <f>K176+L176+M176</f>
        <v>5500</v>
      </c>
    </row>
    <row r="177" spans="1:14" ht="12.75">
      <c r="A177" s="12" t="s">
        <v>35</v>
      </c>
      <c r="B177" s="24">
        <f>B179</f>
        <v>0</v>
      </c>
      <c r="C177" s="24">
        <f aca="true" t="shared" si="50" ref="C177:N177">C179</f>
        <v>0</v>
      </c>
      <c r="D177" s="24">
        <f t="shared" si="50"/>
        <v>0</v>
      </c>
      <c r="E177" s="24">
        <f t="shared" si="50"/>
        <v>0</v>
      </c>
      <c r="F177" s="24">
        <f t="shared" si="50"/>
        <v>0</v>
      </c>
      <c r="G177" s="24">
        <f t="shared" si="50"/>
        <v>0</v>
      </c>
      <c r="H177" s="24">
        <f t="shared" si="50"/>
        <v>0</v>
      </c>
      <c r="I177" s="24">
        <f t="shared" si="50"/>
        <v>0</v>
      </c>
      <c r="J177" s="24">
        <f t="shared" si="50"/>
        <v>200</v>
      </c>
      <c r="K177" s="24">
        <f t="shared" si="50"/>
        <v>200</v>
      </c>
      <c r="L177" s="24">
        <f t="shared" si="50"/>
        <v>0</v>
      </c>
      <c r="M177" s="24">
        <f t="shared" si="50"/>
        <v>0</v>
      </c>
      <c r="N177" s="24">
        <f t="shared" si="50"/>
        <v>200</v>
      </c>
    </row>
    <row r="178" spans="1:14" ht="12.75">
      <c r="A178" s="9" t="s">
        <v>1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</row>
    <row r="179" spans="1:14" ht="12.75">
      <c r="A179" s="22" t="s">
        <v>132</v>
      </c>
      <c r="B179" s="63"/>
      <c r="C179" s="63"/>
      <c r="D179" s="63"/>
      <c r="E179" s="63"/>
      <c r="F179" s="63"/>
      <c r="G179" s="63"/>
      <c r="H179" s="63"/>
      <c r="I179" s="63"/>
      <c r="J179" s="63">
        <v>200</v>
      </c>
      <c r="K179" s="63">
        <f>H179+I179+J179</f>
        <v>200</v>
      </c>
      <c r="L179" s="63"/>
      <c r="M179" s="63"/>
      <c r="N179" s="63">
        <f>K179+L179+M179</f>
        <v>200</v>
      </c>
    </row>
    <row r="180" spans="1:14" ht="12.75">
      <c r="A180" s="11" t="s">
        <v>62</v>
      </c>
      <c r="B180" s="24">
        <f aca="true" t="shared" si="51" ref="B180:N180">B181+B187</f>
        <v>63986</v>
      </c>
      <c r="C180" s="24">
        <f t="shared" si="51"/>
        <v>0</v>
      </c>
      <c r="D180" s="24">
        <f t="shared" si="51"/>
        <v>16000</v>
      </c>
      <c r="E180" s="24">
        <f t="shared" si="51"/>
        <v>79986</v>
      </c>
      <c r="F180" s="24">
        <f t="shared" si="51"/>
        <v>0</v>
      </c>
      <c r="G180" s="24">
        <f t="shared" si="51"/>
        <v>0</v>
      </c>
      <c r="H180" s="24">
        <f t="shared" si="51"/>
        <v>79986</v>
      </c>
      <c r="I180" s="24">
        <f t="shared" si="51"/>
        <v>500</v>
      </c>
      <c r="J180" s="24">
        <f t="shared" si="51"/>
        <v>0</v>
      </c>
      <c r="K180" s="24">
        <f t="shared" si="51"/>
        <v>80486</v>
      </c>
      <c r="L180" s="24">
        <f t="shared" si="51"/>
        <v>445.9</v>
      </c>
      <c r="M180" s="24">
        <f t="shared" si="51"/>
        <v>0</v>
      </c>
      <c r="N180" s="24">
        <f t="shared" si="51"/>
        <v>80931.9</v>
      </c>
    </row>
    <row r="181" spans="1:14" ht="12.75">
      <c r="A181" s="6" t="s">
        <v>34</v>
      </c>
      <c r="B181" s="26">
        <f>SUM(B183:B186)</f>
        <v>59236</v>
      </c>
      <c r="C181" s="26">
        <f>SUM(C183:C185)</f>
        <v>0</v>
      </c>
      <c r="D181" s="26">
        <f>SUM(D183:D185)</f>
        <v>3000</v>
      </c>
      <c r="E181" s="26">
        <f>B181+C181+D181</f>
        <v>62236</v>
      </c>
      <c r="F181" s="26">
        <f>SUM(F183:F185)</f>
        <v>0</v>
      </c>
      <c r="G181" s="26">
        <f>SUM(G183:G185)</f>
        <v>0</v>
      </c>
      <c r="H181" s="26">
        <f>E181+F181+G181</f>
        <v>62236</v>
      </c>
      <c r="I181" s="26">
        <f aca="true" t="shared" si="52" ref="I181:N181">SUM(I183:I186)</f>
        <v>0</v>
      </c>
      <c r="J181" s="26">
        <f t="shared" si="52"/>
        <v>0</v>
      </c>
      <c r="K181" s="26">
        <f t="shared" si="52"/>
        <v>62236</v>
      </c>
      <c r="L181" s="26">
        <f t="shared" si="52"/>
        <v>0</v>
      </c>
      <c r="M181" s="26">
        <f t="shared" si="52"/>
        <v>0</v>
      </c>
      <c r="N181" s="26">
        <f t="shared" si="52"/>
        <v>62236</v>
      </c>
    </row>
    <row r="182" spans="1:14" ht="12.75">
      <c r="A182" s="3" t="s">
        <v>1</v>
      </c>
      <c r="B182" s="61"/>
      <c r="C182" s="61"/>
      <c r="D182" s="61"/>
      <c r="E182" s="23"/>
      <c r="F182" s="61"/>
      <c r="G182" s="61"/>
      <c r="H182" s="23"/>
      <c r="I182" s="61"/>
      <c r="J182" s="61"/>
      <c r="K182" s="23"/>
      <c r="L182" s="61"/>
      <c r="M182" s="61"/>
      <c r="N182" s="23"/>
    </row>
    <row r="183" spans="1:14" ht="12.75">
      <c r="A183" s="4" t="s">
        <v>9</v>
      </c>
      <c r="B183" s="61">
        <v>11707</v>
      </c>
      <c r="C183" s="61"/>
      <c r="D183" s="61">
        <v>3000</v>
      </c>
      <c r="E183" s="61">
        <f>B183+C183+D183</f>
        <v>14707</v>
      </c>
      <c r="F183" s="61"/>
      <c r="G183" s="61"/>
      <c r="H183" s="61">
        <f>E183+F183+G183</f>
        <v>14707</v>
      </c>
      <c r="I183" s="61"/>
      <c r="J183" s="61"/>
      <c r="K183" s="61">
        <f>H183+I183+J183</f>
        <v>14707</v>
      </c>
      <c r="L183" s="61"/>
      <c r="M183" s="61"/>
      <c r="N183" s="61">
        <f>K183+L183+M183</f>
        <v>14707</v>
      </c>
    </row>
    <row r="184" spans="1:14" ht="12.75">
      <c r="A184" s="4" t="s">
        <v>198</v>
      </c>
      <c r="B184" s="61">
        <v>25529</v>
      </c>
      <c r="C184" s="61"/>
      <c r="D184" s="61"/>
      <c r="E184" s="61">
        <f>B184+C184+D184</f>
        <v>25529</v>
      </c>
      <c r="F184" s="61"/>
      <c r="G184" s="61"/>
      <c r="H184" s="61">
        <f>E184+F184+G184</f>
        <v>25529</v>
      </c>
      <c r="I184" s="61"/>
      <c r="J184" s="61"/>
      <c r="K184" s="61">
        <f>H184+I184+J184</f>
        <v>25529</v>
      </c>
      <c r="L184" s="61"/>
      <c r="M184" s="61"/>
      <c r="N184" s="61">
        <f>K184+L184+M184</f>
        <v>25529</v>
      </c>
    </row>
    <row r="185" spans="1:14" ht="12.75">
      <c r="A185" s="4" t="s">
        <v>27</v>
      </c>
      <c r="B185" s="61">
        <v>22000</v>
      </c>
      <c r="C185" s="61"/>
      <c r="D185" s="61"/>
      <c r="E185" s="61">
        <f>B185+C185+D185</f>
        <v>22000</v>
      </c>
      <c r="F185" s="61"/>
      <c r="G185" s="61"/>
      <c r="H185" s="61">
        <f>E185+F185+G185</f>
        <v>22000</v>
      </c>
      <c r="I185" s="61"/>
      <c r="J185" s="61"/>
      <c r="K185" s="61">
        <f>H185+I185+J185</f>
        <v>22000</v>
      </c>
      <c r="L185" s="61"/>
      <c r="M185" s="61"/>
      <c r="N185" s="61">
        <f>K185+L185+M185</f>
        <v>22000</v>
      </c>
    </row>
    <row r="186" spans="1:14" ht="12.75" hidden="1">
      <c r="A186" s="4" t="s">
        <v>161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>
        <f>H186+I186+J186</f>
        <v>0</v>
      </c>
      <c r="L186" s="61"/>
      <c r="M186" s="61"/>
      <c r="N186" s="61">
        <f>K186+L186+M186</f>
        <v>0</v>
      </c>
    </row>
    <row r="187" spans="1:14" ht="12.75">
      <c r="A187" s="12" t="s">
        <v>35</v>
      </c>
      <c r="B187" s="27">
        <f>B190+B189</f>
        <v>4750</v>
      </c>
      <c r="C187" s="27">
        <f>C190+C189</f>
        <v>0</v>
      </c>
      <c r="D187" s="27">
        <f>D190+D189</f>
        <v>13000</v>
      </c>
      <c r="E187" s="26">
        <f>B187+C187+D187</f>
        <v>17750</v>
      </c>
      <c r="F187" s="27">
        <f>SUM(F189:F190)</f>
        <v>0</v>
      </c>
      <c r="G187" s="27">
        <f>SUM(G189:G190)</f>
        <v>0</v>
      </c>
      <c r="H187" s="26">
        <f>E187+F187+G187</f>
        <v>17750</v>
      </c>
      <c r="I187" s="27">
        <f aca="true" t="shared" si="53" ref="I187:N187">SUM(I189:I190)</f>
        <v>500</v>
      </c>
      <c r="J187" s="27">
        <f t="shared" si="53"/>
        <v>0</v>
      </c>
      <c r="K187" s="27">
        <f t="shared" si="53"/>
        <v>18250</v>
      </c>
      <c r="L187" s="27">
        <f t="shared" si="53"/>
        <v>445.9</v>
      </c>
      <c r="M187" s="27">
        <f t="shared" si="53"/>
        <v>0</v>
      </c>
      <c r="N187" s="27">
        <f t="shared" si="53"/>
        <v>18695.9</v>
      </c>
    </row>
    <row r="188" spans="1:14" ht="12.75">
      <c r="A188" s="9" t="s">
        <v>1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</row>
    <row r="189" spans="1:14" ht="12.75">
      <c r="A189" s="5" t="s">
        <v>264</v>
      </c>
      <c r="B189" s="61"/>
      <c r="C189" s="61"/>
      <c r="D189" s="61"/>
      <c r="E189" s="61">
        <f>B189+C189+D189</f>
        <v>0</v>
      </c>
      <c r="F189" s="61"/>
      <c r="G189" s="61"/>
      <c r="H189" s="61">
        <f>E189+F189+G189</f>
        <v>0</v>
      </c>
      <c r="I189" s="61"/>
      <c r="J189" s="61"/>
      <c r="K189" s="61">
        <f>H189+I189+J189</f>
        <v>0</v>
      </c>
      <c r="L189" s="61">
        <f>231.4+214.5</f>
        <v>445.9</v>
      </c>
      <c r="M189" s="61"/>
      <c r="N189" s="61">
        <f>K189+L189+M189</f>
        <v>445.9</v>
      </c>
    </row>
    <row r="190" spans="1:14" ht="12.75">
      <c r="A190" s="19" t="s">
        <v>38</v>
      </c>
      <c r="B190" s="63">
        <v>4750</v>
      </c>
      <c r="C190" s="63"/>
      <c r="D190" s="63">
        <v>13000</v>
      </c>
      <c r="E190" s="63">
        <f>B190+C190+D190</f>
        <v>17750</v>
      </c>
      <c r="F190" s="63"/>
      <c r="G190" s="63"/>
      <c r="H190" s="63">
        <f>E190+F190+G190</f>
        <v>17750</v>
      </c>
      <c r="I190" s="63">
        <v>500</v>
      </c>
      <c r="J190" s="63"/>
      <c r="K190" s="63">
        <f>H190+I190+J190</f>
        <v>18250</v>
      </c>
      <c r="L190" s="63"/>
      <c r="M190" s="63"/>
      <c r="N190" s="63">
        <f>K190+L190+M190</f>
        <v>18250</v>
      </c>
    </row>
    <row r="191" spans="1:14" ht="12.75">
      <c r="A191" s="2" t="s">
        <v>53</v>
      </c>
      <c r="B191" s="23">
        <f aca="true" t="shared" si="54" ref="B191:N191">B192+B227</f>
        <v>237400</v>
      </c>
      <c r="C191" s="23">
        <f t="shared" si="54"/>
        <v>40895.4</v>
      </c>
      <c r="D191" s="23">
        <f t="shared" si="54"/>
        <v>-15708.599999999999</v>
      </c>
      <c r="E191" s="23">
        <f t="shared" si="54"/>
        <v>262586.8</v>
      </c>
      <c r="F191" s="23">
        <f t="shared" si="54"/>
        <v>90918.09999999999</v>
      </c>
      <c r="G191" s="23">
        <f t="shared" si="54"/>
        <v>-54052.6</v>
      </c>
      <c r="H191" s="23">
        <f t="shared" si="54"/>
        <v>299452.30000000005</v>
      </c>
      <c r="I191" s="23">
        <f t="shared" si="54"/>
        <v>-42158.3</v>
      </c>
      <c r="J191" s="23">
        <f t="shared" si="54"/>
        <v>-6843.100000000002</v>
      </c>
      <c r="K191" s="23">
        <f t="shared" si="54"/>
        <v>250450.9</v>
      </c>
      <c r="L191" s="23">
        <f t="shared" si="54"/>
        <v>152637.89999999997</v>
      </c>
      <c r="M191" s="23">
        <f t="shared" si="54"/>
        <v>0</v>
      </c>
      <c r="N191" s="23">
        <f t="shared" si="54"/>
        <v>403088.8</v>
      </c>
    </row>
    <row r="192" spans="1:14" ht="12.75">
      <c r="A192" s="6" t="s">
        <v>34</v>
      </c>
      <c r="B192" s="26">
        <f aca="true" t="shared" si="55" ref="B192:N192">SUM(B194:B215)+B218</f>
        <v>153900</v>
      </c>
      <c r="C192" s="26">
        <f t="shared" si="55"/>
        <v>23674.800000000003</v>
      </c>
      <c r="D192" s="26">
        <f t="shared" si="55"/>
        <v>-25708.6</v>
      </c>
      <c r="E192" s="26">
        <f t="shared" si="55"/>
        <v>151866.19999999998</v>
      </c>
      <c r="F192" s="26">
        <f t="shared" si="55"/>
        <v>25209.099999999995</v>
      </c>
      <c r="G192" s="26">
        <f t="shared" si="55"/>
        <v>-49202.6</v>
      </c>
      <c r="H192" s="26">
        <f t="shared" si="55"/>
        <v>127872.70000000001</v>
      </c>
      <c r="I192" s="26">
        <f t="shared" si="55"/>
        <v>5464.200000000001</v>
      </c>
      <c r="J192" s="26">
        <f t="shared" si="55"/>
        <v>-33733.9</v>
      </c>
      <c r="K192" s="26">
        <f t="shared" si="55"/>
        <v>99603</v>
      </c>
      <c r="L192" s="26">
        <f t="shared" si="55"/>
        <v>106420.69999999998</v>
      </c>
      <c r="M192" s="26">
        <f t="shared" si="55"/>
        <v>0</v>
      </c>
      <c r="N192" s="26">
        <f t="shared" si="55"/>
        <v>206023.7</v>
      </c>
    </row>
    <row r="193" spans="1:14" ht="12.75">
      <c r="A193" s="9" t="s">
        <v>1</v>
      </c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</row>
    <row r="194" spans="1:14" ht="12.75">
      <c r="A194" s="4" t="s">
        <v>9</v>
      </c>
      <c r="B194" s="61">
        <v>4000</v>
      </c>
      <c r="C194" s="61"/>
      <c r="D194" s="61"/>
      <c r="E194" s="61">
        <f aca="true" t="shared" si="56" ref="E194:E205">SUM(A194:D194)</f>
        <v>4000</v>
      </c>
      <c r="F194" s="61"/>
      <c r="G194" s="61"/>
      <c r="H194" s="61">
        <f aca="true" t="shared" si="57" ref="H194:H226">SUM(E194:G194)</f>
        <v>4000</v>
      </c>
      <c r="I194" s="62">
        <v>5000</v>
      </c>
      <c r="J194" s="61"/>
      <c r="K194" s="61">
        <f>H194+I194+J194</f>
        <v>9000</v>
      </c>
      <c r="L194" s="61">
        <f>-2620+200</f>
        <v>-2420</v>
      </c>
      <c r="M194" s="61"/>
      <c r="N194" s="61">
        <f aca="true" t="shared" si="58" ref="N194:N226">SUM(K194:M194)</f>
        <v>6580</v>
      </c>
    </row>
    <row r="195" spans="1:14" ht="12.75">
      <c r="A195" s="4" t="s">
        <v>18</v>
      </c>
      <c r="B195" s="61">
        <v>500</v>
      </c>
      <c r="C195" s="61"/>
      <c r="D195" s="61">
        <v>1291.4</v>
      </c>
      <c r="E195" s="61">
        <f t="shared" si="56"/>
        <v>1791.4</v>
      </c>
      <c r="F195" s="61"/>
      <c r="G195" s="61">
        <v>500</v>
      </c>
      <c r="H195" s="61">
        <f t="shared" si="57"/>
        <v>2291.4</v>
      </c>
      <c r="I195" s="61"/>
      <c r="J195" s="61"/>
      <c r="K195" s="61">
        <f aca="true" t="shared" si="59" ref="K195:K216">H195+I195+J195</f>
        <v>2291.4</v>
      </c>
      <c r="L195" s="61">
        <f>2620+500+200</f>
        <v>3320</v>
      </c>
      <c r="M195" s="61"/>
      <c r="N195" s="61">
        <f t="shared" si="58"/>
        <v>5611.4</v>
      </c>
    </row>
    <row r="196" spans="1:14" ht="12.75">
      <c r="A196" s="17" t="s">
        <v>129</v>
      </c>
      <c r="B196" s="61">
        <v>1200</v>
      </c>
      <c r="C196" s="61"/>
      <c r="D196" s="61"/>
      <c r="E196" s="61">
        <f t="shared" si="56"/>
        <v>1200</v>
      </c>
      <c r="F196" s="61"/>
      <c r="G196" s="61"/>
      <c r="H196" s="61">
        <f t="shared" si="57"/>
        <v>1200</v>
      </c>
      <c r="I196" s="61"/>
      <c r="J196" s="61"/>
      <c r="K196" s="61">
        <f t="shared" si="59"/>
        <v>1200</v>
      </c>
      <c r="L196" s="61"/>
      <c r="M196" s="61"/>
      <c r="N196" s="61">
        <f t="shared" si="58"/>
        <v>1200</v>
      </c>
    </row>
    <row r="197" spans="1:14" ht="12.75">
      <c r="A197" s="17" t="s">
        <v>200</v>
      </c>
      <c r="B197" s="61">
        <v>3200</v>
      </c>
      <c r="C197" s="61">
        <v>1800</v>
      </c>
      <c r="D197" s="61"/>
      <c r="E197" s="61">
        <f t="shared" si="56"/>
        <v>5000</v>
      </c>
      <c r="F197" s="61">
        <v>200</v>
      </c>
      <c r="G197" s="61"/>
      <c r="H197" s="61">
        <f t="shared" si="57"/>
        <v>5200</v>
      </c>
      <c r="I197" s="61">
        <v>-5000</v>
      </c>
      <c r="J197" s="61"/>
      <c r="K197" s="61">
        <f t="shared" si="59"/>
        <v>200</v>
      </c>
      <c r="L197" s="61">
        <v>-200</v>
      </c>
      <c r="M197" s="61"/>
      <c r="N197" s="61">
        <f t="shared" si="58"/>
        <v>0</v>
      </c>
    </row>
    <row r="198" spans="1:14" ht="12.75">
      <c r="A198" s="17" t="s">
        <v>199</v>
      </c>
      <c r="B198" s="61"/>
      <c r="C198" s="61">
        <f>11940.6+120.5</f>
        <v>12061.1</v>
      </c>
      <c r="D198" s="61"/>
      <c r="E198" s="61">
        <f t="shared" si="56"/>
        <v>12061.1</v>
      </c>
      <c r="F198" s="61"/>
      <c r="G198" s="61"/>
      <c r="H198" s="61">
        <f t="shared" si="57"/>
        <v>12061.1</v>
      </c>
      <c r="I198" s="61"/>
      <c r="J198" s="61"/>
      <c r="K198" s="61">
        <f t="shared" si="59"/>
        <v>12061.1</v>
      </c>
      <c r="L198" s="61"/>
      <c r="M198" s="61"/>
      <c r="N198" s="61">
        <f t="shared" si="58"/>
        <v>12061.1</v>
      </c>
    </row>
    <row r="199" spans="1:15" ht="12.75">
      <c r="A199" s="17" t="s">
        <v>239</v>
      </c>
      <c r="B199" s="61"/>
      <c r="C199" s="61"/>
      <c r="D199" s="61"/>
      <c r="E199" s="61"/>
      <c r="F199" s="61"/>
      <c r="G199" s="61"/>
      <c r="H199" s="61">
        <f t="shared" si="57"/>
        <v>0</v>
      </c>
      <c r="I199" s="61">
        <f>4295.1+19.6</f>
        <v>4314.700000000001</v>
      </c>
      <c r="J199" s="61"/>
      <c r="K199" s="61">
        <f t="shared" si="59"/>
        <v>4314.700000000001</v>
      </c>
      <c r="L199" s="61">
        <v>747.9</v>
      </c>
      <c r="M199" s="61"/>
      <c r="N199" s="61">
        <f t="shared" si="58"/>
        <v>5062.6</v>
      </c>
      <c r="O199" s="75"/>
    </row>
    <row r="200" spans="1:14" ht="12.75">
      <c r="A200" s="4" t="s">
        <v>235</v>
      </c>
      <c r="B200" s="61"/>
      <c r="C200" s="61"/>
      <c r="D200" s="61"/>
      <c r="E200" s="61">
        <f t="shared" si="56"/>
        <v>0</v>
      </c>
      <c r="F200" s="61">
        <v>669.8</v>
      </c>
      <c r="G200" s="61"/>
      <c r="H200" s="61">
        <f t="shared" si="57"/>
        <v>669.8</v>
      </c>
      <c r="I200" s="61">
        <v>23.7</v>
      </c>
      <c r="J200" s="61"/>
      <c r="K200" s="61">
        <f t="shared" si="59"/>
        <v>693.5</v>
      </c>
      <c r="L200" s="61">
        <f>943.4+4.9</f>
        <v>948.3</v>
      </c>
      <c r="M200" s="61"/>
      <c r="N200" s="61">
        <f t="shared" si="58"/>
        <v>1641.8</v>
      </c>
    </row>
    <row r="201" spans="1:14" ht="12.75">
      <c r="A201" s="60" t="s">
        <v>98</v>
      </c>
      <c r="B201" s="61"/>
      <c r="C201" s="61">
        <v>4234.8</v>
      </c>
      <c r="D201" s="61"/>
      <c r="E201" s="61">
        <f t="shared" si="56"/>
        <v>4234.8</v>
      </c>
      <c r="F201" s="61">
        <v>4592.4</v>
      </c>
      <c r="G201" s="61"/>
      <c r="H201" s="61">
        <f t="shared" si="57"/>
        <v>8827.2</v>
      </c>
      <c r="I201" s="61">
        <v>2216.7</v>
      </c>
      <c r="J201" s="61"/>
      <c r="K201" s="61">
        <f t="shared" si="59"/>
        <v>11043.900000000001</v>
      </c>
      <c r="L201" s="61">
        <f>4501.4+5333.4</f>
        <v>9834.8</v>
      </c>
      <c r="M201" s="61"/>
      <c r="N201" s="61">
        <f t="shared" si="58"/>
        <v>20878.7</v>
      </c>
    </row>
    <row r="202" spans="1:14" ht="12.75">
      <c r="A202" s="60" t="s">
        <v>99</v>
      </c>
      <c r="B202" s="61"/>
      <c r="C202" s="61">
        <v>4016.6</v>
      </c>
      <c r="D202" s="61"/>
      <c r="E202" s="61">
        <f t="shared" si="56"/>
        <v>4016.6</v>
      </c>
      <c r="F202" s="61">
        <v>706.9</v>
      </c>
      <c r="G202" s="61"/>
      <c r="H202" s="61">
        <f t="shared" si="57"/>
        <v>4723.5</v>
      </c>
      <c r="I202" s="61">
        <v>2373.4</v>
      </c>
      <c r="J202" s="61"/>
      <c r="K202" s="61">
        <f t="shared" si="59"/>
        <v>7096.9</v>
      </c>
      <c r="L202" s="61">
        <f>552.3+1153.1</f>
        <v>1705.3999999999999</v>
      </c>
      <c r="M202" s="61"/>
      <c r="N202" s="62">
        <f t="shared" si="58"/>
        <v>8802.3</v>
      </c>
    </row>
    <row r="203" spans="1:14" ht="12.75">
      <c r="A203" s="17" t="s">
        <v>97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>
        <v>25.3</v>
      </c>
      <c r="M203" s="61"/>
      <c r="N203" s="62">
        <f t="shared" si="58"/>
        <v>25.3</v>
      </c>
    </row>
    <row r="204" spans="1:15" ht="12.75">
      <c r="A204" s="4" t="s">
        <v>144</v>
      </c>
      <c r="B204" s="61"/>
      <c r="C204" s="61">
        <v>1117.9</v>
      </c>
      <c r="D204" s="61"/>
      <c r="E204" s="61">
        <f t="shared" si="56"/>
        <v>1117.9</v>
      </c>
      <c r="F204" s="61">
        <v>166.6</v>
      </c>
      <c r="G204" s="61"/>
      <c r="H204" s="61">
        <f t="shared" si="57"/>
        <v>1284.5</v>
      </c>
      <c r="I204" s="61"/>
      <c r="J204" s="61"/>
      <c r="K204" s="61">
        <f t="shared" si="59"/>
        <v>1284.5</v>
      </c>
      <c r="L204" s="61">
        <v>691.9</v>
      </c>
      <c r="M204" s="61"/>
      <c r="N204" s="62">
        <f t="shared" si="58"/>
        <v>1976.4</v>
      </c>
      <c r="O204" s="96"/>
    </row>
    <row r="205" spans="1:14" ht="12.75">
      <c r="A205" s="4" t="s">
        <v>232</v>
      </c>
      <c r="B205" s="61"/>
      <c r="C205" s="61">
        <v>523.2</v>
      </c>
      <c r="D205" s="61"/>
      <c r="E205" s="61">
        <f t="shared" si="56"/>
        <v>523.2</v>
      </c>
      <c r="F205" s="61"/>
      <c r="G205" s="61"/>
      <c r="H205" s="61">
        <f t="shared" si="57"/>
        <v>523.2</v>
      </c>
      <c r="I205" s="61"/>
      <c r="J205" s="61"/>
      <c r="K205" s="61">
        <f t="shared" si="59"/>
        <v>523.2</v>
      </c>
      <c r="L205" s="61"/>
      <c r="M205" s="61"/>
      <c r="N205" s="62">
        <f t="shared" si="58"/>
        <v>523.2</v>
      </c>
    </row>
    <row r="206" spans="1:14" ht="12.75">
      <c r="A206" s="4" t="s">
        <v>233</v>
      </c>
      <c r="B206" s="61"/>
      <c r="C206" s="61"/>
      <c r="D206" s="61"/>
      <c r="E206" s="61"/>
      <c r="F206" s="61">
        <v>476.3</v>
      </c>
      <c r="G206" s="61"/>
      <c r="H206" s="61">
        <f t="shared" si="57"/>
        <v>476.3</v>
      </c>
      <c r="I206" s="61"/>
      <c r="J206" s="61"/>
      <c r="K206" s="61">
        <f t="shared" si="59"/>
        <v>476.3</v>
      </c>
      <c r="L206" s="61">
        <v>144.9</v>
      </c>
      <c r="M206" s="61"/>
      <c r="N206" s="62">
        <f t="shared" si="58"/>
        <v>621.2</v>
      </c>
    </row>
    <row r="207" spans="1:14" ht="12.75">
      <c r="A207" s="4" t="s">
        <v>234</v>
      </c>
      <c r="B207" s="61"/>
      <c r="C207" s="61"/>
      <c r="D207" s="61"/>
      <c r="E207" s="61"/>
      <c r="F207" s="61">
        <v>2965.5</v>
      </c>
      <c r="G207" s="61"/>
      <c r="H207" s="61">
        <f t="shared" si="57"/>
        <v>2965.5</v>
      </c>
      <c r="I207" s="61"/>
      <c r="J207" s="61"/>
      <c r="K207" s="61">
        <f t="shared" si="59"/>
        <v>2965.5</v>
      </c>
      <c r="L207" s="61">
        <v>4739.9</v>
      </c>
      <c r="M207" s="61"/>
      <c r="N207" s="62">
        <f t="shared" si="58"/>
        <v>7705.4</v>
      </c>
    </row>
    <row r="208" spans="1:14" ht="12.75">
      <c r="A208" s="4" t="s">
        <v>260</v>
      </c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>
        <v>49369.5</v>
      </c>
      <c r="M208" s="61"/>
      <c r="N208" s="62">
        <f t="shared" si="58"/>
        <v>49369.5</v>
      </c>
    </row>
    <row r="209" spans="1:14" ht="12.75">
      <c r="A209" s="17" t="s">
        <v>259</v>
      </c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>
        <v>17952.5</v>
      </c>
      <c r="M209" s="61"/>
      <c r="N209" s="62">
        <f t="shared" si="58"/>
        <v>17952.5</v>
      </c>
    </row>
    <row r="210" spans="1:14" ht="12.75">
      <c r="A210" s="4" t="s">
        <v>261</v>
      </c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>
        <v>22440.7</v>
      </c>
      <c r="M210" s="61"/>
      <c r="N210" s="62">
        <f t="shared" si="58"/>
        <v>22440.7</v>
      </c>
    </row>
    <row r="211" spans="1:15" ht="12.75">
      <c r="A211" s="4" t="s">
        <v>277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>
        <f>270.4+272.8+316.2</f>
        <v>859.4000000000001</v>
      </c>
      <c r="M211" s="61"/>
      <c r="N211" s="62">
        <f>SUM(K211:M211)</f>
        <v>859.4000000000001</v>
      </c>
      <c r="O211" s="96"/>
    </row>
    <row r="212" spans="1:14" ht="12.75">
      <c r="A212" s="4" t="s">
        <v>105</v>
      </c>
      <c r="B212" s="61"/>
      <c r="C212" s="61">
        <v>721.2</v>
      </c>
      <c r="D212" s="61"/>
      <c r="E212" s="61">
        <f>SUM(A212:D212)</f>
        <v>721.2</v>
      </c>
      <c r="F212" s="61"/>
      <c r="G212" s="61"/>
      <c r="H212" s="61">
        <f t="shared" si="57"/>
        <v>721.2</v>
      </c>
      <c r="I212" s="61"/>
      <c r="J212" s="61"/>
      <c r="K212" s="61">
        <f t="shared" si="59"/>
        <v>721.2</v>
      </c>
      <c r="L212" s="61"/>
      <c r="M212" s="61"/>
      <c r="N212" s="62">
        <f t="shared" si="58"/>
        <v>721.2</v>
      </c>
    </row>
    <row r="213" spans="1:14" ht="12.75">
      <c r="A213" s="4" t="s">
        <v>130</v>
      </c>
      <c r="B213" s="61"/>
      <c r="C213" s="61"/>
      <c r="D213" s="61"/>
      <c r="E213" s="61">
        <f>SUM(A213:D213)</f>
        <v>0</v>
      </c>
      <c r="F213" s="61">
        <v>7877.8</v>
      </c>
      <c r="G213" s="61"/>
      <c r="H213" s="61">
        <f t="shared" si="57"/>
        <v>7877.8</v>
      </c>
      <c r="I213" s="61"/>
      <c r="J213" s="61"/>
      <c r="K213" s="61">
        <f t="shared" si="59"/>
        <v>7877.8</v>
      </c>
      <c r="L213" s="61"/>
      <c r="M213" s="61"/>
      <c r="N213" s="62">
        <f t="shared" si="58"/>
        <v>7877.8</v>
      </c>
    </row>
    <row r="214" spans="1:14" ht="12.75">
      <c r="A214" s="4" t="s">
        <v>66</v>
      </c>
      <c r="B214" s="61">
        <v>25000</v>
      </c>
      <c r="C214" s="61"/>
      <c r="D214" s="61">
        <v>-25000</v>
      </c>
      <c r="E214" s="61">
        <f>SUM(A214:D214)</f>
        <v>0</v>
      </c>
      <c r="F214" s="61"/>
      <c r="G214" s="61"/>
      <c r="H214" s="61">
        <f t="shared" si="57"/>
        <v>0</v>
      </c>
      <c r="I214" s="61"/>
      <c r="J214" s="61"/>
      <c r="K214" s="61">
        <f t="shared" si="59"/>
        <v>0</v>
      </c>
      <c r="L214" s="61"/>
      <c r="M214" s="61"/>
      <c r="N214" s="61">
        <f t="shared" si="58"/>
        <v>0</v>
      </c>
    </row>
    <row r="215" spans="1:14" ht="12.75">
      <c r="A215" s="4" t="s">
        <v>212</v>
      </c>
      <c r="B215" s="61">
        <v>36000</v>
      </c>
      <c r="C215" s="61">
        <f>-1800-3000+6500</f>
        <v>1700</v>
      </c>
      <c r="D215" s="61"/>
      <c r="E215" s="61">
        <f>SUM(A215:D215)</f>
        <v>37700</v>
      </c>
      <c r="F215" s="61">
        <f>32258.1-2000+880</f>
        <v>31138.1</v>
      </c>
      <c r="G215" s="61">
        <v>3150</v>
      </c>
      <c r="H215" s="61">
        <f t="shared" si="57"/>
        <v>71988.1</v>
      </c>
      <c r="I215" s="61">
        <f>-5336.9+2122.6+250</f>
        <v>-2964.2999999999997</v>
      </c>
      <c r="J215" s="61">
        <f>-4000-4000+160-5183.8-18649.3+300+202.3</f>
        <v>-31170.8</v>
      </c>
      <c r="K215" s="61">
        <f t="shared" si="59"/>
        <v>37853</v>
      </c>
      <c r="L215" s="61">
        <f>637.5-5652.3+700-80+280+375</f>
        <v>-3739.8</v>
      </c>
      <c r="M215" s="61"/>
      <c r="N215" s="61">
        <f t="shared" si="58"/>
        <v>34113.2</v>
      </c>
    </row>
    <row r="216" spans="1:14" ht="12.75">
      <c r="A216" s="4" t="s">
        <v>201</v>
      </c>
      <c r="B216" s="61">
        <v>6800</v>
      </c>
      <c r="C216" s="61">
        <v>-1800</v>
      </c>
      <c r="D216" s="61"/>
      <c r="E216" s="61">
        <f>SUM(A216:D216)</f>
        <v>5000</v>
      </c>
      <c r="F216" s="61"/>
      <c r="G216" s="61">
        <v>4650</v>
      </c>
      <c r="H216" s="61">
        <f t="shared" si="57"/>
        <v>9650</v>
      </c>
      <c r="I216" s="61">
        <v>-9650</v>
      </c>
      <c r="J216" s="61"/>
      <c r="K216" s="61">
        <f t="shared" si="59"/>
        <v>0</v>
      </c>
      <c r="L216" s="61"/>
      <c r="M216" s="61"/>
      <c r="N216" s="61">
        <f t="shared" si="58"/>
        <v>0</v>
      </c>
    </row>
    <row r="217" spans="1:14" ht="12.75">
      <c r="A217" s="4" t="s">
        <v>223</v>
      </c>
      <c r="B217" s="61"/>
      <c r="C217" s="61"/>
      <c r="D217" s="61"/>
      <c r="E217" s="61"/>
      <c r="F217" s="61">
        <v>880</v>
      </c>
      <c r="G217" s="61"/>
      <c r="H217" s="61">
        <f t="shared" si="57"/>
        <v>880</v>
      </c>
      <c r="I217" s="61"/>
      <c r="J217" s="61">
        <v>202.3</v>
      </c>
      <c r="K217" s="61">
        <f>H217+I217+J217</f>
        <v>1082.3</v>
      </c>
      <c r="L217" s="61">
        <v>280</v>
      </c>
      <c r="M217" s="61"/>
      <c r="N217" s="61">
        <f t="shared" si="58"/>
        <v>1362.3</v>
      </c>
    </row>
    <row r="218" spans="1:14" ht="12.75">
      <c r="A218" s="4" t="s">
        <v>41</v>
      </c>
      <c r="B218" s="61">
        <f aca="true" t="shared" si="60" ref="B218:G218">SUM(B219:B226)</f>
        <v>84000</v>
      </c>
      <c r="C218" s="61">
        <f t="shared" si="60"/>
        <v>-2500</v>
      </c>
      <c r="D218" s="61">
        <f t="shared" si="60"/>
        <v>-2000</v>
      </c>
      <c r="E218" s="61">
        <f t="shared" si="60"/>
        <v>79500</v>
      </c>
      <c r="F218" s="61">
        <f t="shared" si="60"/>
        <v>-23584.3</v>
      </c>
      <c r="G218" s="61">
        <f t="shared" si="60"/>
        <v>-52852.6</v>
      </c>
      <c r="H218" s="61">
        <f t="shared" si="57"/>
        <v>3063.0999999999985</v>
      </c>
      <c r="I218" s="61">
        <f>SUM(I219:I226)</f>
        <v>-500</v>
      </c>
      <c r="J218" s="61">
        <v>-2563.1</v>
      </c>
      <c r="K218" s="61">
        <f aca="true" t="shared" si="61" ref="K218:K226">H218+I218+J218</f>
        <v>0</v>
      </c>
      <c r="L218" s="61"/>
      <c r="M218" s="61"/>
      <c r="N218" s="61">
        <f t="shared" si="58"/>
        <v>0</v>
      </c>
    </row>
    <row r="219" spans="1:14" ht="12.75">
      <c r="A219" s="4" t="s">
        <v>111</v>
      </c>
      <c r="B219" s="61">
        <v>500</v>
      </c>
      <c r="C219" s="61"/>
      <c r="D219" s="61"/>
      <c r="E219" s="61">
        <f aca="true" t="shared" si="62" ref="E219:E226">SUM(A219:D219)</f>
        <v>500</v>
      </c>
      <c r="F219" s="61"/>
      <c r="G219" s="61"/>
      <c r="H219" s="61">
        <f t="shared" si="57"/>
        <v>500</v>
      </c>
      <c r="I219" s="61">
        <v>-500</v>
      </c>
      <c r="J219" s="61"/>
      <c r="K219" s="61">
        <f t="shared" si="61"/>
        <v>0</v>
      </c>
      <c r="L219" s="61"/>
      <c r="M219" s="61"/>
      <c r="N219" s="61">
        <f t="shared" si="58"/>
        <v>0</v>
      </c>
    </row>
    <row r="220" spans="1:14" ht="12.75">
      <c r="A220" s="4" t="s">
        <v>112</v>
      </c>
      <c r="B220" s="61">
        <v>9000</v>
      </c>
      <c r="C220" s="61"/>
      <c r="D220" s="61"/>
      <c r="E220" s="61">
        <f t="shared" si="62"/>
        <v>9000</v>
      </c>
      <c r="F220" s="61">
        <v>-9000</v>
      </c>
      <c r="G220" s="61"/>
      <c r="H220" s="61">
        <f t="shared" si="57"/>
        <v>0</v>
      </c>
      <c r="I220" s="61"/>
      <c r="J220" s="61"/>
      <c r="K220" s="61">
        <f t="shared" si="61"/>
        <v>0</v>
      </c>
      <c r="L220" s="61"/>
      <c r="M220" s="61"/>
      <c r="N220" s="61">
        <f t="shared" si="58"/>
        <v>0</v>
      </c>
    </row>
    <row r="221" spans="1:14" ht="12.75">
      <c r="A221" s="4" t="s">
        <v>113</v>
      </c>
      <c r="B221" s="61">
        <v>13530</v>
      </c>
      <c r="C221" s="61"/>
      <c r="D221" s="61"/>
      <c r="E221" s="61">
        <f t="shared" si="62"/>
        <v>13530</v>
      </c>
      <c r="F221" s="61"/>
      <c r="G221" s="61">
        <v>-13530</v>
      </c>
      <c r="H221" s="61">
        <f t="shared" si="57"/>
        <v>0</v>
      </c>
      <c r="I221" s="61"/>
      <c r="J221" s="61"/>
      <c r="K221" s="61">
        <f t="shared" si="61"/>
        <v>0</v>
      </c>
      <c r="L221" s="61"/>
      <c r="M221" s="61"/>
      <c r="N221" s="61">
        <f t="shared" si="58"/>
        <v>0</v>
      </c>
    </row>
    <row r="222" spans="1:14" ht="12.75">
      <c r="A222" s="4" t="s">
        <v>114</v>
      </c>
      <c r="B222" s="61">
        <v>2700</v>
      </c>
      <c r="C222" s="61"/>
      <c r="D222" s="61"/>
      <c r="E222" s="61">
        <f t="shared" si="62"/>
        <v>2700</v>
      </c>
      <c r="F222" s="61"/>
      <c r="G222" s="61">
        <v>-2700</v>
      </c>
      <c r="H222" s="61">
        <f t="shared" si="57"/>
        <v>0</v>
      </c>
      <c r="I222" s="61"/>
      <c r="J222" s="61"/>
      <c r="K222" s="61">
        <f t="shared" si="61"/>
        <v>0</v>
      </c>
      <c r="L222" s="61"/>
      <c r="M222" s="61"/>
      <c r="N222" s="61">
        <f t="shared" si="58"/>
        <v>0</v>
      </c>
    </row>
    <row r="223" spans="1:14" ht="12.75">
      <c r="A223" s="4" t="s">
        <v>115</v>
      </c>
      <c r="B223" s="61">
        <v>4510</v>
      </c>
      <c r="C223" s="61"/>
      <c r="D223" s="61"/>
      <c r="E223" s="61">
        <f t="shared" si="62"/>
        <v>4510</v>
      </c>
      <c r="F223" s="61"/>
      <c r="G223" s="61">
        <v>-4510</v>
      </c>
      <c r="H223" s="61">
        <f t="shared" si="57"/>
        <v>0</v>
      </c>
      <c r="I223" s="61"/>
      <c r="J223" s="61"/>
      <c r="K223" s="61">
        <f t="shared" si="61"/>
        <v>0</v>
      </c>
      <c r="L223" s="61"/>
      <c r="M223" s="61"/>
      <c r="N223" s="61">
        <f t="shared" si="58"/>
        <v>0</v>
      </c>
    </row>
    <row r="224" spans="1:14" ht="12.75">
      <c r="A224" s="4" t="s">
        <v>116</v>
      </c>
      <c r="B224" s="61">
        <v>10280</v>
      </c>
      <c r="C224" s="61"/>
      <c r="D224" s="61"/>
      <c r="E224" s="61">
        <f t="shared" si="62"/>
        <v>10280</v>
      </c>
      <c r="F224" s="61">
        <v>-10280</v>
      </c>
      <c r="G224" s="61"/>
      <c r="H224" s="61">
        <f t="shared" si="57"/>
        <v>0</v>
      </c>
      <c r="I224" s="61"/>
      <c r="J224" s="61"/>
      <c r="K224" s="61">
        <f t="shared" si="61"/>
        <v>0</v>
      </c>
      <c r="L224" s="61"/>
      <c r="M224" s="61"/>
      <c r="N224" s="61">
        <f t="shared" si="58"/>
        <v>0</v>
      </c>
    </row>
    <row r="225" spans="1:14" ht="12.75">
      <c r="A225" s="4" t="s">
        <v>117</v>
      </c>
      <c r="B225" s="61">
        <v>28340</v>
      </c>
      <c r="C225" s="61"/>
      <c r="D225" s="61"/>
      <c r="E225" s="61">
        <f t="shared" si="62"/>
        <v>28340</v>
      </c>
      <c r="F225" s="61"/>
      <c r="G225" s="61">
        <v>-28340</v>
      </c>
      <c r="H225" s="61">
        <f t="shared" si="57"/>
        <v>0</v>
      </c>
      <c r="I225" s="61"/>
      <c r="J225" s="61"/>
      <c r="K225" s="61">
        <f t="shared" si="61"/>
        <v>0</v>
      </c>
      <c r="L225" s="61"/>
      <c r="M225" s="61"/>
      <c r="N225" s="61">
        <f t="shared" si="58"/>
        <v>0</v>
      </c>
    </row>
    <row r="226" spans="1:14" ht="12.75">
      <c r="A226" s="4" t="s">
        <v>226</v>
      </c>
      <c r="B226" s="61">
        <v>15140</v>
      </c>
      <c r="C226" s="61">
        <v>-2500</v>
      </c>
      <c r="D226" s="61">
        <v>-2000</v>
      </c>
      <c r="E226" s="61">
        <f t="shared" si="62"/>
        <v>10640</v>
      </c>
      <c r="F226" s="61">
        <v>-4304.3</v>
      </c>
      <c r="G226" s="61">
        <v>-3772.6</v>
      </c>
      <c r="H226" s="61">
        <f t="shared" si="57"/>
        <v>2563.1</v>
      </c>
      <c r="I226" s="61"/>
      <c r="J226" s="61">
        <v>-2563.1</v>
      </c>
      <c r="K226" s="61">
        <f t="shared" si="61"/>
        <v>0</v>
      </c>
      <c r="L226" s="61"/>
      <c r="M226" s="61"/>
      <c r="N226" s="61">
        <f t="shared" si="58"/>
        <v>0</v>
      </c>
    </row>
    <row r="227" spans="1:14" ht="12.75">
      <c r="A227" s="12" t="s">
        <v>35</v>
      </c>
      <c r="B227" s="27">
        <f aca="true" t="shared" si="63" ref="B227:N227">SUM(B229:B241)</f>
        <v>83500</v>
      </c>
      <c r="C227" s="27">
        <f t="shared" si="63"/>
        <v>17220.6</v>
      </c>
      <c r="D227" s="27">
        <f t="shared" si="63"/>
        <v>10000</v>
      </c>
      <c r="E227" s="27">
        <f t="shared" si="63"/>
        <v>110720.6</v>
      </c>
      <c r="F227" s="27">
        <f t="shared" si="63"/>
        <v>65709</v>
      </c>
      <c r="G227" s="27">
        <f t="shared" si="63"/>
        <v>-4850</v>
      </c>
      <c r="H227" s="27">
        <f t="shared" si="63"/>
        <v>171579.6</v>
      </c>
      <c r="I227" s="27">
        <f t="shared" si="63"/>
        <v>-47622.5</v>
      </c>
      <c r="J227" s="27">
        <f t="shared" si="63"/>
        <v>26890.8</v>
      </c>
      <c r="K227" s="27">
        <f t="shared" si="63"/>
        <v>150847.9</v>
      </c>
      <c r="L227" s="27">
        <f t="shared" si="63"/>
        <v>46217.19999999999</v>
      </c>
      <c r="M227" s="27">
        <f t="shared" si="63"/>
        <v>0</v>
      </c>
      <c r="N227" s="27">
        <f t="shared" si="63"/>
        <v>197065.09999999998</v>
      </c>
    </row>
    <row r="228" spans="1:14" ht="12.75">
      <c r="A228" s="17" t="s">
        <v>1</v>
      </c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1:14" ht="12.75">
      <c r="A229" s="4" t="s">
        <v>131</v>
      </c>
      <c r="B229" s="61">
        <v>500</v>
      </c>
      <c r="C229" s="61"/>
      <c r="D229" s="61"/>
      <c r="E229" s="61">
        <f>B229+C229+D229</f>
        <v>500</v>
      </c>
      <c r="F229" s="61"/>
      <c r="G229" s="61"/>
      <c r="H229" s="61">
        <f aca="true" t="shared" si="64" ref="H229:H243">SUM(E229:G229)</f>
        <v>500</v>
      </c>
      <c r="I229" s="61"/>
      <c r="J229" s="61"/>
      <c r="K229" s="61">
        <f>H229+I229+J229</f>
        <v>500</v>
      </c>
      <c r="L229" s="61"/>
      <c r="M229" s="61"/>
      <c r="N229" s="61">
        <f aca="true" t="shared" si="65" ref="N229:N243">SUM(K229:M229)</f>
        <v>500</v>
      </c>
    </row>
    <row r="230" spans="1:14" ht="12.75">
      <c r="A230" s="4" t="s">
        <v>208</v>
      </c>
      <c r="B230" s="61"/>
      <c r="C230" s="61">
        <v>500</v>
      </c>
      <c r="D230" s="61"/>
      <c r="E230" s="61">
        <f>B230+C230+D230</f>
        <v>500</v>
      </c>
      <c r="F230" s="61"/>
      <c r="G230" s="61"/>
      <c r="H230" s="61">
        <f t="shared" si="64"/>
        <v>500</v>
      </c>
      <c r="I230" s="61">
        <v>-500</v>
      </c>
      <c r="J230" s="61"/>
      <c r="K230" s="61">
        <f aca="true" t="shared" si="66" ref="K230:K243">H230+I230+J230</f>
        <v>0</v>
      </c>
      <c r="L230" s="61"/>
      <c r="M230" s="61"/>
      <c r="N230" s="61">
        <f t="shared" si="65"/>
        <v>0</v>
      </c>
    </row>
    <row r="231" spans="1:14" ht="12.75">
      <c r="A231" s="4" t="s">
        <v>96</v>
      </c>
      <c r="B231" s="61"/>
      <c r="C231" s="61"/>
      <c r="D231" s="61"/>
      <c r="E231" s="61">
        <f>B231+C231+D231</f>
        <v>0</v>
      </c>
      <c r="F231" s="61"/>
      <c r="G231" s="61"/>
      <c r="H231" s="61">
        <f t="shared" si="64"/>
        <v>0</v>
      </c>
      <c r="I231" s="61"/>
      <c r="J231" s="61"/>
      <c r="K231" s="61">
        <f t="shared" si="66"/>
        <v>0</v>
      </c>
      <c r="L231" s="61">
        <f>918.9+2828</f>
        <v>3746.9</v>
      </c>
      <c r="M231" s="61"/>
      <c r="N231" s="61">
        <f t="shared" si="65"/>
        <v>3746.9</v>
      </c>
    </row>
    <row r="232" spans="1:14" ht="12.75">
      <c r="A232" s="17" t="s">
        <v>97</v>
      </c>
      <c r="B232" s="61"/>
      <c r="C232" s="61"/>
      <c r="D232" s="61"/>
      <c r="E232" s="61">
        <f>B232+C232</f>
        <v>0</v>
      </c>
      <c r="F232" s="61"/>
      <c r="G232" s="61"/>
      <c r="H232" s="61">
        <f t="shared" si="64"/>
        <v>0</v>
      </c>
      <c r="I232" s="61">
        <v>1009.5</v>
      </c>
      <c r="J232" s="61"/>
      <c r="K232" s="61">
        <f t="shared" si="66"/>
        <v>1009.5</v>
      </c>
      <c r="L232" s="61">
        <f>1822.9+2307.1</f>
        <v>4130</v>
      </c>
      <c r="M232" s="61"/>
      <c r="N232" s="61">
        <f t="shared" si="65"/>
        <v>5139.5</v>
      </c>
    </row>
    <row r="233" spans="1:14" ht="12.75">
      <c r="A233" s="60" t="s">
        <v>99</v>
      </c>
      <c r="B233" s="61"/>
      <c r="C233" s="61"/>
      <c r="D233" s="61"/>
      <c r="E233" s="61">
        <f>B233+C233</f>
        <v>0</v>
      </c>
      <c r="F233" s="61"/>
      <c r="G233" s="61"/>
      <c r="H233" s="61">
        <f t="shared" si="64"/>
        <v>0</v>
      </c>
      <c r="I233" s="61"/>
      <c r="J233" s="61"/>
      <c r="K233" s="61">
        <f t="shared" si="66"/>
        <v>0</v>
      </c>
      <c r="L233" s="61">
        <f>302.8+54</f>
        <v>356.8</v>
      </c>
      <c r="M233" s="61"/>
      <c r="N233" s="61">
        <f t="shared" si="65"/>
        <v>356.8</v>
      </c>
    </row>
    <row r="234" spans="1:14" ht="12.75">
      <c r="A234" s="4" t="s">
        <v>144</v>
      </c>
      <c r="B234" s="61"/>
      <c r="C234" s="61"/>
      <c r="D234" s="61"/>
      <c r="E234" s="61">
        <f>B234+C234</f>
        <v>0</v>
      </c>
      <c r="F234" s="61">
        <v>439.8</v>
      </c>
      <c r="G234" s="61"/>
      <c r="H234" s="61">
        <f t="shared" si="64"/>
        <v>439.8</v>
      </c>
      <c r="I234" s="61"/>
      <c r="J234" s="61"/>
      <c r="K234" s="61">
        <f t="shared" si="66"/>
        <v>439.8</v>
      </c>
      <c r="L234" s="61"/>
      <c r="M234" s="61"/>
      <c r="N234" s="61">
        <f t="shared" si="65"/>
        <v>439.8</v>
      </c>
    </row>
    <row r="235" spans="1:14" ht="12.75">
      <c r="A235" s="4" t="s">
        <v>234</v>
      </c>
      <c r="B235" s="61"/>
      <c r="C235" s="61"/>
      <c r="D235" s="61"/>
      <c r="E235" s="61"/>
      <c r="F235" s="61">
        <v>8049.2</v>
      </c>
      <c r="G235" s="61"/>
      <c r="H235" s="61">
        <f t="shared" si="64"/>
        <v>8049.2</v>
      </c>
      <c r="I235" s="61"/>
      <c r="J235" s="61"/>
      <c r="K235" s="61">
        <f t="shared" si="66"/>
        <v>8049.2</v>
      </c>
      <c r="L235" s="61">
        <v>28857.1</v>
      </c>
      <c r="M235" s="61"/>
      <c r="N235" s="61">
        <f t="shared" si="65"/>
        <v>36906.299999999996</v>
      </c>
    </row>
    <row r="236" spans="1:14" ht="12.75">
      <c r="A236" s="4" t="s">
        <v>260</v>
      </c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>
        <v>6732.2</v>
      </c>
      <c r="M236" s="61"/>
      <c r="N236" s="62">
        <f>SUM(K236:M236)</f>
        <v>6732.2</v>
      </c>
    </row>
    <row r="237" spans="1:14" ht="12.75">
      <c r="A237" s="17" t="s">
        <v>259</v>
      </c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>
        <v>2448.1</v>
      </c>
      <c r="M237" s="61"/>
      <c r="N237" s="62">
        <f>SUM(K237:M237)</f>
        <v>2448.1</v>
      </c>
    </row>
    <row r="238" spans="1:14" ht="12.75">
      <c r="A238" s="4" t="s">
        <v>261</v>
      </c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>
        <v>3060.1</v>
      </c>
      <c r="M238" s="61"/>
      <c r="N238" s="62">
        <f>SUM(K238:M238)</f>
        <v>3060.1</v>
      </c>
    </row>
    <row r="239" spans="1:14" ht="12.75">
      <c r="A239" s="4" t="s">
        <v>38</v>
      </c>
      <c r="B239" s="61">
        <v>3000</v>
      </c>
      <c r="C239" s="61">
        <v>2000</v>
      </c>
      <c r="D239" s="61"/>
      <c r="E239" s="61">
        <f>B239+C239+D239</f>
        <v>5000</v>
      </c>
      <c r="F239" s="61"/>
      <c r="G239" s="61"/>
      <c r="H239" s="61">
        <f t="shared" si="64"/>
        <v>5000</v>
      </c>
      <c r="I239" s="61">
        <v>500</v>
      </c>
      <c r="J239" s="61"/>
      <c r="K239" s="61">
        <f t="shared" si="66"/>
        <v>5500</v>
      </c>
      <c r="L239" s="61">
        <v>-500</v>
      </c>
      <c r="M239" s="61"/>
      <c r="N239" s="61">
        <f t="shared" si="65"/>
        <v>5000</v>
      </c>
    </row>
    <row r="240" spans="1:14" ht="12.75">
      <c r="A240" s="4" t="s">
        <v>66</v>
      </c>
      <c r="B240" s="61">
        <v>20000</v>
      </c>
      <c r="C240" s="61"/>
      <c r="D240" s="61">
        <v>-20000</v>
      </c>
      <c r="E240" s="61">
        <f>B240+C240+D240</f>
        <v>0</v>
      </c>
      <c r="F240" s="61"/>
      <c r="G240" s="61"/>
      <c r="H240" s="61">
        <f t="shared" si="64"/>
        <v>0</v>
      </c>
      <c r="I240" s="61"/>
      <c r="J240" s="61"/>
      <c r="K240" s="61">
        <f t="shared" si="66"/>
        <v>0</v>
      </c>
      <c r="L240" s="61"/>
      <c r="M240" s="61"/>
      <c r="N240" s="61">
        <f t="shared" si="65"/>
        <v>0</v>
      </c>
    </row>
    <row r="241" spans="1:14" ht="12.75">
      <c r="A241" s="4" t="s">
        <v>212</v>
      </c>
      <c r="B241" s="61">
        <v>60000</v>
      </c>
      <c r="C241" s="61">
        <f>-500+17220.6-2000</f>
        <v>14720.599999999999</v>
      </c>
      <c r="D241" s="61">
        <v>30000</v>
      </c>
      <c r="E241" s="61">
        <f>B241+C241+D241</f>
        <v>104720.6</v>
      </c>
      <c r="F241" s="61">
        <f>58100-880</f>
        <v>57220</v>
      </c>
      <c r="G241" s="61">
        <f>2100-2150-4800</f>
        <v>-4850</v>
      </c>
      <c r="H241" s="61">
        <f t="shared" si="64"/>
        <v>157090.6</v>
      </c>
      <c r="I241" s="61">
        <f>-6700-2122.6-39809.4</f>
        <v>-48632</v>
      </c>
      <c r="J241" s="61">
        <f>4000-160+5183.8+18649.3-300-482.3</f>
        <v>26890.8</v>
      </c>
      <c r="K241" s="61">
        <f t="shared" si="66"/>
        <v>135349.4</v>
      </c>
      <c r="L241" s="61">
        <f>-637.5+1100-280-2213.4-583.1</f>
        <v>-2614</v>
      </c>
      <c r="M241" s="61"/>
      <c r="N241" s="61">
        <f t="shared" si="65"/>
        <v>132735.4</v>
      </c>
    </row>
    <row r="242" spans="1:14" ht="12.75">
      <c r="A242" s="4" t="s">
        <v>201</v>
      </c>
      <c r="B242" s="61">
        <v>25500</v>
      </c>
      <c r="C242" s="61">
        <f>-500-2000</f>
        <v>-2500</v>
      </c>
      <c r="D242" s="61"/>
      <c r="E242" s="61">
        <f>SUM(A242:D242)</f>
        <v>23000</v>
      </c>
      <c r="F242" s="61"/>
      <c r="G242" s="61"/>
      <c r="H242" s="61">
        <f t="shared" si="64"/>
        <v>23000</v>
      </c>
      <c r="I242" s="61">
        <v>-23000</v>
      </c>
      <c r="J242" s="61"/>
      <c r="K242" s="61">
        <f t="shared" si="66"/>
        <v>0</v>
      </c>
      <c r="L242" s="61"/>
      <c r="M242" s="61"/>
      <c r="N242" s="61">
        <f t="shared" si="65"/>
        <v>0</v>
      </c>
    </row>
    <row r="243" spans="1:14" ht="12.75">
      <c r="A243" s="21" t="s">
        <v>213</v>
      </c>
      <c r="B243" s="63"/>
      <c r="C243" s="63"/>
      <c r="D243" s="63">
        <v>30000</v>
      </c>
      <c r="E243" s="63">
        <f>SUM(A243:D243)</f>
        <v>30000</v>
      </c>
      <c r="F243" s="63">
        <v>-880</v>
      </c>
      <c r="G243" s="63">
        <v>-2150</v>
      </c>
      <c r="H243" s="63">
        <f t="shared" si="64"/>
        <v>26970</v>
      </c>
      <c r="I243" s="63"/>
      <c r="J243" s="63">
        <f>-280-202.3</f>
        <v>-482.3</v>
      </c>
      <c r="K243" s="63">
        <f t="shared" si="66"/>
        <v>26487.7</v>
      </c>
      <c r="L243" s="63">
        <f>-280-2213.4</f>
        <v>-2493.4</v>
      </c>
      <c r="M243" s="63"/>
      <c r="N243" s="63">
        <f t="shared" si="65"/>
        <v>23994.3</v>
      </c>
    </row>
    <row r="244" spans="1:14" ht="12.75">
      <c r="A244" s="2" t="s">
        <v>17</v>
      </c>
      <c r="B244" s="23">
        <f aca="true" t="shared" si="67" ref="B244:N244">B245+B272</f>
        <v>508374.2</v>
      </c>
      <c r="C244" s="23">
        <f t="shared" si="67"/>
        <v>1060790.5</v>
      </c>
      <c r="D244" s="23">
        <f t="shared" si="67"/>
        <v>13745.9</v>
      </c>
      <c r="E244" s="23">
        <f t="shared" si="67"/>
        <v>1582910.5999999999</v>
      </c>
      <c r="F244" s="23">
        <f t="shared" si="67"/>
        <v>1075009.1</v>
      </c>
      <c r="G244" s="23">
        <f t="shared" si="67"/>
        <v>6552.9</v>
      </c>
      <c r="H244" s="23">
        <f t="shared" si="67"/>
        <v>2664472.6</v>
      </c>
      <c r="I244" s="23">
        <f t="shared" si="67"/>
        <v>1095401.7999999998</v>
      </c>
      <c r="J244" s="23">
        <f t="shared" si="67"/>
        <v>5089.1</v>
      </c>
      <c r="K244" s="23">
        <f t="shared" si="67"/>
        <v>3764963.5</v>
      </c>
      <c r="L244" s="23">
        <f t="shared" si="67"/>
        <v>1077273.5000000002</v>
      </c>
      <c r="M244" s="23">
        <f t="shared" si="67"/>
        <v>0</v>
      </c>
      <c r="N244" s="23">
        <f t="shared" si="67"/>
        <v>4842237</v>
      </c>
    </row>
    <row r="245" spans="1:14" ht="12.75">
      <c r="A245" s="6" t="s">
        <v>34</v>
      </c>
      <c r="B245" s="26">
        <f>SUM(B247:B271)</f>
        <v>339280</v>
      </c>
      <c r="C245" s="26">
        <f>SUM(C247:C271)</f>
        <v>1060490.5</v>
      </c>
      <c r="D245" s="26">
        <f>SUM(D247:D271)</f>
        <v>8578.9</v>
      </c>
      <c r="E245" s="26">
        <f>B245+C245+D245</f>
        <v>1408349.4</v>
      </c>
      <c r="F245" s="26">
        <f>SUM(F247:F271)</f>
        <v>1070009.1</v>
      </c>
      <c r="G245" s="26">
        <f>SUM(G247:G271)</f>
        <v>5992.9</v>
      </c>
      <c r="H245" s="26">
        <f>E245+F245+G245</f>
        <v>2484351.4</v>
      </c>
      <c r="I245" s="26">
        <f aca="true" t="shared" si="68" ref="I245:N245">SUM(I247:I271)</f>
        <v>1090401.7999999998</v>
      </c>
      <c r="J245" s="26">
        <f t="shared" si="68"/>
        <v>3756.1000000000004</v>
      </c>
      <c r="K245" s="26">
        <f t="shared" si="68"/>
        <v>3578509.3</v>
      </c>
      <c r="L245" s="26">
        <f t="shared" si="68"/>
        <v>1074008.1000000003</v>
      </c>
      <c r="M245" s="26">
        <f t="shared" si="68"/>
        <v>0</v>
      </c>
      <c r="N245" s="26">
        <f t="shared" si="68"/>
        <v>4652517.4</v>
      </c>
    </row>
    <row r="246" spans="1:14" ht="12.75">
      <c r="A246" s="9" t="s">
        <v>1</v>
      </c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 ht="12.75">
      <c r="A247" s="5" t="s">
        <v>18</v>
      </c>
      <c r="B247" s="61">
        <v>317530</v>
      </c>
      <c r="C247" s="61">
        <f>291+200</f>
        <v>491</v>
      </c>
      <c r="D247" s="61">
        <f>8000+1160.8</f>
        <v>9160.8</v>
      </c>
      <c r="E247" s="61">
        <f>B247+C247+D247</f>
        <v>327181.8</v>
      </c>
      <c r="F247" s="61">
        <v>605</v>
      </c>
      <c r="G247" s="61">
        <v>4054</v>
      </c>
      <c r="H247" s="61">
        <f>E247+F247+G247</f>
        <v>331840.8</v>
      </c>
      <c r="I247" s="61"/>
      <c r="J247" s="61">
        <v>13337.5</v>
      </c>
      <c r="K247" s="61">
        <f>H247+I247+J247</f>
        <v>345178.3</v>
      </c>
      <c r="L247" s="61">
        <f>1760.2-234.1</f>
        <v>1526.1000000000001</v>
      </c>
      <c r="M247" s="61"/>
      <c r="N247" s="61">
        <f>K247+L247+M247</f>
        <v>346704.39999999997</v>
      </c>
    </row>
    <row r="248" spans="1:14" ht="12.75">
      <c r="A248" s="5" t="s">
        <v>32</v>
      </c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1:14" ht="12.75">
      <c r="A249" s="5" t="s">
        <v>29</v>
      </c>
      <c r="B249" s="61"/>
      <c r="C249" s="61">
        <v>392418</v>
      </c>
      <c r="D249" s="61"/>
      <c r="E249" s="61">
        <f>B249+C249+D249</f>
        <v>392418</v>
      </c>
      <c r="F249" s="61">
        <v>401611</v>
      </c>
      <c r="G249" s="61"/>
      <c r="H249" s="61">
        <f aca="true" t="shared" si="69" ref="H249:H262">E249+F249+G249</f>
        <v>794029</v>
      </c>
      <c r="I249" s="61">
        <v>396515.9</v>
      </c>
      <c r="J249" s="61"/>
      <c r="K249" s="61">
        <f aca="true" t="shared" si="70" ref="K249:K271">H249+I249+J249</f>
        <v>1190544.9</v>
      </c>
      <c r="L249" s="61">
        <v>399562.1</v>
      </c>
      <c r="M249" s="61"/>
      <c r="N249" s="61">
        <f aca="true" t="shared" si="71" ref="N249:N271">K249+L249+M249</f>
        <v>1590107</v>
      </c>
    </row>
    <row r="250" spans="1:14" ht="12.75">
      <c r="A250" s="5" t="s">
        <v>30</v>
      </c>
      <c r="B250" s="61"/>
      <c r="C250" s="61">
        <v>44760</v>
      </c>
      <c r="D250" s="61"/>
      <c r="E250" s="61">
        <f>B250+C250</f>
        <v>44760</v>
      </c>
      <c r="F250" s="61">
        <v>48170</v>
      </c>
      <c r="G250" s="61"/>
      <c r="H250" s="61">
        <f t="shared" si="69"/>
        <v>92930</v>
      </c>
      <c r="I250" s="61">
        <v>46460</v>
      </c>
      <c r="J250" s="61"/>
      <c r="K250" s="61">
        <f t="shared" si="70"/>
        <v>139390</v>
      </c>
      <c r="L250" s="61">
        <v>47580</v>
      </c>
      <c r="M250" s="61"/>
      <c r="N250" s="61">
        <f t="shared" si="71"/>
        <v>186970</v>
      </c>
    </row>
    <row r="251" spans="1:14" ht="12.75">
      <c r="A251" s="5" t="s">
        <v>31</v>
      </c>
      <c r="B251" s="61"/>
      <c r="C251" s="61">
        <v>620687</v>
      </c>
      <c r="D251" s="61"/>
      <c r="E251" s="61">
        <f>B251+C251+D251</f>
        <v>620687</v>
      </c>
      <c r="F251" s="61">
        <v>611494</v>
      </c>
      <c r="G251" s="61"/>
      <c r="H251" s="61">
        <f t="shared" si="69"/>
        <v>1232181</v>
      </c>
      <c r="I251" s="61">
        <v>616588.1</v>
      </c>
      <c r="J251" s="61"/>
      <c r="K251" s="61">
        <f t="shared" si="70"/>
        <v>1848769.1</v>
      </c>
      <c r="L251" s="61">
        <v>613543.9</v>
      </c>
      <c r="M251" s="61"/>
      <c r="N251" s="61">
        <f t="shared" si="71"/>
        <v>2462313</v>
      </c>
    </row>
    <row r="252" spans="1:14" ht="12.75">
      <c r="A252" s="5" t="s">
        <v>95</v>
      </c>
      <c r="B252" s="61"/>
      <c r="C252" s="61"/>
      <c r="D252" s="61"/>
      <c r="E252" s="61">
        <f aca="true" t="shared" si="72" ref="E252:E265">B252+C252</f>
        <v>0</v>
      </c>
      <c r="F252" s="61">
        <v>12</v>
      </c>
      <c r="G252" s="61"/>
      <c r="H252" s="61">
        <f t="shared" si="69"/>
        <v>12</v>
      </c>
      <c r="I252" s="61"/>
      <c r="J252" s="61"/>
      <c r="K252" s="61">
        <f t="shared" si="70"/>
        <v>12</v>
      </c>
      <c r="L252" s="61"/>
      <c r="M252" s="61"/>
      <c r="N252" s="61">
        <f t="shared" si="71"/>
        <v>12</v>
      </c>
    </row>
    <row r="253" spans="1:14" ht="12.75">
      <c r="A253" s="5" t="s">
        <v>42</v>
      </c>
      <c r="B253" s="61"/>
      <c r="C253" s="61">
        <v>16</v>
      </c>
      <c r="D253" s="61"/>
      <c r="E253" s="61">
        <f t="shared" si="72"/>
        <v>16</v>
      </c>
      <c r="F253" s="61"/>
      <c r="G253" s="61"/>
      <c r="H253" s="61">
        <f t="shared" si="69"/>
        <v>16</v>
      </c>
      <c r="I253" s="61"/>
      <c r="J253" s="61"/>
      <c r="K253" s="61">
        <f t="shared" si="70"/>
        <v>16</v>
      </c>
      <c r="L253" s="61"/>
      <c r="M253" s="61"/>
      <c r="N253" s="61">
        <f t="shared" si="71"/>
        <v>16</v>
      </c>
    </row>
    <row r="254" spans="1:14" ht="12.75">
      <c r="A254" s="5" t="s">
        <v>207</v>
      </c>
      <c r="B254" s="61"/>
      <c r="C254" s="61">
        <f>106.1+1001.3+639+138.1</f>
        <v>1884.4999999999998</v>
      </c>
      <c r="D254" s="61"/>
      <c r="E254" s="61">
        <f t="shared" si="72"/>
        <v>1884.4999999999998</v>
      </c>
      <c r="F254" s="61">
        <f>457.9+586.6</f>
        <v>1044.5</v>
      </c>
      <c r="G254" s="61"/>
      <c r="H254" s="61">
        <f t="shared" si="69"/>
        <v>2929</v>
      </c>
      <c r="I254" s="61">
        <v>1416.4</v>
      </c>
      <c r="J254" s="61"/>
      <c r="K254" s="61">
        <f t="shared" si="70"/>
        <v>4345.4</v>
      </c>
      <c r="L254" s="61">
        <f>1771.2+1664.2+490.7+386.4+641.8</f>
        <v>4954.3</v>
      </c>
      <c r="M254" s="61"/>
      <c r="N254" s="61">
        <f t="shared" si="71"/>
        <v>9299.7</v>
      </c>
    </row>
    <row r="255" spans="1:14" ht="12.75">
      <c r="A255" s="5" t="s">
        <v>81</v>
      </c>
      <c r="B255" s="61"/>
      <c r="C255" s="61">
        <v>825</v>
      </c>
      <c r="D255" s="61"/>
      <c r="E255" s="61">
        <f t="shared" si="72"/>
        <v>825</v>
      </c>
      <c r="F255" s="61"/>
      <c r="G255" s="61"/>
      <c r="H255" s="61">
        <f t="shared" si="69"/>
        <v>825</v>
      </c>
      <c r="I255" s="61"/>
      <c r="J255" s="61"/>
      <c r="K255" s="61">
        <f t="shared" si="70"/>
        <v>825</v>
      </c>
      <c r="L255" s="61"/>
      <c r="M255" s="61"/>
      <c r="N255" s="61">
        <f t="shared" si="71"/>
        <v>825</v>
      </c>
    </row>
    <row r="256" spans="1:14" ht="12.75">
      <c r="A256" s="5" t="s">
        <v>237</v>
      </c>
      <c r="B256" s="61"/>
      <c r="C256" s="61"/>
      <c r="D256" s="61"/>
      <c r="E256" s="61">
        <f t="shared" si="72"/>
        <v>0</v>
      </c>
      <c r="F256" s="61"/>
      <c r="G256" s="61"/>
      <c r="H256" s="61">
        <f t="shared" si="69"/>
        <v>0</v>
      </c>
      <c r="I256" s="61">
        <v>424</v>
      </c>
      <c r="J256" s="61"/>
      <c r="K256" s="61">
        <f t="shared" si="70"/>
        <v>424</v>
      </c>
      <c r="L256" s="61">
        <v>-2.1</v>
      </c>
      <c r="M256" s="61"/>
      <c r="N256" s="61">
        <f t="shared" si="71"/>
        <v>421.9</v>
      </c>
    </row>
    <row r="257" spans="1:14" ht="12.75">
      <c r="A257" s="5" t="s">
        <v>238</v>
      </c>
      <c r="B257" s="61"/>
      <c r="C257" s="61"/>
      <c r="D257" s="61"/>
      <c r="E257" s="61"/>
      <c r="F257" s="61"/>
      <c r="G257" s="61"/>
      <c r="H257" s="61">
        <v>0</v>
      </c>
      <c r="I257" s="61">
        <v>1150</v>
      </c>
      <c r="J257" s="61"/>
      <c r="K257" s="61">
        <f t="shared" si="70"/>
        <v>1150</v>
      </c>
      <c r="L257" s="61"/>
      <c r="M257" s="61"/>
      <c r="N257" s="61">
        <f t="shared" si="71"/>
        <v>1150</v>
      </c>
    </row>
    <row r="258" spans="1:14" ht="12.75">
      <c r="A258" s="5" t="s">
        <v>103</v>
      </c>
      <c r="B258" s="61"/>
      <c r="C258" s="61"/>
      <c r="D258" s="61"/>
      <c r="E258" s="61">
        <f t="shared" si="72"/>
        <v>0</v>
      </c>
      <c r="F258" s="61">
        <v>128.6</v>
      </c>
      <c r="G258" s="61"/>
      <c r="H258" s="61">
        <f t="shared" si="69"/>
        <v>128.6</v>
      </c>
      <c r="I258" s="61"/>
      <c r="J258" s="61"/>
      <c r="K258" s="61">
        <f t="shared" si="70"/>
        <v>128.6</v>
      </c>
      <c r="L258" s="61"/>
      <c r="M258" s="61"/>
      <c r="N258" s="61">
        <f t="shared" si="71"/>
        <v>128.6</v>
      </c>
    </row>
    <row r="259" spans="1:14" ht="12.75">
      <c r="A259" s="5" t="s">
        <v>273</v>
      </c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>
        <v>100</v>
      </c>
      <c r="M259" s="61"/>
      <c r="N259" s="61">
        <f t="shared" si="71"/>
        <v>100</v>
      </c>
    </row>
    <row r="260" spans="1:14" ht="12.75">
      <c r="A260" s="5" t="s">
        <v>221</v>
      </c>
      <c r="B260" s="61"/>
      <c r="C260" s="61"/>
      <c r="D260" s="61"/>
      <c r="E260" s="61">
        <f t="shared" si="72"/>
        <v>0</v>
      </c>
      <c r="F260" s="61">
        <f>2662+2239.3</f>
        <v>4901.3</v>
      </c>
      <c r="G260" s="61"/>
      <c r="H260" s="61">
        <f t="shared" si="69"/>
        <v>4901.3</v>
      </c>
      <c r="I260" s="61"/>
      <c r="J260" s="61"/>
      <c r="K260" s="61">
        <f t="shared" si="70"/>
        <v>4901.3</v>
      </c>
      <c r="L260" s="61">
        <f>1157.9+1212.5</f>
        <v>2370.4</v>
      </c>
      <c r="M260" s="61"/>
      <c r="N260" s="61">
        <f t="shared" si="71"/>
        <v>7271.700000000001</v>
      </c>
    </row>
    <row r="261" spans="1:14" ht="12.75">
      <c r="A261" s="5" t="s">
        <v>254</v>
      </c>
      <c r="B261" s="61"/>
      <c r="C261" s="61"/>
      <c r="D261" s="61"/>
      <c r="E261" s="61"/>
      <c r="F261" s="61"/>
      <c r="G261" s="61"/>
      <c r="H261" s="61"/>
      <c r="I261" s="61"/>
      <c r="J261" s="61"/>
      <c r="K261" s="61">
        <f t="shared" si="70"/>
        <v>0</v>
      </c>
      <c r="L261" s="61">
        <f>35.9+1141.6+47.5+52.6+35</f>
        <v>1312.6</v>
      </c>
      <c r="M261" s="61"/>
      <c r="N261" s="61">
        <f t="shared" si="71"/>
        <v>1312.6</v>
      </c>
    </row>
    <row r="262" spans="1:14" ht="12.75">
      <c r="A262" s="5" t="s">
        <v>225</v>
      </c>
      <c r="B262" s="61"/>
      <c r="C262" s="61"/>
      <c r="D262" s="61"/>
      <c r="E262" s="61">
        <f t="shared" si="72"/>
        <v>0</v>
      </c>
      <c r="F262" s="61">
        <v>1766.7</v>
      </c>
      <c r="G262" s="61"/>
      <c r="H262" s="61">
        <f t="shared" si="69"/>
        <v>1766.7</v>
      </c>
      <c r="I262" s="61"/>
      <c r="J262" s="61"/>
      <c r="K262" s="61">
        <f t="shared" si="70"/>
        <v>1766.7</v>
      </c>
      <c r="L262" s="61"/>
      <c r="M262" s="61"/>
      <c r="N262" s="61">
        <f t="shared" si="71"/>
        <v>1766.7</v>
      </c>
    </row>
    <row r="263" spans="1:15" ht="12.75">
      <c r="A263" s="5" t="s">
        <v>82</v>
      </c>
      <c r="B263" s="61"/>
      <c r="C263" s="61"/>
      <c r="D263" s="61"/>
      <c r="E263" s="61">
        <f t="shared" si="72"/>
        <v>0</v>
      </c>
      <c r="F263" s="61"/>
      <c r="G263" s="61"/>
      <c r="H263" s="61">
        <v>0</v>
      </c>
      <c r="I263" s="61">
        <v>406.4</v>
      </c>
      <c r="J263" s="61"/>
      <c r="K263" s="61">
        <f t="shared" si="70"/>
        <v>406.4</v>
      </c>
      <c r="L263" s="61">
        <f>-137.1+345.9</f>
        <v>208.79999999999998</v>
      </c>
      <c r="M263" s="61"/>
      <c r="N263" s="61">
        <f t="shared" si="71"/>
        <v>615.1999999999999</v>
      </c>
      <c r="O263" s="75"/>
    </row>
    <row r="264" spans="1:14" ht="12.75">
      <c r="A264" s="5" t="s">
        <v>236</v>
      </c>
      <c r="B264" s="61"/>
      <c r="C264" s="61"/>
      <c r="D264" s="61"/>
      <c r="E264" s="61"/>
      <c r="F264" s="61"/>
      <c r="G264" s="61"/>
      <c r="H264" s="61"/>
      <c r="I264" s="61">
        <v>27441</v>
      </c>
      <c r="J264" s="61"/>
      <c r="K264" s="61">
        <f t="shared" si="70"/>
        <v>27441</v>
      </c>
      <c r="L264" s="61">
        <v>-40</v>
      </c>
      <c r="M264" s="61"/>
      <c r="N264" s="61">
        <f t="shared" si="71"/>
        <v>27401</v>
      </c>
    </row>
    <row r="265" spans="1:14" ht="12.75">
      <c r="A265" s="5" t="s">
        <v>188</v>
      </c>
      <c r="B265" s="61"/>
      <c r="C265" s="61"/>
      <c r="D265" s="61"/>
      <c r="E265" s="61">
        <f t="shared" si="72"/>
        <v>0</v>
      </c>
      <c r="F265" s="61"/>
      <c r="G265" s="61"/>
      <c r="H265" s="61">
        <v>0</v>
      </c>
      <c r="I265" s="61"/>
      <c r="J265" s="61"/>
      <c r="K265" s="61">
        <f t="shared" si="70"/>
        <v>0</v>
      </c>
      <c r="L265" s="61">
        <v>376</v>
      </c>
      <c r="M265" s="61"/>
      <c r="N265" s="61">
        <f t="shared" si="71"/>
        <v>376</v>
      </c>
    </row>
    <row r="266" spans="1:14" ht="12.75">
      <c r="A266" s="5" t="s">
        <v>227</v>
      </c>
      <c r="B266" s="61"/>
      <c r="C266" s="61"/>
      <c r="D266" s="61"/>
      <c r="E266" s="61"/>
      <c r="F266" s="61">
        <v>381</v>
      </c>
      <c r="G266" s="61"/>
      <c r="H266" s="61">
        <f>E266+F266+G266</f>
        <v>381</v>
      </c>
      <c r="I266" s="61"/>
      <c r="J266" s="61"/>
      <c r="K266" s="61">
        <f t="shared" si="70"/>
        <v>381</v>
      </c>
      <c r="L266" s="61">
        <v>-0.4</v>
      </c>
      <c r="M266" s="61"/>
      <c r="N266" s="61">
        <f t="shared" si="71"/>
        <v>380.6</v>
      </c>
    </row>
    <row r="267" spans="1:14" ht="12.75" hidden="1">
      <c r="A267" s="5" t="s">
        <v>209</v>
      </c>
      <c r="B267" s="61"/>
      <c r="C267" s="61">
        <v>154</v>
      </c>
      <c r="D267" s="61"/>
      <c r="E267" s="61">
        <f>B267+C267</f>
        <v>154</v>
      </c>
      <c r="F267" s="61">
        <v>-154</v>
      </c>
      <c r="G267" s="61"/>
      <c r="H267" s="61">
        <f>E267+F267+G267</f>
        <v>0</v>
      </c>
      <c r="I267" s="61"/>
      <c r="J267" s="61"/>
      <c r="K267" s="61">
        <f t="shared" si="70"/>
        <v>0</v>
      </c>
      <c r="L267" s="61"/>
      <c r="M267" s="61"/>
      <c r="N267" s="61">
        <f t="shared" si="71"/>
        <v>0</v>
      </c>
    </row>
    <row r="268" spans="1:14" ht="12.75">
      <c r="A268" s="5" t="s">
        <v>272</v>
      </c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>
        <v>360</v>
      </c>
      <c r="M268" s="61"/>
      <c r="N268" s="61">
        <f t="shared" si="71"/>
        <v>360</v>
      </c>
    </row>
    <row r="269" spans="1:14" ht="12.75">
      <c r="A269" s="5" t="s">
        <v>41</v>
      </c>
      <c r="B269" s="61"/>
      <c r="C269" s="61"/>
      <c r="D269" s="61"/>
      <c r="E269" s="61">
        <f>B269+C269</f>
        <v>0</v>
      </c>
      <c r="F269" s="61"/>
      <c r="G269" s="61">
        <v>4510</v>
      </c>
      <c r="H269" s="61">
        <f>E269+F269+G269</f>
        <v>4510</v>
      </c>
      <c r="I269" s="61"/>
      <c r="J269" s="61"/>
      <c r="K269" s="61">
        <f t="shared" si="70"/>
        <v>4510</v>
      </c>
      <c r="L269" s="61"/>
      <c r="M269" s="61"/>
      <c r="N269" s="61">
        <f t="shared" si="71"/>
        <v>4510</v>
      </c>
    </row>
    <row r="270" spans="1:14" ht="12.75">
      <c r="A270" s="5" t="s">
        <v>212</v>
      </c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>
        <v>2132.3</v>
      </c>
      <c r="M270" s="61"/>
      <c r="N270" s="61">
        <f t="shared" si="71"/>
        <v>2132.3</v>
      </c>
    </row>
    <row r="271" spans="1:14" ht="12.75">
      <c r="A271" s="5" t="s">
        <v>9</v>
      </c>
      <c r="B271" s="61">
        <v>21750</v>
      </c>
      <c r="C271" s="61">
        <v>-745</v>
      </c>
      <c r="D271" s="61">
        <v>-581.9</v>
      </c>
      <c r="E271" s="61">
        <f>B271+C271+D271</f>
        <v>20423.1</v>
      </c>
      <c r="F271" s="61">
        <f>-251+300</f>
        <v>49</v>
      </c>
      <c r="G271" s="61">
        <v>-2571.1</v>
      </c>
      <c r="H271" s="61">
        <f>E271+F271+G271</f>
        <v>17901</v>
      </c>
      <c r="I271" s="61"/>
      <c r="J271" s="61">
        <v>-9581.4</v>
      </c>
      <c r="K271" s="61">
        <f t="shared" si="70"/>
        <v>8319.6</v>
      </c>
      <c r="L271" s="61">
        <f>-210+234.1</f>
        <v>24.099999999999994</v>
      </c>
      <c r="M271" s="61"/>
      <c r="N271" s="61">
        <f t="shared" si="71"/>
        <v>8343.7</v>
      </c>
    </row>
    <row r="272" spans="1:14" ht="12.75">
      <c r="A272" s="12" t="s">
        <v>35</v>
      </c>
      <c r="B272" s="27">
        <f>SUM(B278:B280)</f>
        <v>169094.2</v>
      </c>
      <c r="C272" s="27">
        <f>SUM(C274:C280)</f>
        <v>300</v>
      </c>
      <c r="D272" s="27">
        <f>SUM(D274:D280)</f>
        <v>5167</v>
      </c>
      <c r="E272" s="26">
        <f>B272+C272+D272</f>
        <v>174561.2</v>
      </c>
      <c r="F272" s="27">
        <f>SUM(F274:F280)</f>
        <v>5000</v>
      </c>
      <c r="G272" s="27">
        <f>SUM(G274:G280)</f>
        <v>560</v>
      </c>
      <c r="H272" s="26">
        <f>E272+F272+G272</f>
        <v>180121.2</v>
      </c>
      <c r="I272" s="27">
        <f aca="true" t="shared" si="73" ref="I272:N272">SUM(I274:I280)</f>
        <v>5000</v>
      </c>
      <c r="J272" s="27">
        <f t="shared" si="73"/>
        <v>1333</v>
      </c>
      <c r="K272" s="27">
        <f t="shared" si="73"/>
        <v>186454.2</v>
      </c>
      <c r="L272" s="27">
        <f t="shared" si="73"/>
        <v>3265.4</v>
      </c>
      <c r="M272" s="27">
        <f t="shared" si="73"/>
        <v>0</v>
      </c>
      <c r="N272" s="27">
        <f t="shared" si="73"/>
        <v>189719.6</v>
      </c>
    </row>
    <row r="273" spans="1:14" ht="12.75">
      <c r="A273" s="3" t="s">
        <v>1</v>
      </c>
      <c r="B273" s="61"/>
      <c r="C273" s="61"/>
      <c r="D273" s="61"/>
      <c r="E273" s="61"/>
      <c r="F273" s="61"/>
      <c r="G273" s="61"/>
      <c r="H273" s="23"/>
      <c r="I273" s="61"/>
      <c r="J273" s="61"/>
      <c r="K273" s="23"/>
      <c r="L273" s="61"/>
      <c r="M273" s="61"/>
      <c r="N273" s="23"/>
    </row>
    <row r="274" spans="1:14" ht="12.75">
      <c r="A274" s="5" t="s">
        <v>128</v>
      </c>
      <c r="B274" s="61"/>
      <c r="C274" s="61">
        <v>300</v>
      </c>
      <c r="D274" s="61">
        <v>167</v>
      </c>
      <c r="E274" s="61">
        <f>B274+C274+D274</f>
        <v>467</v>
      </c>
      <c r="F274" s="61"/>
      <c r="G274" s="61">
        <v>560</v>
      </c>
      <c r="H274" s="61">
        <f aca="true" t="shared" si="74" ref="H274:H280">E274+F274+G274</f>
        <v>1027</v>
      </c>
      <c r="I274" s="61"/>
      <c r="J274" s="61">
        <v>1053</v>
      </c>
      <c r="K274" s="61">
        <f aca="true" t="shared" si="75" ref="K274:K280">H274+I274+J274</f>
        <v>2080</v>
      </c>
      <c r="L274" s="61"/>
      <c r="M274" s="61"/>
      <c r="N274" s="61">
        <f aca="true" t="shared" si="76" ref="N274:N280">K274+L274+M274</f>
        <v>2080</v>
      </c>
    </row>
    <row r="275" spans="1:14" ht="12.75">
      <c r="A275" s="5" t="s">
        <v>183</v>
      </c>
      <c r="B275" s="61"/>
      <c r="C275" s="61"/>
      <c r="D275" s="61"/>
      <c r="E275" s="61"/>
      <c r="F275" s="61">
        <v>5000</v>
      </c>
      <c r="G275" s="61"/>
      <c r="H275" s="61">
        <f t="shared" si="74"/>
        <v>5000</v>
      </c>
      <c r="I275" s="61"/>
      <c r="J275" s="61"/>
      <c r="K275" s="61">
        <f t="shared" si="75"/>
        <v>5000</v>
      </c>
      <c r="L275" s="61"/>
      <c r="M275" s="61"/>
      <c r="N275" s="61">
        <f t="shared" si="76"/>
        <v>5000</v>
      </c>
    </row>
    <row r="276" spans="1:14" ht="12.75">
      <c r="A276" s="5" t="s">
        <v>38</v>
      </c>
      <c r="B276" s="61"/>
      <c r="C276" s="61"/>
      <c r="D276" s="61">
        <v>5000</v>
      </c>
      <c r="E276" s="61">
        <f>B276+C276+D276</f>
        <v>5000</v>
      </c>
      <c r="F276" s="61"/>
      <c r="G276" s="61"/>
      <c r="H276" s="61">
        <f t="shared" si="74"/>
        <v>5000</v>
      </c>
      <c r="I276" s="61"/>
      <c r="J276" s="62"/>
      <c r="K276" s="61">
        <f t="shared" si="75"/>
        <v>5000</v>
      </c>
      <c r="L276" s="61"/>
      <c r="M276" s="61"/>
      <c r="N276" s="61">
        <f t="shared" si="76"/>
        <v>5000</v>
      </c>
    </row>
    <row r="277" spans="1:14" ht="12.75">
      <c r="A277" s="5" t="s">
        <v>250</v>
      </c>
      <c r="B277" s="61"/>
      <c r="C277" s="61"/>
      <c r="D277" s="61"/>
      <c r="E277" s="61"/>
      <c r="F277" s="61"/>
      <c r="G277" s="61"/>
      <c r="H277" s="61">
        <f t="shared" si="74"/>
        <v>0</v>
      </c>
      <c r="I277" s="61"/>
      <c r="J277" s="62">
        <v>280</v>
      </c>
      <c r="K277" s="61">
        <f t="shared" si="75"/>
        <v>280</v>
      </c>
      <c r="L277" s="61">
        <v>2213.4</v>
      </c>
      <c r="M277" s="61"/>
      <c r="N277" s="61">
        <f t="shared" si="76"/>
        <v>2493.4</v>
      </c>
    </row>
    <row r="278" spans="1:14" ht="12.75">
      <c r="A278" s="4" t="s">
        <v>245</v>
      </c>
      <c r="B278" s="61"/>
      <c r="C278" s="61"/>
      <c r="D278" s="61"/>
      <c r="E278" s="61">
        <f>B278+C278+D278</f>
        <v>0</v>
      </c>
      <c r="F278" s="61"/>
      <c r="G278" s="61"/>
      <c r="H278" s="61">
        <f t="shared" si="74"/>
        <v>0</v>
      </c>
      <c r="I278" s="61">
        <v>15000</v>
      </c>
      <c r="J278" s="61"/>
      <c r="K278" s="61">
        <f t="shared" si="75"/>
        <v>15000</v>
      </c>
      <c r="L278" s="61"/>
      <c r="M278" s="61"/>
      <c r="N278" s="61">
        <f t="shared" si="76"/>
        <v>15000</v>
      </c>
    </row>
    <row r="279" spans="1:14" ht="12.75">
      <c r="A279" s="5" t="s">
        <v>188</v>
      </c>
      <c r="B279" s="61"/>
      <c r="C279" s="61"/>
      <c r="D279" s="61"/>
      <c r="E279" s="61">
        <f>B279+C279</f>
        <v>0</v>
      </c>
      <c r="F279" s="61"/>
      <c r="G279" s="61"/>
      <c r="H279" s="61">
        <v>0</v>
      </c>
      <c r="I279" s="61"/>
      <c r="J279" s="61"/>
      <c r="K279" s="61">
        <f t="shared" si="75"/>
        <v>0</v>
      </c>
      <c r="L279" s="61">
        <v>1052</v>
      </c>
      <c r="M279" s="61"/>
      <c r="N279" s="61">
        <f t="shared" si="76"/>
        <v>1052</v>
      </c>
    </row>
    <row r="280" spans="1:14" ht="12.75">
      <c r="A280" s="22" t="s">
        <v>118</v>
      </c>
      <c r="B280" s="63">
        <v>169094.2</v>
      </c>
      <c r="C280" s="63"/>
      <c r="D280" s="63"/>
      <c r="E280" s="63">
        <f>B280+C280+D280</f>
        <v>169094.2</v>
      </c>
      <c r="F280" s="63"/>
      <c r="G280" s="63"/>
      <c r="H280" s="63">
        <f t="shared" si="74"/>
        <v>169094.2</v>
      </c>
      <c r="I280" s="63">
        <v>-10000</v>
      </c>
      <c r="J280" s="63"/>
      <c r="K280" s="63">
        <f t="shared" si="75"/>
        <v>159094.2</v>
      </c>
      <c r="L280" s="63"/>
      <c r="M280" s="63"/>
      <c r="N280" s="63">
        <f t="shared" si="76"/>
        <v>159094.2</v>
      </c>
    </row>
    <row r="281" spans="1:14" ht="12.75">
      <c r="A281" s="2" t="s">
        <v>19</v>
      </c>
      <c r="B281" s="23">
        <f aca="true" t="shared" si="77" ref="B281:N281">B282+B291</f>
        <v>320382</v>
      </c>
      <c r="C281" s="23">
        <f t="shared" si="77"/>
        <v>3672.6</v>
      </c>
      <c r="D281" s="23">
        <f t="shared" si="77"/>
        <v>39446.4</v>
      </c>
      <c r="E281" s="23">
        <f t="shared" si="77"/>
        <v>363501</v>
      </c>
      <c r="F281" s="23">
        <f t="shared" si="77"/>
        <v>-15718.5</v>
      </c>
      <c r="G281" s="23">
        <f t="shared" si="77"/>
        <v>0</v>
      </c>
      <c r="H281" s="23">
        <f t="shared" si="77"/>
        <v>347782.5</v>
      </c>
      <c r="I281" s="23">
        <f t="shared" si="77"/>
        <v>640.3</v>
      </c>
      <c r="J281" s="23">
        <f t="shared" si="77"/>
        <v>-7366</v>
      </c>
      <c r="K281" s="23">
        <f t="shared" si="77"/>
        <v>341056.8</v>
      </c>
      <c r="L281" s="23">
        <f t="shared" si="77"/>
        <v>8600</v>
      </c>
      <c r="M281" s="23">
        <f t="shared" si="77"/>
        <v>0</v>
      </c>
      <c r="N281" s="23">
        <f t="shared" si="77"/>
        <v>349656.8</v>
      </c>
    </row>
    <row r="282" spans="1:14" ht="12.75">
      <c r="A282" s="6" t="s">
        <v>34</v>
      </c>
      <c r="B282" s="26">
        <f>SUM(B284:B290)</f>
        <v>310382</v>
      </c>
      <c r="C282" s="26">
        <f>SUM(C284:C290)</f>
        <v>3672.6</v>
      </c>
      <c r="D282" s="26">
        <f>SUM(D284:D290)</f>
        <v>30074</v>
      </c>
      <c r="E282" s="26">
        <f>B282+C282+D282</f>
        <v>344128.6</v>
      </c>
      <c r="F282" s="26">
        <f>SUM(F284:F290)</f>
        <v>-19218.5</v>
      </c>
      <c r="G282" s="26">
        <f>SUM(G284:G290)</f>
        <v>0</v>
      </c>
      <c r="H282" s="26">
        <f>E282+F282+G282</f>
        <v>324910.1</v>
      </c>
      <c r="I282" s="26">
        <f aca="true" t="shared" si="78" ref="I282:N282">SUM(I284:I290)</f>
        <v>640.3</v>
      </c>
      <c r="J282" s="26">
        <f t="shared" si="78"/>
        <v>-8216</v>
      </c>
      <c r="K282" s="26">
        <f t="shared" si="78"/>
        <v>317334.39999999997</v>
      </c>
      <c r="L282" s="26">
        <f t="shared" si="78"/>
        <v>3100</v>
      </c>
      <c r="M282" s="26">
        <f t="shared" si="78"/>
        <v>0</v>
      </c>
      <c r="N282" s="26">
        <f t="shared" si="78"/>
        <v>320434.39999999997</v>
      </c>
    </row>
    <row r="283" spans="1:14" ht="12.75">
      <c r="A283" s="3" t="s">
        <v>1</v>
      </c>
      <c r="B283" s="61"/>
      <c r="C283" s="61"/>
      <c r="D283" s="61"/>
      <c r="E283" s="23"/>
      <c r="F283" s="61"/>
      <c r="G283" s="61"/>
      <c r="H283" s="23"/>
      <c r="I283" s="61"/>
      <c r="J283" s="61"/>
      <c r="K283" s="23"/>
      <c r="L283" s="61"/>
      <c r="M283" s="61"/>
      <c r="N283" s="23"/>
    </row>
    <row r="284" spans="1:14" ht="12.75">
      <c r="A284" s="60" t="s">
        <v>18</v>
      </c>
      <c r="B284" s="61">
        <v>182762</v>
      </c>
      <c r="C284" s="61"/>
      <c r="D284" s="61">
        <v>670</v>
      </c>
      <c r="E284" s="61">
        <f aca="true" t="shared" si="79" ref="E284:E291">B284+C284+D284</f>
        <v>183432</v>
      </c>
      <c r="F284" s="61">
        <v>2180</v>
      </c>
      <c r="G284" s="61"/>
      <c r="H284" s="61">
        <f aca="true" t="shared" si="80" ref="H284:H291">E284+F284+G284</f>
        <v>185612</v>
      </c>
      <c r="I284" s="61"/>
      <c r="J284" s="61">
        <v>2342</v>
      </c>
      <c r="K284" s="61">
        <f aca="true" t="shared" si="81" ref="K284:K290">H284+I284+J284</f>
        <v>187954</v>
      </c>
      <c r="L284" s="61">
        <f>-150+1156</f>
        <v>1006</v>
      </c>
      <c r="M284" s="61"/>
      <c r="N284" s="61">
        <f aca="true" t="shared" si="82" ref="N284:N290">K284+L284+M284</f>
        <v>188960</v>
      </c>
    </row>
    <row r="285" spans="1:14" ht="12.75">
      <c r="A285" s="5" t="s">
        <v>123</v>
      </c>
      <c r="B285" s="61">
        <v>87240</v>
      </c>
      <c r="C285" s="61"/>
      <c r="D285" s="61">
        <v>25000</v>
      </c>
      <c r="E285" s="61">
        <f t="shared" si="79"/>
        <v>112240</v>
      </c>
      <c r="F285" s="61">
        <v>751.5</v>
      </c>
      <c r="G285" s="61"/>
      <c r="H285" s="61">
        <f t="shared" si="80"/>
        <v>112991.5</v>
      </c>
      <c r="I285" s="61"/>
      <c r="J285" s="61"/>
      <c r="K285" s="61">
        <f t="shared" si="81"/>
        <v>112991.5</v>
      </c>
      <c r="L285" s="61">
        <v>1338.7</v>
      </c>
      <c r="M285" s="61"/>
      <c r="N285" s="61">
        <f t="shared" si="82"/>
        <v>114330.2</v>
      </c>
    </row>
    <row r="286" spans="1:14" ht="12.75">
      <c r="A286" s="5" t="s">
        <v>9</v>
      </c>
      <c r="B286" s="61">
        <v>40380</v>
      </c>
      <c r="C286" s="61">
        <v>3000</v>
      </c>
      <c r="D286" s="61">
        <v>223</v>
      </c>
      <c r="E286" s="61">
        <f t="shared" si="79"/>
        <v>43603</v>
      </c>
      <c r="F286" s="61">
        <f>-18650-3500</f>
        <v>-22150</v>
      </c>
      <c r="G286" s="61"/>
      <c r="H286" s="61">
        <f t="shared" si="80"/>
        <v>21453</v>
      </c>
      <c r="I286" s="61"/>
      <c r="J286" s="61">
        <v>-10558</v>
      </c>
      <c r="K286" s="61">
        <f t="shared" si="81"/>
        <v>10895</v>
      </c>
      <c r="L286" s="61">
        <f>150-895</f>
        <v>-745</v>
      </c>
      <c r="M286" s="61"/>
      <c r="N286" s="61">
        <f t="shared" si="82"/>
        <v>10150</v>
      </c>
    </row>
    <row r="287" spans="1:14" ht="12.75">
      <c r="A287" s="5" t="s">
        <v>143</v>
      </c>
      <c r="B287" s="61"/>
      <c r="C287" s="61">
        <v>568.5</v>
      </c>
      <c r="D287" s="61"/>
      <c r="E287" s="61">
        <f t="shared" si="79"/>
        <v>568.5</v>
      </c>
      <c r="F287" s="61"/>
      <c r="G287" s="61"/>
      <c r="H287" s="61">
        <f t="shared" si="80"/>
        <v>568.5</v>
      </c>
      <c r="I287" s="61">
        <v>580.3</v>
      </c>
      <c r="J287" s="61"/>
      <c r="K287" s="61">
        <f t="shared" si="81"/>
        <v>1148.8</v>
      </c>
      <c r="L287" s="68">
        <f>359.5+178.4+636.9</f>
        <v>1174.8</v>
      </c>
      <c r="M287" s="61"/>
      <c r="N287" s="61">
        <f t="shared" si="82"/>
        <v>2323.6</v>
      </c>
    </row>
    <row r="288" spans="1:14" ht="12.75">
      <c r="A288" s="5" t="s">
        <v>242</v>
      </c>
      <c r="B288" s="61"/>
      <c r="C288" s="61"/>
      <c r="D288" s="61"/>
      <c r="E288" s="61"/>
      <c r="F288" s="61"/>
      <c r="G288" s="61"/>
      <c r="H288" s="61">
        <v>0</v>
      </c>
      <c r="I288" s="61">
        <v>60</v>
      </c>
      <c r="J288" s="61"/>
      <c r="K288" s="61">
        <f t="shared" si="81"/>
        <v>60</v>
      </c>
      <c r="L288" s="61"/>
      <c r="M288" s="61"/>
      <c r="N288" s="61">
        <f t="shared" si="82"/>
        <v>60</v>
      </c>
    </row>
    <row r="289" spans="1:14" ht="12.75">
      <c r="A289" s="5" t="s">
        <v>182</v>
      </c>
      <c r="B289" s="61"/>
      <c r="C289" s="61">
        <v>104.1</v>
      </c>
      <c r="D289" s="61"/>
      <c r="E289" s="61">
        <f t="shared" si="79"/>
        <v>104.1</v>
      </c>
      <c r="F289" s="61"/>
      <c r="G289" s="61"/>
      <c r="H289" s="61">
        <f t="shared" si="80"/>
        <v>104.1</v>
      </c>
      <c r="I289" s="61"/>
      <c r="J289" s="61"/>
      <c r="K289" s="61">
        <f t="shared" si="81"/>
        <v>104.1</v>
      </c>
      <c r="L289" s="61">
        <v>325.5</v>
      </c>
      <c r="M289" s="61"/>
      <c r="N289" s="61">
        <f t="shared" si="82"/>
        <v>429.6</v>
      </c>
    </row>
    <row r="290" spans="1:14" ht="12.75">
      <c r="A290" s="5" t="s">
        <v>215</v>
      </c>
      <c r="B290" s="61"/>
      <c r="C290" s="61"/>
      <c r="D290" s="61">
        <v>4181</v>
      </c>
      <c r="E290" s="61">
        <f t="shared" si="79"/>
        <v>4181</v>
      </c>
      <c r="F290" s="61"/>
      <c r="G290" s="61"/>
      <c r="H290" s="61">
        <f t="shared" si="80"/>
        <v>4181</v>
      </c>
      <c r="I290" s="61"/>
      <c r="J290" s="61"/>
      <c r="K290" s="61">
        <f t="shared" si="81"/>
        <v>4181</v>
      </c>
      <c r="L290" s="61"/>
      <c r="M290" s="61"/>
      <c r="N290" s="61">
        <f t="shared" si="82"/>
        <v>4181</v>
      </c>
    </row>
    <row r="291" spans="1:14" ht="12.75">
      <c r="A291" s="6" t="s">
        <v>35</v>
      </c>
      <c r="B291" s="26">
        <f>SUM(B293:B297)</f>
        <v>10000</v>
      </c>
      <c r="C291" s="26">
        <f>SUM(C294:C297)</f>
        <v>0</v>
      </c>
      <c r="D291" s="26">
        <f>SUM(D294:D297)</f>
        <v>9372.4</v>
      </c>
      <c r="E291" s="26">
        <f t="shared" si="79"/>
        <v>19372.4</v>
      </c>
      <c r="F291" s="26">
        <f>SUM(F294:F298)</f>
        <v>3500</v>
      </c>
      <c r="G291" s="26">
        <f>SUM(G294:G298)</f>
        <v>0</v>
      </c>
      <c r="H291" s="26">
        <f t="shared" si="80"/>
        <v>22872.4</v>
      </c>
      <c r="I291" s="26">
        <f>SUM(I294:I298)</f>
        <v>0</v>
      </c>
      <c r="J291" s="26">
        <f>SUM(J294:J298)</f>
        <v>850</v>
      </c>
      <c r="K291" s="26">
        <f>SUM(K293:K298)</f>
        <v>23722.4</v>
      </c>
      <c r="L291" s="26">
        <f>SUM(L293:L298)</f>
        <v>5500</v>
      </c>
      <c r="M291" s="26">
        <f>SUM(M294:M298)</f>
        <v>0</v>
      </c>
      <c r="N291" s="26">
        <f>SUM(N293:N298)</f>
        <v>29222.4</v>
      </c>
    </row>
    <row r="292" spans="1:14" ht="12.75">
      <c r="A292" s="3" t="s">
        <v>1</v>
      </c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1:14" ht="12.75">
      <c r="A293" s="17" t="s">
        <v>202</v>
      </c>
      <c r="B293" s="61">
        <v>10000</v>
      </c>
      <c r="C293" s="61"/>
      <c r="D293" s="61"/>
      <c r="E293" s="61">
        <f>B293+C293+D293</f>
        <v>10000</v>
      </c>
      <c r="F293" s="61"/>
      <c r="G293" s="61"/>
      <c r="H293" s="61">
        <f>E293+F293+G293</f>
        <v>10000</v>
      </c>
      <c r="I293" s="61"/>
      <c r="J293" s="61"/>
      <c r="K293" s="61">
        <f>H293+I293+J293</f>
        <v>10000</v>
      </c>
      <c r="L293" s="61"/>
      <c r="M293" s="61"/>
      <c r="N293" s="61">
        <f aca="true" t="shared" si="83" ref="N293:N298">K293+L293+M293</f>
        <v>10000</v>
      </c>
    </row>
    <row r="294" spans="1:14" ht="12.75">
      <c r="A294" s="17" t="s">
        <v>266</v>
      </c>
      <c r="B294" s="61"/>
      <c r="C294" s="61"/>
      <c r="D294" s="61"/>
      <c r="E294" s="61">
        <f>B294+C294+D294</f>
        <v>0</v>
      </c>
      <c r="F294" s="61"/>
      <c r="G294" s="61"/>
      <c r="H294" s="61">
        <f>E294+F294+G294</f>
        <v>0</v>
      </c>
      <c r="I294" s="61"/>
      <c r="J294" s="61"/>
      <c r="K294" s="61"/>
      <c r="L294" s="61">
        <v>5500</v>
      </c>
      <c r="M294" s="61"/>
      <c r="N294" s="61">
        <f t="shared" si="83"/>
        <v>5500</v>
      </c>
    </row>
    <row r="295" spans="1:14" ht="12.75">
      <c r="A295" s="5" t="s">
        <v>128</v>
      </c>
      <c r="B295" s="61"/>
      <c r="C295" s="61"/>
      <c r="D295" s="61"/>
      <c r="E295" s="61">
        <f>SUM(B295:D295)</f>
        <v>0</v>
      </c>
      <c r="F295" s="61"/>
      <c r="G295" s="61"/>
      <c r="H295" s="61">
        <f>SUM(E295:G295)</f>
        <v>0</v>
      </c>
      <c r="I295" s="61"/>
      <c r="J295" s="61">
        <v>850</v>
      </c>
      <c r="K295" s="61">
        <f>H295+I295+J295</f>
        <v>850</v>
      </c>
      <c r="L295" s="61"/>
      <c r="M295" s="61"/>
      <c r="N295" s="61">
        <f t="shared" si="83"/>
        <v>850</v>
      </c>
    </row>
    <row r="296" spans="1:14" ht="12.75">
      <c r="A296" s="5" t="s">
        <v>229</v>
      </c>
      <c r="B296" s="61"/>
      <c r="C296" s="61"/>
      <c r="D296" s="61"/>
      <c r="E296" s="61"/>
      <c r="F296" s="61">
        <v>3500</v>
      </c>
      <c r="G296" s="61"/>
      <c r="H296" s="61">
        <f>E296+F296+G296</f>
        <v>3500</v>
      </c>
      <c r="I296" s="61"/>
      <c r="J296" s="61"/>
      <c r="K296" s="61">
        <f>H296+I296+J296</f>
        <v>3500</v>
      </c>
      <c r="L296" s="61"/>
      <c r="M296" s="61"/>
      <c r="N296" s="61">
        <f t="shared" si="83"/>
        <v>3500</v>
      </c>
    </row>
    <row r="297" spans="1:14" ht="12.75">
      <c r="A297" s="21" t="s">
        <v>118</v>
      </c>
      <c r="B297" s="63"/>
      <c r="C297" s="63"/>
      <c r="D297" s="63">
        <v>9372.4</v>
      </c>
      <c r="E297" s="63">
        <f>B297+C297+D297</f>
        <v>9372.4</v>
      </c>
      <c r="F297" s="63"/>
      <c r="G297" s="63"/>
      <c r="H297" s="63">
        <f>E297+F297+G297</f>
        <v>9372.4</v>
      </c>
      <c r="I297" s="63"/>
      <c r="J297" s="63"/>
      <c r="K297" s="63">
        <f>H297+I297+J297</f>
        <v>9372.4</v>
      </c>
      <c r="L297" s="63"/>
      <c r="M297" s="63"/>
      <c r="N297" s="63">
        <f t="shared" si="83"/>
        <v>9372.4</v>
      </c>
    </row>
    <row r="298" spans="1:14" ht="12.75" hidden="1">
      <c r="A298" s="21" t="s">
        <v>128</v>
      </c>
      <c r="B298" s="66"/>
      <c r="C298" s="66"/>
      <c r="D298" s="66"/>
      <c r="E298" s="66"/>
      <c r="F298" s="66"/>
      <c r="G298" s="66"/>
      <c r="H298" s="63"/>
      <c r="I298" s="66"/>
      <c r="J298" s="66"/>
      <c r="K298" s="63">
        <f>H298+I298+J298</f>
        <v>0</v>
      </c>
      <c r="L298" s="66"/>
      <c r="M298" s="66"/>
      <c r="N298" s="63">
        <f t="shared" si="83"/>
        <v>0</v>
      </c>
    </row>
    <row r="299" spans="1:14" ht="12.75">
      <c r="A299" s="18" t="s">
        <v>20</v>
      </c>
      <c r="B299" s="28">
        <f aca="true" t="shared" si="84" ref="B299:N299">B300+B309</f>
        <v>141540</v>
      </c>
      <c r="C299" s="28">
        <f t="shared" si="84"/>
        <v>0</v>
      </c>
      <c r="D299" s="28">
        <f t="shared" si="84"/>
        <v>17000</v>
      </c>
      <c r="E299" s="28">
        <f t="shared" si="84"/>
        <v>158540</v>
      </c>
      <c r="F299" s="28">
        <f t="shared" si="84"/>
        <v>10411.6</v>
      </c>
      <c r="G299" s="28">
        <f t="shared" si="84"/>
        <v>0</v>
      </c>
      <c r="H299" s="28">
        <f t="shared" si="84"/>
        <v>168951.6</v>
      </c>
      <c r="I299" s="28">
        <f t="shared" si="84"/>
        <v>10000</v>
      </c>
      <c r="J299" s="28">
        <f t="shared" si="84"/>
        <v>4000</v>
      </c>
      <c r="K299" s="28">
        <f t="shared" si="84"/>
        <v>182951.6</v>
      </c>
      <c r="L299" s="28">
        <f t="shared" si="84"/>
        <v>406</v>
      </c>
      <c r="M299" s="28">
        <f t="shared" si="84"/>
        <v>0</v>
      </c>
      <c r="N299" s="28">
        <f t="shared" si="84"/>
        <v>183357.6</v>
      </c>
    </row>
    <row r="300" spans="1:14" ht="12.75">
      <c r="A300" s="6" t="s">
        <v>34</v>
      </c>
      <c r="B300" s="26">
        <f>SUM(B302:B308)</f>
        <v>141540</v>
      </c>
      <c r="C300" s="26">
        <f>SUM(C302:C308)</f>
        <v>0</v>
      </c>
      <c r="D300" s="26">
        <f>SUM(D302:D308)</f>
        <v>17000</v>
      </c>
      <c r="E300" s="26">
        <f>B300+C300+D300</f>
        <v>158540</v>
      </c>
      <c r="F300" s="26">
        <f>SUM(F302:F308)</f>
        <v>10411.6</v>
      </c>
      <c r="G300" s="26">
        <f>SUM(G302:G308)</f>
        <v>0</v>
      </c>
      <c r="H300" s="26">
        <f>E300+F300+G300</f>
        <v>168951.6</v>
      </c>
      <c r="I300" s="26">
        <f aca="true" t="shared" si="85" ref="I300:N300">SUM(I302:I308)</f>
        <v>10000</v>
      </c>
      <c r="J300" s="26">
        <f t="shared" si="85"/>
        <v>0</v>
      </c>
      <c r="K300" s="26">
        <f t="shared" si="85"/>
        <v>178951.6</v>
      </c>
      <c r="L300" s="26">
        <f t="shared" si="85"/>
        <v>-2994</v>
      </c>
      <c r="M300" s="26">
        <f t="shared" si="85"/>
        <v>0</v>
      </c>
      <c r="N300" s="26">
        <f t="shared" si="85"/>
        <v>175957.6</v>
      </c>
    </row>
    <row r="301" spans="1:14" ht="12.75">
      <c r="A301" s="3" t="s">
        <v>1</v>
      </c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1:14" ht="12.75">
      <c r="A302" s="5" t="s">
        <v>18</v>
      </c>
      <c r="B302" s="61">
        <v>109952</v>
      </c>
      <c r="C302" s="61"/>
      <c r="D302" s="61">
        <f>9500+215</f>
        <v>9715</v>
      </c>
      <c r="E302" s="61">
        <f>B302+C302+D302</f>
        <v>119667</v>
      </c>
      <c r="F302" s="61"/>
      <c r="G302" s="61"/>
      <c r="H302" s="61">
        <f>E302+F302+G302</f>
        <v>119667</v>
      </c>
      <c r="I302" s="61">
        <f>450+10000</f>
        <v>10450</v>
      </c>
      <c r="J302" s="61"/>
      <c r="K302" s="61">
        <f aca="true" t="shared" si="86" ref="K302:K308">H302+I302+J302</f>
        <v>130117</v>
      </c>
      <c r="L302" s="61">
        <f>95.8-3200</f>
        <v>-3104.2</v>
      </c>
      <c r="M302" s="61"/>
      <c r="N302" s="61">
        <f>K302+L302+M302</f>
        <v>127012.8</v>
      </c>
    </row>
    <row r="303" spans="1:14" ht="12.75">
      <c r="A303" s="5" t="s">
        <v>9</v>
      </c>
      <c r="B303" s="61">
        <v>28838</v>
      </c>
      <c r="C303" s="61">
        <v>-6242</v>
      </c>
      <c r="D303" s="61">
        <f>2500-905</f>
        <v>1595</v>
      </c>
      <c r="E303" s="61">
        <f>B303+C303+D303</f>
        <v>24191</v>
      </c>
      <c r="F303" s="61">
        <f>10.6-300</f>
        <v>-289.4</v>
      </c>
      <c r="G303" s="61">
        <v>-1410</v>
      </c>
      <c r="H303" s="61">
        <f>E303+F303+G303</f>
        <v>22491.6</v>
      </c>
      <c r="I303" s="61">
        <v>-450</v>
      </c>
      <c r="J303" s="61"/>
      <c r="K303" s="61">
        <f t="shared" si="86"/>
        <v>22041.6</v>
      </c>
      <c r="L303" s="61">
        <v>-65.8</v>
      </c>
      <c r="M303" s="61"/>
      <c r="N303" s="61">
        <f aca="true" t="shared" si="87" ref="N303:N308">K303+L303+M303</f>
        <v>21975.8</v>
      </c>
    </row>
    <row r="304" spans="1:14" ht="12.75">
      <c r="A304" s="5" t="s">
        <v>124</v>
      </c>
      <c r="B304" s="61">
        <v>2750</v>
      </c>
      <c r="C304" s="61">
        <v>6242</v>
      </c>
      <c r="D304" s="61">
        <v>690</v>
      </c>
      <c r="E304" s="61">
        <f>B304+C304+D304</f>
        <v>9682</v>
      </c>
      <c r="F304" s="61"/>
      <c r="G304" s="61">
        <v>1410</v>
      </c>
      <c r="H304" s="61">
        <f>E304+F304+G304</f>
        <v>11092</v>
      </c>
      <c r="I304" s="61"/>
      <c r="J304" s="61"/>
      <c r="K304" s="61">
        <f t="shared" si="86"/>
        <v>11092</v>
      </c>
      <c r="L304" s="61"/>
      <c r="M304" s="61"/>
      <c r="N304" s="61">
        <f t="shared" si="87"/>
        <v>11092</v>
      </c>
    </row>
    <row r="305" spans="1:14" ht="12.75">
      <c r="A305" s="5" t="s">
        <v>170</v>
      </c>
      <c r="B305" s="61"/>
      <c r="C305" s="61"/>
      <c r="D305" s="61"/>
      <c r="E305" s="61"/>
      <c r="F305" s="61">
        <f>320</f>
        <v>320</v>
      </c>
      <c r="G305" s="61"/>
      <c r="H305" s="61">
        <f>E305+F305</f>
        <v>320</v>
      </c>
      <c r="I305" s="61"/>
      <c r="J305" s="61"/>
      <c r="K305" s="61">
        <f t="shared" si="86"/>
        <v>320</v>
      </c>
      <c r="L305" s="61">
        <f>131+45+30</f>
        <v>206</v>
      </c>
      <c r="M305" s="61"/>
      <c r="N305" s="61">
        <f t="shared" si="87"/>
        <v>526</v>
      </c>
    </row>
    <row r="306" spans="1:14" ht="12.75">
      <c r="A306" s="5" t="s">
        <v>171</v>
      </c>
      <c r="B306" s="61"/>
      <c r="C306" s="61"/>
      <c r="D306" s="61"/>
      <c r="E306" s="61"/>
      <c r="F306" s="61">
        <v>101</v>
      </c>
      <c r="G306" s="61"/>
      <c r="H306" s="61">
        <f>E306+F306</f>
        <v>101</v>
      </c>
      <c r="I306" s="61"/>
      <c r="J306" s="61"/>
      <c r="K306" s="61">
        <f t="shared" si="86"/>
        <v>101</v>
      </c>
      <c r="L306" s="61"/>
      <c r="M306" s="61"/>
      <c r="N306" s="61">
        <f t="shared" si="87"/>
        <v>101</v>
      </c>
    </row>
    <row r="307" spans="1:14" ht="12.75" hidden="1">
      <c r="A307" s="5" t="s">
        <v>162</v>
      </c>
      <c r="B307" s="61"/>
      <c r="C307" s="61"/>
      <c r="D307" s="61"/>
      <c r="E307" s="61"/>
      <c r="F307" s="61"/>
      <c r="G307" s="61"/>
      <c r="H307" s="61"/>
      <c r="I307" s="61"/>
      <c r="J307" s="61"/>
      <c r="K307" s="61">
        <f t="shared" si="86"/>
        <v>0</v>
      </c>
      <c r="L307" s="61"/>
      <c r="M307" s="61"/>
      <c r="N307" s="61">
        <f t="shared" si="87"/>
        <v>0</v>
      </c>
    </row>
    <row r="308" spans="1:14" ht="12.75">
      <c r="A308" s="5" t="s">
        <v>41</v>
      </c>
      <c r="B308" s="61"/>
      <c r="C308" s="61"/>
      <c r="D308" s="61">
        <v>5000</v>
      </c>
      <c r="E308" s="61">
        <f>B308+C308+D308</f>
        <v>5000</v>
      </c>
      <c r="F308" s="61">
        <v>10280</v>
      </c>
      <c r="G308" s="61"/>
      <c r="H308" s="61">
        <f>E308+F308</f>
        <v>15280</v>
      </c>
      <c r="I308" s="61"/>
      <c r="J308" s="61"/>
      <c r="K308" s="61">
        <f t="shared" si="86"/>
        <v>15280</v>
      </c>
      <c r="L308" s="61">
        <v>-30</v>
      </c>
      <c r="M308" s="61"/>
      <c r="N308" s="61">
        <f t="shared" si="87"/>
        <v>15250</v>
      </c>
    </row>
    <row r="309" spans="1:14" ht="12.75">
      <c r="A309" s="6" t="s">
        <v>35</v>
      </c>
      <c r="B309" s="26">
        <f>SUM(B313:B313)</f>
        <v>0</v>
      </c>
      <c r="C309" s="26">
        <f>SUM(C313:C313)</f>
        <v>0</v>
      </c>
      <c r="D309" s="26">
        <f>SUM(D313:D313)</f>
        <v>0</v>
      </c>
      <c r="E309" s="26">
        <f>B309+C309+D309</f>
        <v>0</v>
      </c>
      <c r="F309" s="26">
        <f>SUM(F313:F313)</f>
        <v>0</v>
      </c>
      <c r="G309" s="26">
        <f>SUM(G313:G313)</f>
        <v>0</v>
      </c>
      <c r="H309" s="26">
        <f>E309+F309+G309</f>
        <v>0</v>
      </c>
      <c r="I309" s="26">
        <f>SUM(I313:I313)</f>
        <v>0</v>
      </c>
      <c r="J309" s="26">
        <f>SUM(J311:J313)</f>
        <v>4000</v>
      </c>
      <c r="K309" s="26">
        <f>SUM(K311:K313)</f>
        <v>4000</v>
      </c>
      <c r="L309" s="26">
        <f>SUM(L311:L313)</f>
        <v>3400</v>
      </c>
      <c r="M309" s="26">
        <f>SUM(M311:M313)</f>
        <v>0</v>
      </c>
      <c r="N309" s="26">
        <f>SUM(N311:N313)</f>
        <v>7400</v>
      </c>
    </row>
    <row r="310" spans="1:14" ht="12.75">
      <c r="A310" s="3" t="s">
        <v>1</v>
      </c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1:14" ht="12.75">
      <c r="A311" s="5" t="s">
        <v>250</v>
      </c>
      <c r="B311" s="61"/>
      <c r="C311" s="61"/>
      <c r="D311" s="61"/>
      <c r="E311" s="61"/>
      <c r="F311" s="61"/>
      <c r="G311" s="61"/>
      <c r="H311" s="61"/>
      <c r="I311" s="61"/>
      <c r="J311" s="61">
        <v>4000</v>
      </c>
      <c r="K311" s="61">
        <f>H311+I311+J311</f>
        <v>4000</v>
      </c>
      <c r="L311" s="61"/>
      <c r="M311" s="61"/>
      <c r="N311" s="61">
        <f>K311+L311+M311</f>
        <v>4000</v>
      </c>
    </row>
    <row r="312" spans="1:14" ht="12.75">
      <c r="A312" s="19" t="s">
        <v>128</v>
      </c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>
        <f>200+3200</f>
        <v>3400</v>
      </c>
      <c r="M312" s="63"/>
      <c r="N312" s="63">
        <f>K312+L312+M312</f>
        <v>3400</v>
      </c>
    </row>
    <row r="313" spans="1:14" ht="12.75" hidden="1">
      <c r="A313" s="19" t="s">
        <v>162</v>
      </c>
      <c r="B313" s="63"/>
      <c r="C313" s="63"/>
      <c r="D313" s="63"/>
      <c r="E313" s="63">
        <f>B313+C313+D313</f>
        <v>0</v>
      </c>
      <c r="F313" s="63"/>
      <c r="G313" s="63"/>
      <c r="H313" s="63">
        <f>E313+F313+G313</f>
        <v>0</v>
      </c>
      <c r="I313" s="63"/>
      <c r="J313" s="63"/>
      <c r="K313" s="63">
        <f>H313+I313+J313</f>
        <v>0</v>
      </c>
      <c r="L313" s="63"/>
      <c r="M313" s="63"/>
      <c r="N313" s="63">
        <f>K313+L313+M313</f>
        <v>0</v>
      </c>
    </row>
    <row r="314" spans="1:14" ht="12.75">
      <c r="A314" s="2" t="s">
        <v>21</v>
      </c>
      <c r="B314" s="23">
        <f>B315+B332</f>
        <v>40836</v>
      </c>
      <c r="C314" s="23">
        <f>C315+C332</f>
        <v>905.1</v>
      </c>
      <c r="D314" s="23">
        <f>D315+D332</f>
        <v>25877.5</v>
      </c>
      <c r="E314" s="24">
        <f>B314+C314+D314</f>
        <v>67618.6</v>
      </c>
      <c r="F314" s="23">
        <f>F315+F332</f>
        <v>1475.2000000000003</v>
      </c>
      <c r="G314" s="23">
        <f>G315+G332</f>
        <v>31129.3</v>
      </c>
      <c r="H314" s="24">
        <f>E314+F314+G314</f>
        <v>100223.1</v>
      </c>
      <c r="I314" s="23">
        <f aca="true" t="shared" si="88" ref="I314:N314">I315+I332</f>
        <v>1061.5</v>
      </c>
      <c r="J314" s="23">
        <f t="shared" si="88"/>
        <v>-3814.3</v>
      </c>
      <c r="K314" s="24">
        <f t="shared" si="88"/>
        <v>97470.3</v>
      </c>
      <c r="L314" s="24">
        <f t="shared" si="88"/>
        <v>20118.5</v>
      </c>
      <c r="M314" s="24">
        <f t="shared" si="88"/>
        <v>0</v>
      </c>
      <c r="N314" s="24">
        <f t="shared" si="88"/>
        <v>117588.8</v>
      </c>
    </row>
    <row r="315" spans="1:14" ht="12.75">
      <c r="A315" s="6" t="s">
        <v>34</v>
      </c>
      <c r="B315" s="26">
        <f>SUM(B317:B331)</f>
        <v>40836</v>
      </c>
      <c r="C315" s="26">
        <f>SUM(C317:C329)</f>
        <v>905.1</v>
      </c>
      <c r="D315" s="26">
        <f>SUM(D317:D329)</f>
        <v>25077.5</v>
      </c>
      <c r="E315" s="27">
        <f>B315+C315+D315</f>
        <v>66818.6</v>
      </c>
      <c r="F315" s="26">
        <f>SUM(F317:F331)</f>
        <v>1475.2000000000003</v>
      </c>
      <c r="G315" s="26">
        <f>SUM(G317:G331)</f>
        <v>29329.3</v>
      </c>
      <c r="H315" s="27">
        <f>E315+F315+G315</f>
        <v>97623.1</v>
      </c>
      <c r="I315" s="26">
        <f aca="true" t="shared" si="89" ref="I315:N315">SUM(I317:I331)</f>
        <v>1061.5</v>
      </c>
      <c r="J315" s="26">
        <f t="shared" si="89"/>
        <v>-4644.3</v>
      </c>
      <c r="K315" s="26">
        <f t="shared" si="89"/>
        <v>94040.3</v>
      </c>
      <c r="L315" s="26">
        <f t="shared" si="89"/>
        <v>20118.5</v>
      </c>
      <c r="M315" s="26">
        <f t="shared" si="89"/>
        <v>0</v>
      </c>
      <c r="N315" s="26">
        <f t="shared" si="89"/>
        <v>114158.8</v>
      </c>
    </row>
    <row r="316" spans="1:14" ht="12.75">
      <c r="A316" s="3" t="s">
        <v>1</v>
      </c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 ht="12.75">
      <c r="A317" s="67" t="s">
        <v>251</v>
      </c>
      <c r="B317" s="61">
        <v>35050</v>
      </c>
      <c r="C317" s="61"/>
      <c r="D317" s="61">
        <v>25000</v>
      </c>
      <c r="E317" s="61">
        <f>B317+C317+D317</f>
        <v>60050</v>
      </c>
      <c r="F317" s="61"/>
      <c r="G317" s="61"/>
      <c r="H317" s="61">
        <f>E317+F317+G317</f>
        <v>60050</v>
      </c>
      <c r="I317" s="61"/>
      <c r="J317" s="61">
        <f>-17800-2760+2760</f>
        <v>-17800</v>
      </c>
      <c r="K317" s="61">
        <f aca="true" t="shared" si="90" ref="K317:K331">H317+I317+J317</f>
        <v>42250</v>
      </c>
      <c r="L317" s="61">
        <v>-156.1</v>
      </c>
      <c r="M317" s="61"/>
      <c r="N317" s="61">
        <f>K317+L317+M317</f>
        <v>42093.9</v>
      </c>
    </row>
    <row r="318" spans="1:14" ht="12.75">
      <c r="A318" s="4" t="s">
        <v>146</v>
      </c>
      <c r="B318" s="61"/>
      <c r="C318" s="61"/>
      <c r="D318" s="61"/>
      <c r="E318" s="61">
        <f>B318+C318</f>
        <v>0</v>
      </c>
      <c r="F318" s="61">
        <v>175</v>
      </c>
      <c r="G318" s="61"/>
      <c r="H318" s="61">
        <f>E318+F318</f>
        <v>175</v>
      </c>
      <c r="I318" s="61"/>
      <c r="J318" s="61">
        <f>5359+2600</f>
        <v>7959</v>
      </c>
      <c r="K318" s="61">
        <f t="shared" si="90"/>
        <v>8134</v>
      </c>
      <c r="L318" s="61">
        <f>-75+4340-2600</f>
        <v>1665</v>
      </c>
      <c r="M318" s="61"/>
      <c r="N318" s="61">
        <f aca="true" t="shared" si="91" ref="N318:N331">K318+L318+M318</f>
        <v>9799</v>
      </c>
    </row>
    <row r="319" spans="1:14" ht="12.75">
      <c r="A319" s="4" t="s">
        <v>9</v>
      </c>
      <c r="B319" s="61">
        <v>5786</v>
      </c>
      <c r="C319" s="61"/>
      <c r="D319" s="61"/>
      <c r="E319" s="61">
        <f>B319+C319+D319</f>
        <v>5786</v>
      </c>
      <c r="F319" s="61">
        <f>-187.3-175+1000</f>
        <v>637.7</v>
      </c>
      <c r="G319" s="61"/>
      <c r="H319" s="61">
        <f aca="true" t="shared" si="92" ref="H319:H332">E319+F319+G319</f>
        <v>6423.7</v>
      </c>
      <c r="I319" s="61">
        <v>-24</v>
      </c>
      <c r="J319" s="61">
        <v>5116.7</v>
      </c>
      <c r="K319" s="61">
        <f t="shared" si="90"/>
        <v>11516.4</v>
      </c>
      <c r="L319" s="61">
        <f>-16.5-1090+75-120</f>
        <v>-1151.5</v>
      </c>
      <c r="M319" s="61"/>
      <c r="N319" s="61">
        <f t="shared" si="91"/>
        <v>10364.9</v>
      </c>
    </row>
    <row r="320" spans="1:14" ht="12.75">
      <c r="A320" s="4" t="s">
        <v>212</v>
      </c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>
        <v>1000</v>
      </c>
      <c r="M320" s="61"/>
      <c r="N320" s="61">
        <f t="shared" si="91"/>
        <v>1000</v>
      </c>
    </row>
    <row r="321" spans="1:14" ht="12.75">
      <c r="A321" s="4" t="s">
        <v>124</v>
      </c>
      <c r="B321" s="61"/>
      <c r="C321" s="61"/>
      <c r="D321" s="61"/>
      <c r="E321" s="61">
        <f>B321+C321</f>
        <v>0</v>
      </c>
      <c r="F321" s="61"/>
      <c r="G321" s="61">
        <v>989.3</v>
      </c>
      <c r="H321" s="61">
        <f t="shared" si="92"/>
        <v>989.3</v>
      </c>
      <c r="I321" s="61"/>
      <c r="J321" s="61">
        <v>80</v>
      </c>
      <c r="K321" s="61">
        <f t="shared" si="90"/>
        <v>1069.3</v>
      </c>
      <c r="L321" s="61"/>
      <c r="M321" s="61"/>
      <c r="N321" s="61">
        <f t="shared" si="91"/>
        <v>1069.3</v>
      </c>
    </row>
    <row r="322" spans="1:14" ht="12.75">
      <c r="A322" s="4" t="s">
        <v>145</v>
      </c>
      <c r="B322" s="61"/>
      <c r="C322" s="61">
        <v>819.6</v>
      </c>
      <c r="D322" s="61"/>
      <c r="E322" s="61">
        <f>B322+C322+D322</f>
        <v>819.6</v>
      </c>
      <c r="F322" s="61">
        <v>399.1</v>
      </c>
      <c r="G322" s="61"/>
      <c r="H322" s="61">
        <f t="shared" si="92"/>
        <v>1218.7</v>
      </c>
      <c r="I322" s="61"/>
      <c r="J322" s="61"/>
      <c r="K322" s="61">
        <f t="shared" si="90"/>
        <v>1218.7</v>
      </c>
      <c r="L322" s="61">
        <v>56.2</v>
      </c>
      <c r="M322" s="61"/>
      <c r="N322" s="61">
        <f t="shared" si="91"/>
        <v>1274.9</v>
      </c>
    </row>
    <row r="323" spans="1:14" ht="12.75">
      <c r="A323" s="60" t="s">
        <v>203</v>
      </c>
      <c r="B323" s="61"/>
      <c r="C323" s="61"/>
      <c r="D323" s="61">
        <v>77.5</v>
      </c>
      <c r="E323" s="61">
        <f>B323+C323+D323</f>
        <v>77.5</v>
      </c>
      <c r="F323" s="61"/>
      <c r="G323" s="61"/>
      <c r="H323" s="61">
        <f t="shared" si="92"/>
        <v>77.5</v>
      </c>
      <c r="I323" s="61"/>
      <c r="J323" s="61"/>
      <c r="K323" s="61">
        <f t="shared" si="90"/>
        <v>77.5</v>
      </c>
      <c r="L323" s="61"/>
      <c r="M323" s="61"/>
      <c r="N323" s="61">
        <f t="shared" si="91"/>
        <v>77.5</v>
      </c>
    </row>
    <row r="324" spans="1:14" ht="12.75">
      <c r="A324" s="4" t="s">
        <v>270</v>
      </c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>
        <v>1304</v>
      </c>
      <c r="M324" s="61"/>
      <c r="N324" s="61">
        <f t="shared" si="91"/>
        <v>1304</v>
      </c>
    </row>
    <row r="325" spans="1:14" ht="12.75">
      <c r="A325" s="60" t="s">
        <v>268</v>
      </c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>
        <v>1498</v>
      </c>
      <c r="M325" s="61"/>
      <c r="N325" s="61">
        <f t="shared" si="91"/>
        <v>1498</v>
      </c>
    </row>
    <row r="326" spans="1:14" ht="12.75">
      <c r="A326" s="60" t="s">
        <v>269</v>
      </c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>
        <v>14924</v>
      </c>
      <c r="M326" s="61"/>
      <c r="N326" s="61">
        <f t="shared" si="91"/>
        <v>14924</v>
      </c>
    </row>
    <row r="327" spans="1:14" ht="12.75">
      <c r="A327" s="60" t="s">
        <v>241</v>
      </c>
      <c r="B327" s="61"/>
      <c r="C327" s="61"/>
      <c r="D327" s="61"/>
      <c r="E327" s="61"/>
      <c r="F327" s="61"/>
      <c r="G327" s="61"/>
      <c r="H327" s="61">
        <v>0</v>
      </c>
      <c r="I327" s="61">
        <v>40</v>
      </c>
      <c r="J327" s="61"/>
      <c r="K327" s="61">
        <f t="shared" si="90"/>
        <v>40</v>
      </c>
      <c r="L327" s="61"/>
      <c r="M327" s="61"/>
      <c r="N327" s="61">
        <f t="shared" si="91"/>
        <v>40</v>
      </c>
    </row>
    <row r="328" spans="1:14" ht="12.75">
      <c r="A328" s="60" t="s">
        <v>240</v>
      </c>
      <c r="B328" s="61"/>
      <c r="C328" s="61"/>
      <c r="D328" s="61"/>
      <c r="E328" s="61"/>
      <c r="F328" s="61"/>
      <c r="G328" s="61"/>
      <c r="H328" s="61">
        <v>0</v>
      </c>
      <c r="I328" s="61">
        <v>780</v>
      </c>
      <c r="J328" s="61"/>
      <c r="K328" s="61">
        <f t="shared" si="90"/>
        <v>780</v>
      </c>
      <c r="L328" s="61">
        <v>89.2</v>
      </c>
      <c r="M328" s="61"/>
      <c r="N328" s="61">
        <f t="shared" si="91"/>
        <v>869.2</v>
      </c>
    </row>
    <row r="329" spans="1:14" ht="12.75">
      <c r="A329" s="4" t="s">
        <v>104</v>
      </c>
      <c r="B329" s="61"/>
      <c r="C329" s="61">
        <v>85.5</v>
      </c>
      <c r="D329" s="61"/>
      <c r="E329" s="61">
        <f>B329+C329</f>
        <v>85.5</v>
      </c>
      <c r="F329" s="61">
        <f>106.5+156.9</f>
        <v>263.4</v>
      </c>
      <c r="G329" s="61"/>
      <c r="H329" s="61">
        <f t="shared" si="92"/>
        <v>348.9</v>
      </c>
      <c r="I329" s="61">
        <v>240.5</v>
      </c>
      <c r="J329" s="61"/>
      <c r="K329" s="61">
        <f t="shared" si="90"/>
        <v>589.4</v>
      </c>
      <c r="L329" s="61">
        <f>135.8+201.1+127.6+93.4+331.8</f>
        <v>889.7</v>
      </c>
      <c r="M329" s="61"/>
      <c r="N329" s="61">
        <f t="shared" si="91"/>
        <v>1479.1</v>
      </c>
    </row>
    <row r="330" spans="1:14" ht="12.75">
      <c r="A330" s="4" t="s">
        <v>243</v>
      </c>
      <c r="B330" s="61"/>
      <c r="C330" s="61"/>
      <c r="D330" s="61"/>
      <c r="E330" s="61"/>
      <c r="F330" s="61"/>
      <c r="G330" s="61"/>
      <c r="H330" s="61"/>
      <c r="I330" s="61">
        <v>25</v>
      </c>
      <c r="J330" s="61"/>
      <c r="K330" s="61">
        <f t="shared" si="90"/>
        <v>25</v>
      </c>
      <c r="L330" s="61"/>
      <c r="M330" s="61"/>
      <c r="N330" s="61">
        <f t="shared" si="91"/>
        <v>25</v>
      </c>
    </row>
    <row r="331" spans="1:14" ht="12.75">
      <c r="A331" s="4" t="s">
        <v>41</v>
      </c>
      <c r="B331" s="61"/>
      <c r="C331" s="61"/>
      <c r="D331" s="61"/>
      <c r="E331" s="61"/>
      <c r="F331" s="61"/>
      <c r="G331" s="61">
        <v>28340</v>
      </c>
      <c r="H331" s="61">
        <f t="shared" si="92"/>
        <v>28340</v>
      </c>
      <c r="I331" s="61"/>
      <c r="J331" s="61"/>
      <c r="K331" s="61">
        <f t="shared" si="90"/>
        <v>28340</v>
      </c>
      <c r="L331" s="61"/>
      <c r="M331" s="61"/>
      <c r="N331" s="61">
        <f t="shared" si="91"/>
        <v>28340</v>
      </c>
    </row>
    <row r="332" spans="1:14" ht="12.75">
      <c r="A332" s="6" t="s">
        <v>35</v>
      </c>
      <c r="B332" s="26">
        <f>SUM(B334:B337)</f>
        <v>0</v>
      </c>
      <c r="C332" s="26">
        <f>SUM(C334:C337)</f>
        <v>0</v>
      </c>
      <c r="D332" s="26">
        <f>SUM(D334:D337)</f>
        <v>800</v>
      </c>
      <c r="E332" s="26">
        <f>B332+C332+D332</f>
        <v>800</v>
      </c>
      <c r="F332" s="26">
        <f>SUM(F334:F337)</f>
        <v>0</v>
      </c>
      <c r="G332" s="26">
        <f>SUM(G334:G337)</f>
        <v>1800</v>
      </c>
      <c r="H332" s="26">
        <f t="shared" si="92"/>
        <v>2600</v>
      </c>
      <c r="I332" s="26">
        <f aca="true" t="shared" si="93" ref="I332:N332">SUM(I334:I337)</f>
        <v>0</v>
      </c>
      <c r="J332" s="26">
        <f t="shared" si="93"/>
        <v>830</v>
      </c>
      <c r="K332" s="26">
        <f t="shared" si="93"/>
        <v>3430</v>
      </c>
      <c r="L332" s="26">
        <f t="shared" si="93"/>
        <v>0</v>
      </c>
      <c r="M332" s="26">
        <f t="shared" si="93"/>
        <v>0</v>
      </c>
      <c r="N332" s="26">
        <f t="shared" si="93"/>
        <v>3430</v>
      </c>
    </row>
    <row r="333" spans="1:14" ht="12.75">
      <c r="A333" s="3" t="s">
        <v>1</v>
      </c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1:14" ht="12.75" hidden="1">
      <c r="A334" s="4" t="s">
        <v>128</v>
      </c>
      <c r="B334" s="61"/>
      <c r="C334" s="61"/>
      <c r="D334" s="61"/>
      <c r="E334" s="61">
        <f>B334+C334</f>
        <v>0</v>
      </c>
      <c r="F334" s="61"/>
      <c r="G334" s="61"/>
      <c r="H334" s="61">
        <f>E334+F334</f>
        <v>0</v>
      </c>
      <c r="I334" s="61"/>
      <c r="J334" s="61"/>
      <c r="K334" s="61">
        <f>H334+I334+J334</f>
        <v>0</v>
      </c>
      <c r="L334" s="61"/>
      <c r="M334" s="61"/>
      <c r="N334" s="61">
        <f>K334+L334+M334</f>
        <v>0</v>
      </c>
    </row>
    <row r="335" spans="1:14" ht="12.75">
      <c r="A335" s="4" t="s">
        <v>38</v>
      </c>
      <c r="B335" s="61"/>
      <c r="C335" s="61"/>
      <c r="D335" s="61"/>
      <c r="E335" s="61">
        <f>B335+C335+D335</f>
        <v>0</v>
      </c>
      <c r="F335" s="61"/>
      <c r="G335" s="61"/>
      <c r="H335" s="61">
        <f>E335+F335+G335</f>
        <v>0</v>
      </c>
      <c r="I335" s="61"/>
      <c r="J335" s="61">
        <v>480</v>
      </c>
      <c r="K335" s="61">
        <f>H335+I335+J335</f>
        <v>480</v>
      </c>
      <c r="L335" s="61"/>
      <c r="M335" s="61"/>
      <c r="N335" s="61">
        <f>K335+L335+M335</f>
        <v>480</v>
      </c>
    </row>
    <row r="336" spans="1:14" ht="12.75">
      <c r="A336" s="21" t="s">
        <v>132</v>
      </c>
      <c r="B336" s="63"/>
      <c r="C336" s="63"/>
      <c r="D336" s="63">
        <v>800</v>
      </c>
      <c r="E336" s="63">
        <f>B336+C336+D336</f>
        <v>800</v>
      </c>
      <c r="F336" s="63"/>
      <c r="G336" s="63">
        <v>1800</v>
      </c>
      <c r="H336" s="63">
        <f>E336+F336+G336</f>
        <v>2600</v>
      </c>
      <c r="I336" s="63"/>
      <c r="J336" s="63">
        <v>350</v>
      </c>
      <c r="K336" s="63">
        <f>H336+I336+J336</f>
        <v>2950</v>
      </c>
      <c r="L336" s="63"/>
      <c r="M336" s="63"/>
      <c r="N336" s="63">
        <f>K336+L336+M336</f>
        <v>2950</v>
      </c>
    </row>
    <row r="337" spans="1:14" ht="12.75" hidden="1">
      <c r="A337" s="19" t="s">
        <v>162</v>
      </c>
      <c r="B337" s="46"/>
      <c r="C337" s="46"/>
      <c r="D337" s="46"/>
      <c r="E337" s="63">
        <f>B337+C337</f>
        <v>0</v>
      </c>
      <c r="F337" s="46"/>
      <c r="G337" s="46"/>
      <c r="H337" s="63">
        <f>E337+F337</f>
        <v>0</v>
      </c>
      <c r="I337" s="46"/>
      <c r="J337" s="46"/>
      <c r="K337" s="63">
        <f>H337+I337</f>
        <v>0</v>
      </c>
      <c r="L337" s="46"/>
      <c r="M337" s="46"/>
      <c r="N337" s="63">
        <f>K337+L337</f>
        <v>0</v>
      </c>
    </row>
    <row r="338" spans="1:14" ht="12.75">
      <c r="A338" s="11" t="s">
        <v>75</v>
      </c>
      <c r="B338" s="23">
        <f aca="true" t="shared" si="94" ref="B338:N338">B339+B350</f>
        <v>43060.5</v>
      </c>
      <c r="C338" s="23">
        <f t="shared" si="94"/>
        <v>2501.1</v>
      </c>
      <c r="D338" s="23">
        <f t="shared" si="94"/>
        <v>77381</v>
      </c>
      <c r="E338" s="23">
        <f t="shared" si="94"/>
        <v>122942.6</v>
      </c>
      <c r="F338" s="23">
        <f t="shared" si="94"/>
        <v>9987.8</v>
      </c>
      <c r="G338" s="23">
        <f t="shared" si="94"/>
        <v>5772.6</v>
      </c>
      <c r="H338" s="23">
        <f t="shared" si="94"/>
        <v>138703</v>
      </c>
      <c r="I338" s="23">
        <f t="shared" si="94"/>
        <v>13400.5</v>
      </c>
      <c r="J338" s="23">
        <f t="shared" si="94"/>
        <v>563.0999999999999</v>
      </c>
      <c r="K338" s="23">
        <f t="shared" si="94"/>
        <v>152666.59999999998</v>
      </c>
      <c r="L338" s="23">
        <f t="shared" si="94"/>
        <v>12149.2</v>
      </c>
      <c r="M338" s="23">
        <f t="shared" si="94"/>
        <v>0</v>
      </c>
      <c r="N338" s="23">
        <f t="shared" si="94"/>
        <v>164815.8</v>
      </c>
    </row>
    <row r="339" spans="1:14" ht="12.75">
      <c r="A339" s="6" t="s">
        <v>34</v>
      </c>
      <c r="B339" s="26">
        <f>SUM(B341:B349)-B348</f>
        <v>6050</v>
      </c>
      <c r="C339" s="26">
        <f>SUM(C341:C349)</f>
        <v>2501.1</v>
      </c>
      <c r="D339" s="26">
        <f>SUM(D341:D349)</f>
        <v>33793.5</v>
      </c>
      <c r="E339" s="26">
        <f>B339+C339+D339</f>
        <v>42344.6</v>
      </c>
      <c r="F339" s="26">
        <f>SUM(F341:F349)-F348</f>
        <v>10240.4</v>
      </c>
      <c r="G339" s="26">
        <f>SUM(G341:G349)</f>
        <v>6176.5</v>
      </c>
      <c r="H339" s="26">
        <f>E339+F339+G339</f>
        <v>58761.5</v>
      </c>
      <c r="I339" s="26">
        <f aca="true" t="shared" si="95" ref="I339:N339">SUM(I341:I349)-I348</f>
        <v>3508.1000000000004</v>
      </c>
      <c r="J339" s="26">
        <f t="shared" si="95"/>
        <v>2000</v>
      </c>
      <c r="K339" s="26">
        <f t="shared" si="95"/>
        <v>64269.59999999999</v>
      </c>
      <c r="L339" s="26">
        <f t="shared" si="95"/>
        <v>4469.7</v>
      </c>
      <c r="M339" s="26">
        <f t="shared" si="95"/>
        <v>0</v>
      </c>
      <c r="N339" s="26">
        <f t="shared" si="95"/>
        <v>68739.29999999999</v>
      </c>
    </row>
    <row r="340" spans="1:14" ht="12.75">
      <c r="A340" s="3" t="s">
        <v>1</v>
      </c>
      <c r="B340" s="61"/>
      <c r="C340" s="61"/>
      <c r="D340" s="61"/>
      <c r="E340" s="23"/>
      <c r="F340" s="61"/>
      <c r="G340" s="61"/>
      <c r="H340" s="23"/>
      <c r="I340" s="61"/>
      <c r="J340" s="61"/>
      <c r="K340" s="23"/>
      <c r="L340" s="61"/>
      <c r="M340" s="61"/>
      <c r="N340" s="23"/>
    </row>
    <row r="341" spans="1:14" ht="12.75">
      <c r="A341" s="4" t="s">
        <v>9</v>
      </c>
      <c r="B341" s="61">
        <v>6050</v>
      </c>
      <c r="C341" s="61"/>
      <c r="D341" s="61"/>
      <c r="E341" s="61">
        <f>SUM(B341:D341)</f>
        <v>6050</v>
      </c>
      <c r="F341" s="61">
        <f>1500+2000</f>
        <v>3500</v>
      </c>
      <c r="G341" s="61">
        <v>2500</v>
      </c>
      <c r="H341" s="61">
        <f>SUM(E341:G341)</f>
        <v>12050</v>
      </c>
      <c r="I341" s="61"/>
      <c r="J341" s="61">
        <f>2000-1000</f>
        <v>1000</v>
      </c>
      <c r="K341" s="61">
        <f>H341+I341+J341</f>
        <v>13050</v>
      </c>
      <c r="L341" s="61">
        <v>395.9</v>
      </c>
      <c r="M341" s="61"/>
      <c r="N341" s="61">
        <f>SUM(K341:M341)</f>
        <v>13445.9</v>
      </c>
    </row>
    <row r="342" spans="1:15" ht="12.75">
      <c r="A342" s="4" t="s">
        <v>163</v>
      </c>
      <c r="B342" s="61"/>
      <c r="C342" s="61">
        <v>1.1</v>
      </c>
      <c r="D342" s="61"/>
      <c r="E342" s="61">
        <f>SUM(B342:D342)</f>
        <v>1.1</v>
      </c>
      <c r="F342" s="61">
        <v>2.5</v>
      </c>
      <c r="G342" s="61"/>
      <c r="H342" s="61">
        <f>SUM(E342:G342)</f>
        <v>3.6</v>
      </c>
      <c r="I342" s="61">
        <v>0.5</v>
      </c>
      <c r="J342" s="61"/>
      <c r="K342" s="61">
        <f aca="true" t="shared" si="96" ref="K342:K349">H342+I342+J342</f>
        <v>4.1</v>
      </c>
      <c r="L342" s="61">
        <f>0.1-2+1+0.1</f>
        <v>-0.7999999999999999</v>
      </c>
      <c r="M342" s="61"/>
      <c r="N342" s="61">
        <f aca="true" t="shared" si="97" ref="N342:N349">SUM(K342:M342)</f>
        <v>3.3</v>
      </c>
      <c r="O342" s="75"/>
    </row>
    <row r="343" spans="1:14" ht="12.75">
      <c r="A343" s="4" t="s">
        <v>267</v>
      </c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>
        <v>150</v>
      </c>
      <c r="M343" s="61"/>
      <c r="N343" s="61">
        <f t="shared" si="97"/>
        <v>150</v>
      </c>
    </row>
    <row r="344" spans="1:14" ht="12.75">
      <c r="A344" s="4" t="s">
        <v>66</v>
      </c>
      <c r="B344" s="61"/>
      <c r="C344" s="61"/>
      <c r="D344" s="61">
        <f>5000+25000</f>
        <v>30000</v>
      </c>
      <c r="E344" s="61">
        <f>SUM(B344:D344)</f>
        <v>30000</v>
      </c>
      <c r="F344" s="61"/>
      <c r="G344" s="61"/>
      <c r="H344" s="61">
        <f>SUM(E344:G344)</f>
        <v>30000</v>
      </c>
      <c r="I344" s="61"/>
      <c r="J344" s="61"/>
      <c r="K344" s="61">
        <f t="shared" si="96"/>
        <v>30000</v>
      </c>
      <c r="L344" s="61">
        <f>1109.1-400</f>
        <v>709.0999999999999</v>
      </c>
      <c r="M344" s="61"/>
      <c r="N344" s="61">
        <f t="shared" si="97"/>
        <v>30709.1</v>
      </c>
    </row>
    <row r="345" spans="1:14" ht="12.75">
      <c r="A345" s="4" t="s">
        <v>124</v>
      </c>
      <c r="B345" s="61"/>
      <c r="C345" s="61"/>
      <c r="D345" s="61"/>
      <c r="E345" s="61"/>
      <c r="F345" s="61"/>
      <c r="G345" s="61"/>
      <c r="H345" s="61">
        <f>SUM(E345:G345)</f>
        <v>0</v>
      </c>
      <c r="I345" s="62">
        <v>1107.6</v>
      </c>
      <c r="J345" s="61"/>
      <c r="K345" s="61">
        <f t="shared" si="96"/>
        <v>1107.6</v>
      </c>
      <c r="L345" s="61">
        <v>1925.5</v>
      </c>
      <c r="M345" s="61"/>
      <c r="N345" s="61">
        <f t="shared" si="97"/>
        <v>3033.1</v>
      </c>
    </row>
    <row r="346" spans="1:14" ht="12.75">
      <c r="A346" s="4" t="s">
        <v>146</v>
      </c>
      <c r="B346" s="61"/>
      <c r="C346" s="61"/>
      <c r="D346" s="61"/>
      <c r="E346" s="61"/>
      <c r="F346" s="61"/>
      <c r="G346" s="61"/>
      <c r="H346" s="61">
        <f>SUM(E346:G346)</f>
        <v>0</v>
      </c>
      <c r="I346" s="62"/>
      <c r="J346" s="61">
        <v>1000</v>
      </c>
      <c r="K346" s="61">
        <f t="shared" si="96"/>
        <v>1000</v>
      </c>
      <c r="L346" s="61">
        <v>2200</v>
      </c>
      <c r="M346" s="61"/>
      <c r="N346" s="61">
        <f t="shared" si="97"/>
        <v>3200</v>
      </c>
    </row>
    <row r="347" spans="1:14" ht="12.75">
      <c r="A347" s="4" t="s">
        <v>222</v>
      </c>
      <c r="B347" s="61"/>
      <c r="C347" s="61"/>
      <c r="D347" s="61"/>
      <c r="E347" s="61"/>
      <c r="F347" s="61">
        <v>8081</v>
      </c>
      <c r="G347" s="61"/>
      <c r="H347" s="61">
        <f>E347+F347+G347</f>
        <v>8081</v>
      </c>
      <c r="I347" s="61"/>
      <c r="J347" s="61"/>
      <c r="K347" s="61">
        <f t="shared" si="96"/>
        <v>8081</v>
      </c>
      <c r="L347" s="61"/>
      <c r="M347" s="61"/>
      <c r="N347" s="61">
        <f t="shared" si="97"/>
        <v>8081</v>
      </c>
    </row>
    <row r="348" spans="1:14" ht="12.75">
      <c r="A348" s="4" t="s">
        <v>224</v>
      </c>
      <c r="B348" s="61"/>
      <c r="C348" s="61"/>
      <c r="D348" s="61"/>
      <c r="E348" s="61"/>
      <c r="F348" s="61">
        <v>2975</v>
      </c>
      <c r="G348" s="61"/>
      <c r="H348" s="61">
        <f>E348+F348</f>
        <v>2975</v>
      </c>
      <c r="I348" s="61">
        <v>5106</v>
      </c>
      <c r="J348" s="61"/>
      <c r="K348" s="61">
        <f t="shared" si="96"/>
        <v>8081</v>
      </c>
      <c r="L348" s="61"/>
      <c r="M348" s="61"/>
      <c r="N348" s="61">
        <f t="shared" si="97"/>
        <v>8081</v>
      </c>
    </row>
    <row r="349" spans="1:14" ht="12.75">
      <c r="A349" s="4" t="s">
        <v>41</v>
      </c>
      <c r="B349" s="61"/>
      <c r="C349" s="61">
        <v>2500</v>
      </c>
      <c r="D349" s="61">
        <f>2000+1793.5</f>
        <v>3793.5</v>
      </c>
      <c r="E349" s="61">
        <f>SUM(B349:D349)</f>
        <v>6293.5</v>
      </c>
      <c r="F349" s="61">
        <f>-2000+80.1+576.8</f>
        <v>-1343.1000000000001</v>
      </c>
      <c r="G349" s="61">
        <v>3676.5</v>
      </c>
      <c r="H349" s="61">
        <f>SUM(E349:G349)</f>
        <v>8626.9</v>
      </c>
      <c r="I349" s="61">
        <v>2400</v>
      </c>
      <c r="J349" s="61"/>
      <c r="K349" s="61">
        <f t="shared" si="96"/>
        <v>11026.9</v>
      </c>
      <c r="L349" s="61">
        <v>-910</v>
      </c>
      <c r="M349" s="61"/>
      <c r="N349" s="61">
        <f t="shared" si="97"/>
        <v>10116.9</v>
      </c>
    </row>
    <row r="350" spans="1:14" ht="12.75">
      <c r="A350" s="6" t="s">
        <v>35</v>
      </c>
      <c r="B350" s="26">
        <f>SUM(B352:B358)</f>
        <v>37010.5</v>
      </c>
      <c r="C350" s="26">
        <f>SUM(C352:C358)</f>
        <v>0</v>
      </c>
      <c r="D350" s="26">
        <f>SUM(D352:D358)</f>
        <v>43587.5</v>
      </c>
      <c r="E350" s="26">
        <f>B350+C350+D350</f>
        <v>80598</v>
      </c>
      <c r="F350" s="26">
        <f>SUM(F352:F358)</f>
        <v>-252.60000000000014</v>
      </c>
      <c r="G350" s="26">
        <f>SUM(G352:G358)</f>
        <v>-403.89999999999964</v>
      </c>
      <c r="H350" s="26">
        <f>E350+F350+G350</f>
        <v>79941.5</v>
      </c>
      <c r="I350" s="26">
        <f aca="true" t="shared" si="98" ref="I350:N350">SUM(I352:I358)</f>
        <v>9892.4</v>
      </c>
      <c r="J350" s="26">
        <f t="shared" si="98"/>
        <v>-1436.9</v>
      </c>
      <c r="K350" s="26">
        <f t="shared" si="98"/>
        <v>88397</v>
      </c>
      <c r="L350" s="26">
        <f t="shared" si="98"/>
        <v>7679.5</v>
      </c>
      <c r="M350" s="26">
        <f t="shared" si="98"/>
        <v>0</v>
      </c>
      <c r="N350" s="26">
        <f t="shared" si="98"/>
        <v>96076.5</v>
      </c>
    </row>
    <row r="351" spans="1:14" ht="12.75">
      <c r="A351" s="3" t="s">
        <v>1</v>
      </c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1:14" ht="12.75">
      <c r="A352" s="5" t="s">
        <v>132</v>
      </c>
      <c r="B352" s="61"/>
      <c r="C352" s="61"/>
      <c r="D352" s="61"/>
      <c r="E352" s="61">
        <f>B352+C352+D352</f>
        <v>0</v>
      </c>
      <c r="F352" s="61"/>
      <c r="G352" s="61">
        <v>3744</v>
      </c>
      <c r="H352" s="61">
        <f>E352+F352+G352</f>
        <v>3744</v>
      </c>
      <c r="I352" s="61">
        <f>2250+4800</f>
        <v>7050</v>
      </c>
      <c r="J352" s="61">
        <v>1150</v>
      </c>
      <c r="K352" s="61">
        <f>H352+I352+J352</f>
        <v>11944</v>
      </c>
      <c r="L352" s="61">
        <v>-1085</v>
      </c>
      <c r="M352" s="61"/>
      <c r="N352" s="61">
        <f>K352+L352+M352</f>
        <v>10859</v>
      </c>
    </row>
    <row r="353" spans="1:14" ht="12.75">
      <c r="A353" s="4" t="s">
        <v>66</v>
      </c>
      <c r="B353" s="61"/>
      <c r="C353" s="61"/>
      <c r="D353" s="61">
        <v>20000</v>
      </c>
      <c r="E353" s="61">
        <f>SUM(B353:D353)</f>
        <v>20000</v>
      </c>
      <c r="F353" s="61"/>
      <c r="G353" s="61"/>
      <c r="H353" s="61">
        <f>SUM(E353:G353)</f>
        <v>20000</v>
      </c>
      <c r="I353" s="61"/>
      <c r="J353" s="61"/>
      <c r="K353" s="61">
        <f aca="true" t="shared" si="99" ref="K353:K358">H353+I353+J353</f>
        <v>20000</v>
      </c>
      <c r="L353" s="61">
        <f>-1109.1+400</f>
        <v>-709.0999999999999</v>
      </c>
      <c r="M353" s="61"/>
      <c r="N353" s="61">
        <f aca="true" t="shared" si="100" ref="N353:N358">K353+L353+M353</f>
        <v>19290.9</v>
      </c>
    </row>
    <row r="354" spans="1:14" ht="12.75">
      <c r="A354" s="4" t="s">
        <v>38</v>
      </c>
      <c r="B354" s="61"/>
      <c r="C354" s="61"/>
      <c r="D354" s="61">
        <v>5000</v>
      </c>
      <c r="E354" s="61">
        <f>SUM(B354:D354)</f>
        <v>5000</v>
      </c>
      <c r="F354" s="61"/>
      <c r="G354" s="61"/>
      <c r="H354" s="61">
        <f>SUM(E354:G354)</f>
        <v>5000</v>
      </c>
      <c r="I354" s="61"/>
      <c r="J354" s="61"/>
      <c r="K354" s="61">
        <f t="shared" si="99"/>
        <v>5000</v>
      </c>
      <c r="L354" s="61">
        <v>4.1</v>
      </c>
      <c r="M354" s="61"/>
      <c r="N354" s="61">
        <f t="shared" si="100"/>
        <v>5004.1</v>
      </c>
    </row>
    <row r="355" spans="1:14" ht="12.75">
      <c r="A355" s="4" t="s">
        <v>248</v>
      </c>
      <c r="B355" s="61"/>
      <c r="C355" s="61"/>
      <c r="D355" s="61"/>
      <c r="E355" s="61">
        <f>SUM(B355:D355)</f>
        <v>0</v>
      </c>
      <c r="F355" s="61"/>
      <c r="G355" s="61"/>
      <c r="H355" s="61"/>
      <c r="I355" s="61">
        <v>5200</v>
      </c>
      <c r="J355" s="61"/>
      <c r="K355" s="61">
        <f t="shared" si="99"/>
        <v>5200</v>
      </c>
      <c r="L355" s="61">
        <f>12000-2200</f>
        <v>9800</v>
      </c>
      <c r="M355" s="61"/>
      <c r="N355" s="61">
        <f t="shared" si="100"/>
        <v>15000</v>
      </c>
    </row>
    <row r="356" spans="1:14" ht="12.75">
      <c r="A356" s="4" t="s">
        <v>41</v>
      </c>
      <c r="B356" s="61"/>
      <c r="C356" s="61"/>
      <c r="D356" s="61">
        <f>18000+206.5</f>
        <v>18206.5</v>
      </c>
      <c r="E356" s="61">
        <f>SUM(B356:D356)</f>
        <v>18206.5</v>
      </c>
      <c r="F356" s="61">
        <f>-3900+4224.2-576.8</f>
        <v>-252.60000000000014</v>
      </c>
      <c r="G356" s="61">
        <v>-4147.9</v>
      </c>
      <c r="H356" s="61">
        <f>SUM(E356:G356)</f>
        <v>13806.000000000002</v>
      </c>
      <c r="I356" s="61">
        <f>42.4-2400</f>
        <v>-2357.6</v>
      </c>
      <c r="J356" s="61">
        <v>2413.1</v>
      </c>
      <c r="K356" s="61">
        <f t="shared" si="99"/>
        <v>13861.500000000002</v>
      </c>
      <c r="L356" s="61">
        <v>-330.5</v>
      </c>
      <c r="M356" s="61"/>
      <c r="N356" s="61">
        <f t="shared" si="100"/>
        <v>13531.000000000002</v>
      </c>
    </row>
    <row r="357" spans="1:14" ht="12.75">
      <c r="A357" s="17" t="s">
        <v>149</v>
      </c>
      <c r="B357" s="61"/>
      <c r="C357" s="61"/>
      <c r="D357" s="61">
        <v>381</v>
      </c>
      <c r="E357" s="61">
        <f>B357+C357+D357</f>
        <v>381</v>
      </c>
      <c r="F357" s="61"/>
      <c r="G357" s="61"/>
      <c r="H357" s="61">
        <f>E357+F357+G357</f>
        <v>381</v>
      </c>
      <c r="I357" s="61"/>
      <c r="J357" s="61"/>
      <c r="K357" s="61">
        <f t="shared" si="99"/>
        <v>381</v>
      </c>
      <c r="L357" s="61"/>
      <c r="M357" s="61"/>
      <c r="N357" s="61">
        <f t="shared" si="100"/>
        <v>381</v>
      </c>
    </row>
    <row r="358" spans="1:14" ht="12.75">
      <c r="A358" s="22" t="s">
        <v>252</v>
      </c>
      <c r="B358" s="63">
        <v>37010.5</v>
      </c>
      <c r="C358" s="63"/>
      <c r="D358" s="63"/>
      <c r="E358" s="63">
        <f>B358+C358+D358</f>
        <v>37010.5</v>
      </c>
      <c r="F358" s="63"/>
      <c r="G358" s="63"/>
      <c r="H358" s="63">
        <f>E358+F358+G358</f>
        <v>37010.5</v>
      </c>
      <c r="I358" s="63"/>
      <c r="J358" s="63">
        <v>-5000</v>
      </c>
      <c r="K358" s="63">
        <f t="shared" si="99"/>
        <v>32010.5</v>
      </c>
      <c r="L358" s="63"/>
      <c r="M358" s="63"/>
      <c r="N358" s="63">
        <f t="shared" si="100"/>
        <v>32010.5</v>
      </c>
    </row>
    <row r="359" spans="1:14" ht="12.75">
      <c r="A359" s="2" t="s">
        <v>76</v>
      </c>
      <c r="B359" s="23">
        <f aca="true" t="shared" si="101" ref="B359:N359">B360+B363</f>
        <v>5705</v>
      </c>
      <c r="C359" s="23">
        <f t="shared" si="101"/>
        <v>90</v>
      </c>
      <c r="D359" s="23">
        <f t="shared" si="101"/>
        <v>0</v>
      </c>
      <c r="E359" s="23">
        <f t="shared" si="101"/>
        <v>5795</v>
      </c>
      <c r="F359" s="23">
        <f t="shared" si="101"/>
        <v>0</v>
      </c>
      <c r="G359" s="23">
        <f t="shared" si="101"/>
        <v>0</v>
      </c>
      <c r="H359" s="23">
        <f t="shared" si="101"/>
        <v>5795</v>
      </c>
      <c r="I359" s="23">
        <f t="shared" si="101"/>
        <v>0</v>
      </c>
      <c r="J359" s="23">
        <f t="shared" si="101"/>
        <v>-1000</v>
      </c>
      <c r="K359" s="23">
        <f t="shared" si="101"/>
        <v>4795</v>
      </c>
      <c r="L359" s="23">
        <f t="shared" si="101"/>
        <v>0</v>
      </c>
      <c r="M359" s="23">
        <f t="shared" si="101"/>
        <v>0</v>
      </c>
      <c r="N359" s="23">
        <f t="shared" si="101"/>
        <v>4795</v>
      </c>
    </row>
    <row r="360" spans="1:14" ht="12.75">
      <c r="A360" s="6" t="s">
        <v>34</v>
      </c>
      <c r="B360" s="26">
        <f>SUM(B362:B362)</f>
        <v>3574.9</v>
      </c>
      <c r="C360" s="26">
        <f>SUM(C362:C362)</f>
        <v>0</v>
      </c>
      <c r="D360" s="26">
        <f>SUM(D362:D362)</f>
        <v>0</v>
      </c>
      <c r="E360" s="26">
        <f>B360+C360+D360</f>
        <v>3574.9</v>
      </c>
      <c r="F360" s="26">
        <f>SUM(F362:F362)</f>
        <v>-1155</v>
      </c>
      <c r="G360" s="26">
        <f>SUM(G362:G362)</f>
        <v>0</v>
      </c>
      <c r="H360" s="26">
        <f>E360+F360+G360</f>
        <v>2419.9</v>
      </c>
      <c r="I360" s="26">
        <f aca="true" t="shared" si="102" ref="I360:N360">SUM(I362:I362)</f>
        <v>1155</v>
      </c>
      <c r="J360" s="26">
        <f t="shared" si="102"/>
        <v>-333.6</v>
      </c>
      <c r="K360" s="26">
        <f t="shared" si="102"/>
        <v>3241.3</v>
      </c>
      <c r="L360" s="26">
        <f t="shared" si="102"/>
        <v>0</v>
      </c>
      <c r="M360" s="26">
        <f t="shared" si="102"/>
        <v>0</v>
      </c>
      <c r="N360" s="26">
        <f t="shared" si="102"/>
        <v>3241.3</v>
      </c>
    </row>
    <row r="361" spans="1:14" ht="12.75">
      <c r="A361" s="3" t="s">
        <v>1</v>
      </c>
      <c r="B361" s="61"/>
      <c r="C361" s="61"/>
      <c r="D361" s="61"/>
      <c r="E361" s="23"/>
      <c r="F361" s="61"/>
      <c r="G361" s="61"/>
      <c r="H361" s="23"/>
      <c r="I361" s="61"/>
      <c r="J361" s="61"/>
      <c r="K361" s="23"/>
      <c r="L361" s="61"/>
      <c r="M361" s="61"/>
      <c r="N361" s="23"/>
    </row>
    <row r="362" spans="1:14" ht="12.75">
      <c r="A362" s="4" t="s">
        <v>9</v>
      </c>
      <c r="B362" s="61">
        <v>3574.9</v>
      </c>
      <c r="C362" s="61"/>
      <c r="D362" s="61"/>
      <c r="E362" s="61">
        <f>B362+C362+D362</f>
        <v>3574.9</v>
      </c>
      <c r="F362" s="61">
        <v>-1155</v>
      </c>
      <c r="G362" s="61"/>
      <c r="H362" s="61">
        <f>E362+F362+G362</f>
        <v>2419.9</v>
      </c>
      <c r="I362" s="61">
        <v>1155</v>
      </c>
      <c r="J362" s="61">
        <v>-333.6</v>
      </c>
      <c r="K362" s="61">
        <f>H362+I362+J362</f>
        <v>3241.3</v>
      </c>
      <c r="L362" s="61"/>
      <c r="M362" s="61"/>
      <c r="N362" s="61">
        <f>K362+L362+M362</f>
        <v>3241.3</v>
      </c>
    </row>
    <row r="363" spans="1:14" ht="12.75">
      <c r="A363" s="6" t="s">
        <v>35</v>
      </c>
      <c r="B363" s="26">
        <f>SUM(B365:B365)</f>
        <v>2130.1</v>
      </c>
      <c r="C363" s="26">
        <f>SUM(C365:C366)</f>
        <v>90</v>
      </c>
      <c r="D363" s="26">
        <f>SUM(D365:D365)</f>
        <v>0</v>
      </c>
      <c r="E363" s="26">
        <f>B363+C363+D363</f>
        <v>2220.1</v>
      </c>
      <c r="F363" s="26">
        <f>SUM(F365:F365)</f>
        <v>1155</v>
      </c>
      <c r="G363" s="26">
        <f>SUM(G365:G365)</f>
        <v>0</v>
      </c>
      <c r="H363" s="26">
        <f aca="true" t="shared" si="103" ref="H363:N363">SUM(H365:H366)</f>
        <v>3375.1</v>
      </c>
      <c r="I363" s="26">
        <f t="shared" si="103"/>
        <v>-1155</v>
      </c>
      <c r="J363" s="26">
        <f t="shared" si="103"/>
        <v>-666.4</v>
      </c>
      <c r="K363" s="26">
        <f t="shared" si="103"/>
        <v>1553.6999999999998</v>
      </c>
      <c r="L363" s="26">
        <f t="shared" si="103"/>
        <v>0</v>
      </c>
      <c r="M363" s="26">
        <f t="shared" si="103"/>
        <v>0</v>
      </c>
      <c r="N363" s="26">
        <f t="shared" si="103"/>
        <v>1553.6999999999998</v>
      </c>
    </row>
    <row r="364" spans="1:14" ht="12.75">
      <c r="A364" s="3" t="s">
        <v>1</v>
      </c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1:14" ht="12.75">
      <c r="A365" s="4" t="s">
        <v>38</v>
      </c>
      <c r="B365" s="61">
        <v>2130.1</v>
      </c>
      <c r="C365" s="61"/>
      <c r="D365" s="61"/>
      <c r="E365" s="61">
        <f>B365+C365+D365</f>
        <v>2130.1</v>
      </c>
      <c r="F365" s="61">
        <v>1155</v>
      </c>
      <c r="G365" s="61"/>
      <c r="H365" s="61">
        <f>E365+F365+G365</f>
        <v>3285.1</v>
      </c>
      <c r="I365" s="61">
        <v>-1155</v>
      </c>
      <c r="J365" s="61">
        <v>-666.4</v>
      </c>
      <c r="K365" s="61">
        <f>H365+I365+J365</f>
        <v>1463.6999999999998</v>
      </c>
      <c r="L365" s="61"/>
      <c r="M365" s="61"/>
      <c r="N365" s="61">
        <f>K365+L365+M365</f>
        <v>1463.6999999999998</v>
      </c>
    </row>
    <row r="366" spans="1:14" ht="12.75">
      <c r="A366" s="19" t="s">
        <v>132</v>
      </c>
      <c r="B366" s="63"/>
      <c r="C366" s="63">
        <v>90</v>
      </c>
      <c r="D366" s="63"/>
      <c r="E366" s="63">
        <f>B366+C366+D366</f>
        <v>90</v>
      </c>
      <c r="F366" s="63"/>
      <c r="G366" s="63"/>
      <c r="H366" s="63">
        <f>E366+F366+G366</f>
        <v>90</v>
      </c>
      <c r="I366" s="63"/>
      <c r="J366" s="63"/>
      <c r="K366" s="63">
        <f>H366+I366+J366</f>
        <v>90</v>
      </c>
      <c r="L366" s="63"/>
      <c r="M366" s="63"/>
      <c r="N366" s="63">
        <f>K366+L366+M366</f>
        <v>90</v>
      </c>
    </row>
    <row r="367" spans="1:14" ht="12.75">
      <c r="A367" s="2" t="s">
        <v>22</v>
      </c>
      <c r="B367" s="23">
        <f aca="true" t="shared" si="104" ref="B367:N367">B368</f>
        <v>22679</v>
      </c>
      <c r="C367" s="23">
        <f t="shared" si="104"/>
        <v>-290</v>
      </c>
      <c r="D367" s="23">
        <f t="shared" si="104"/>
        <v>69620</v>
      </c>
      <c r="E367" s="23">
        <f t="shared" si="104"/>
        <v>92009</v>
      </c>
      <c r="F367" s="23">
        <f t="shared" si="104"/>
        <v>7513.200000000001</v>
      </c>
      <c r="G367" s="23">
        <f t="shared" si="104"/>
        <v>-33611.200000000004</v>
      </c>
      <c r="H367" s="23">
        <f t="shared" si="104"/>
        <v>65911</v>
      </c>
      <c r="I367" s="23">
        <f t="shared" si="104"/>
        <v>-10706</v>
      </c>
      <c r="J367" s="23">
        <f t="shared" si="104"/>
        <v>-8400</v>
      </c>
      <c r="K367" s="23">
        <f t="shared" si="104"/>
        <v>46805</v>
      </c>
      <c r="L367" s="23">
        <f t="shared" si="104"/>
        <v>9300</v>
      </c>
      <c r="M367" s="23">
        <f t="shared" si="104"/>
        <v>0</v>
      </c>
      <c r="N367" s="23">
        <f t="shared" si="104"/>
        <v>56105</v>
      </c>
    </row>
    <row r="368" spans="1:14" ht="12.75">
      <c r="A368" s="6" t="s">
        <v>34</v>
      </c>
      <c r="B368" s="26">
        <f>SUM(B370:B373)</f>
        <v>22679</v>
      </c>
      <c r="C368" s="26">
        <f>SUM(C370:C373)</f>
        <v>-290</v>
      </c>
      <c r="D368" s="26">
        <f>SUM(D370:D373)</f>
        <v>69620</v>
      </c>
      <c r="E368" s="26">
        <f>B368+C368+D368</f>
        <v>92009</v>
      </c>
      <c r="F368" s="26">
        <f>SUM(F370:F373)</f>
        <v>7513.200000000001</v>
      </c>
      <c r="G368" s="26">
        <f>SUM(G370:G373)</f>
        <v>-33611.200000000004</v>
      </c>
      <c r="H368" s="26">
        <f>E368+F368+G368</f>
        <v>65911</v>
      </c>
      <c r="I368" s="26">
        <f aca="true" t="shared" si="105" ref="I368:N368">SUM(I370:I373)</f>
        <v>-10706</v>
      </c>
      <c r="J368" s="26">
        <f t="shared" si="105"/>
        <v>-8400</v>
      </c>
      <c r="K368" s="26">
        <f t="shared" si="105"/>
        <v>46805</v>
      </c>
      <c r="L368" s="26">
        <f t="shared" si="105"/>
        <v>9300</v>
      </c>
      <c r="M368" s="26">
        <f t="shared" si="105"/>
        <v>0</v>
      </c>
      <c r="N368" s="26">
        <f t="shared" si="105"/>
        <v>56105</v>
      </c>
    </row>
    <row r="369" spans="1:14" ht="12.75">
      <c r="A369" s="3" t="s">
        <v>1</v>
      </c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</row>
    <row r="370" spans="1:14" ht="12.75">
      <c r="A370" s="17" t="s">
        <v>204</v>
      </c>
      <c r="B370" s="61">
        <v>2679</v>
      </c>
      <c r="C370" s="61">
        <f>-90-200</f>
        <v>-290</v>
      </c>
      <c r="D370" s="61">
        <f>50000+20000-380</f>
        <v>69620</v>
      </c>
      <c r="E370" s="61">
        <f>B370+C370+D370</f>
        <v>72009</v>
      </c>
      <c r="F370" s="61">
        <f>-5000-11850</f>
        <v>-16850</v>
      </c>
      <c r="G370" s="61">
        <f>-39900+4629.2</f>
        <v>-35270.8</v>
      </c>
      <c r="H370" s="61">
        <f>E370+F370+G370</f>
        <v>19888.199999999997</v>
      </c>
      <c r="I370" s="62">
        <f>-3400-5306-2000</f>
        <v>-10706</v>
      </c>
      <c r="J370" s="61">
        <f>-6400-2000</f>
        <v>-8400</v>
      </c>
      <c r="K370" s="61">
        <f>H370+I370+J370</f>
        <v>782.1999999999971</v>
      </c>
      <c r="L370" s="61">
        <v>-700</v>
      </c>
      <c r="M370" s="61"/>
      <c r="N370" s="61">
        <f>K370+L370+M370</f>
        <v>82.19999999999709</v>
      </c>
    </row>
    <row r="371" spans="1:14" ht="12.75">
      <c r="A371" s="17" t="s">
        <v>218</v>
      </c>
      <c r="B371" s="61"/>
      <c r="C371" s="61"/>
      <c r="D371" s="61"/>
      <c r="E371" s="61"/>
      <c r="F371" s="61">
        <v>24363.2</v>
      </c>
      <c r="G371" s="61"/>
      <c r="H371" s="61">
        <f>E371+F371+G371</f>
        <v>24363.2</v>
      </c>
      <c r="I371" s="61"/>
      <c r="J371" s="61"/>
      <c r="K371" s="61">
        <f>H371+I371+J371</f>
        <v>24363.2</v>
      </c>
      <c r="L371" s="61"/>
      <c r="M371" s="61"/>
      <c r="N371" s="61">
        <f>K371+L371+M371</f>
        <v>24363.2</v>
      </c>
    </row>
    <row r="372" spans="1:14" ht="12.75">
      <c r="A372" s="17" t="s">
        <v>172</v>
      </c>
      <c r="B372" s="61"/>
      <c r="C372" s="61"/>
      <c r="D372" s="61"/>
      <c r="E372" s="61"/>
      <c r="F372" s="61"/>
      <c r="G372" s="61">
        <v>1659.6</v>
      </c>
      <c r="H372" s="61">
        <f>E372+F372+G372</f>
        <v>1659.6</v>
      </c>
      <c r="I372" s="61"/>
      <c r="J372" s="61"/>
      <c r="K372" s="61">
        <f>H372+I372+J372</f>
        <v>1659.6</v>
      </c>
      <c r="L372" s="61"/>
      <c r="M372" s="61"/>
      <c r="N372" s="61">
        <f>K372+L372+M372</f>
        <v>1659.6</v>
      </c>
    </row>
    <row r="373" spans="1:14" ht="12.75">
      <c r="A373" s="21" t="s">
        <v>9</v>
      </c>
      <c r="B373" s="63">
        <v>20000</v>
      </c>
      <c r="C373" s="63"/>
      <c r="D373" s="63"/>
      <c r="E373" s="63">
        <f>B373+C373+D373</f>
        <v>20000</v>
      </c>
      <c r="F373" s="63"/>
      <c r="G373" s="63"/>
      <c r="H373" s="63">
        <f>E373+F373+G373</f>
        <v>20000</v>
      </c>
      <c r="I373" s="63"/>
      <c r="J373" s="63"/>
      <c r="K373" s="63">
        <f>H373+I373+J373</f>
        <v>20000</v>
      </c>
      <c r="L373" s="63">
        <v>10000</v>
      </c>
      <c r="M373" s="63"/>
      <c r="N373" s="63">
        <f>K373+L373+M373</f>
        <v>30000</v>
      </c>
    </row>
    <row r="374" spans="1:14" ht="12.75">
      <c r="A374" s="2" t="s">
        <v>72</v>
      </c>
      <c r="B374" s="23">
        <f>B376+B377</f>
        <v>514692</v>
      </c>
      <c r="C374" s="23">
        <f>C376+C377</f>
        <v>16497.799999999996</v>
      </c>
      <c r="D374" s="23">
        <f>D376+D377</f>
        <v>164408.69999999998</v>
      </c>
      <c r="E374" s="23">
        <f>B374+C374+D374</f>
        <v>695598.5</v>
      </c>
      <c r="F374" s="23">
        <f>F376+F377</f>
        <v>34384.4</v>
      </c>
      <c r="G374" s="23">
        <f>G376+G377</f>
        <v>3102.8999999999996</v>
      </c>
      <c r="H374" s="23">
        <f>E374+F374+G374</f>
        <v>733085.8</v>
      </c>
      <c r="I374" s="23">
        <f aca="true" t="shared" si="106" ref="I374:N374">I376+I377</f>
        <v>41756</v>
      </c>
      <c r="J374" s="23">
        <f t="shared" si="106"/>
        <v>45586</v>
      </c>
      <c r="K374" s="23">
        <f t="shared" si="106"/>
        <v>820427.8</v>
      </c>
      <c r="L374" s="23">
        <f t="shared" si="106"/>
        <v>48736.8</v>
      </c>
      <c r="M374" s="23">
        <f t="shared" si="106"/>
        <v>0</v>
      </c>
      <c r="N374" s="23">
        <f t="shared" si="106"/>
        <v>869164.6</v>
      </c>
    </row>
    <row r="375" spans="1:14" ht="12.75">
      <c r="A375" s="60" t="s">
        <v>1</v>
      </c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</row>
    <row r="376" spans="1:14" ht="12.75">
      <c r="A376" s="2" t="s">
        <v>34</v>
      </c>
      <c r="B376" s="23">
        <f>B391+B407+B412+B403+B394</f>
        <v>17020</v>
      </c>
      <c r="C376" s="23">
        <f>C391+C407+C412+C403+C394+C402</f>
        <v>6963.9</v>
      </c>
      <c r="D376" s="23">
        <f>D391+D407+D412+D403+D394</f>
        <v>3009.5</v>
      </c>
      <c r="E376" s="23">
        <f>B376+C376+D376</f>
        <v>26993.4</v>
      </c>
      <c r="F376" s="23">
        <f>F391+F407+F412+F403+F394+F402+F400</f>
        <v>8623</v>
      </c>
      <c r="G376" s="23">
        <f>G391+G407+G412+G403+G394+G401</f>
        <v>-3080</v>
      </c>
      <c r="H376" s="23">
        <f>E376+F376+G376</f>
        <v>32536.4</v>
      </c>
      <c r="I376" s="23">
        <f>I391+I407+I412+I403+I394+I402+I400</f>
        <v>16999.6</v>
      </c>
      <c r="J376" s="23">
        <f>J391+J407+J412+J403+J394+J400+J402</f>
        <v>14458</v>
      </c>
      <c r="K376" s="23">
        <f>K391+K407+K412+K403+K394+K400+K402</f>
        <v>63994</v>
      </c>
      <c r="L376" s="23">
        <f>L391+L407+L412+L403+L394+L400+L402</f>
        <v>8364.599999999999</v>
      </c>
      <c r="M376" s="23">
        <f>M391+M407+M412+M403+M394+M400+M402</f>
        <v>0</v>
      </c>
      <c r="N376" s="23">
        <f>N391+N407+N412+N403+N394+N400+N402</f>
        <v>72358.59999999999</v>
      </c>
    </row>
    <row r="377" spans="1:14" ht="12.75">
      <c r="A377" s="2" t="s">
        <v>35</v>
      </c>
      <c r="B377" s="23">
        <f aca="true" t="shared" si="107" ref="B377:H377">B379+B382+B385+B389+B390+B392+B397+B405+B410-B376+B415</f>
        <v>497672</v>
      </c>
      <c r="C377" s="23">
        <f t="shared" si="107"/>
        <v>9533.899999999996</v>
      </c>
      <c r="D377" s="23">
        <f t="shared" si="107"/>
        <v>161399.19999999998</v>
      </c>
      <c r="E377" s="23">
        <f t="shared" si="107"/>
        <v>668605.1</v>
      </c>
      <c r="F377" s="23">
        <f t="shared" si="107"/>
        <v>25761.4</v>
      </c>
      <c r="G377" s="23">
        <f t="shared" si="107"/>
        <v>6182.9</v>
      </c>
      <c r="H377" s="23">
        <f t="shared" si="107"/>
        <v>700549.4</v>
      </c>
      <c r="I377" s="23">
        <f aca="true" t="shared" si="108" ref="I377:N377">I380+I381+I383+I384+I386+I387+I388+I389+I393+I395+I396+I398+I399+I401+I404+I406+I408+I409+I411+I413+I414+I415</f>
        <v>24756.399999999998</v>
      </c>
      <c r="J377" s="23">
        <f t="shared" si="108"/>
        <v>31128</v>
      </c>
      <c r="K377" s="23">
        <f t="shared" si="108"/>
        <v>756433.8</v>
      </c>
      <c r="L377" s="23">
        <f t="shared" si="108"/>
        <v>40372.200000000004</v>
      </c>
      <c r="M377" s="23">
        <f t="shared" si="108"/>
        <v>0</v>
      </c>
      <c r="N377" s="23">
        <f t="shared" si="108"/>
        <v>796806</v>
      </c>
    </row>
    <row r="378" spans="1:14" ht="12.75">
      <c r="A378" s="9" t="s">
        <v>43</v>
      </c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</row>
    <row r="379" spans="1:14" ht="12.75">
      <c r="A379" s="60" t="s">
        <v>119</v>
      </c>
      <c r="B379" s="61">
        <f>B380+B381</f>
        <v>2000</v>
      </c>
      <c r="C379" s="61">
        <f>C380+C381</f>
        <v>0</v>
      </c>
      <c r="D379" s="61">
        <f>D380+D381</f>
        <v>233.5</v>
      </c>
      <c r="E379" s="61">
        <f aca="true" t="shared" si="109" ref="E379:E415">B379+C379+D379</f>
        <v>2233.5</v>
      </c>
      <c r="F379" s="61">
        <f>F380</f>
        <v>0</v>
      </c>
      <c r="G379" s="23"/>
      <c r="H379" s="61">
        <f>E379+F379</f>
        <v>2233.5</v>
      </c>
      <c r="I379" s="61">
        <f>I380</f>
        <v>0</v>
      </c>
      <c r="J379" s="23"/>
      <c r="K379" s="61">
        <f>K380+K381</f>
        <v>2233.5</v>
      </c>
      <c r="L379" s="61">
        <f>L380+L381</f>
        <v>-2000</v>
      </c>
      <c r="M379" s="61">
        <f>M380+M381</f>
        <v>0</v>
      </c>
      <c r="N379" s="61">
        <f>N380+N381</f>
        <v>233.5</v>
      </c>
    </row>
    <row r="380" spans="1:14" ht="12.75">
      <c r="A380" s="60" t="s">
        <v>91</v>
      </c>
      <c r="B380" s="61">
        <v>2000</v>
      </c>
      <c r="C380" s="61"/>
      <c r="D380" s="23"/>
      <c r="E380" s="61">
        <f t="shared" si="109"/>
        <v>2000</v>
      </c>
      <c r="F380" s="61"/>
      <c r="G380" s="23"/>
      <c r="H380" s="61">
        <f>SUM(E380:G380)</f>
        <v>2000</v>
      </c>
      <c r="I380" s="61"/>
      <c r="J380" s="23"/>
      <c r="K380" s="61">
        <f aca="true" t="shared" si="110" ref="K380:K415">H380+I380+J380</f>
        <v>2000</v>
      </c>
      <c r="L380" s="61">
        <v>-2000</v>
      </c>
      <c r="M380" s="23"/>
      <c r="N380" s="61">
        <f aca="true" t="shared" si="111" ref="N380:N415">K380+L380+M380</f>
        <v>0</v>
      </c>
    </row>
    <row r="381" spans="1:14" ht="12.75">
      <c r="A381" s="60" t="s">
        <v>88</v>
      </c>
      <c r="B381" s="61"/>
      <c r="C381" s="61"/>
      <c r="D381" s="61">
        <v>233.5</v>
      </c>
      <c r="E381" s="61">
        <f t="shared" si="109"/>
        <v>233.5</v>
      </c>
      <c r="F381" s="61"/>
      <c r="G381" s="23"/>
      <c r="H381" s="61">
        <f>SUM(E381:G381)</f>
        <v>233.5</v>
      </c>
      <c r="I381" s="61"/>
      <c r="J381" s="23"/>
      <c r="K381" s="61">
        <f t="shared" si="110"/>
        <v>233.5</v>
      </c>
      <c r="L381" s="61"/>
      <c r="M381" s="23"/>
      <c r="N381" s="61">
        <f t="shared" si="111"/>
        <v>233.5</v>
      </c>
    </row>
    <row r="382" spans="1:14" ht="12.75">
      <c r="A382" s="60" t="s">
        <v>92</v>
      </c>
      <c r="B382" s="61">
        <f>B383+B384</f>
        <v>18642</v>
      </c>
      <c r="C382" s="61">
        <f>C383+C384</f>
        <v>0</v>
      </c>
      <c r="D382" s="61">
        <f>D383+D384</f>
        <v>6806.6</v>
      </c>
      <c r="E382" s="61">
        <f t="shared" si="109"/>
        <v>25448.6</v>
      </c>
      <c r="F382" s="61">
        <f>F383+F384</f>
        <v>0</v>
      </c>
      <c r="G382" s="23"/>
      <c r="H382" s="61">
        <f>E382+F382</f>
        <v>25448.6</v>
      </c>
      <c r="I382" s="61">
        <f>I383+I384</f>
        <v>-3350</v>
      </c>
      <c r="J382" s="23"/>
      <c r="K382" s="61">
        <f>K383+K384</f>
        <v>22098.6</v>
      </c>
      <c r="L382" s="61">
        <f>L383+L384</f>
        <v>375</v>
      </c>
      <c r="M382" s="61">
        <f>M383+M384</f>
        <v>0</v>
      </c>
      <c r="N382" s="61">
        <f>N383+N384</f>
        <v>22473.6</v>
      </c>
    </row>
    <row r="383" spans="1:14" ht="12.75">
      <c r="A383" s="60" t="s">
        <v>91</v>
      </c>
      <c r="B383" s="61">
        <v>10445</v>
      </c>
      <c r="C383" s="61">
        <v>-230</v>
      </c>
      <c r="D383" s="61">
        <v>1700</v>
      </c>
      <c r="E383" s="61">
        <f t="shared" si="109"/>
        <v>11915</v>
      </c>
      <c r="F383" s="61"/>
      <c r="G383" s="23"/>
      <c r="H383" s="61">
        <f>SUM(E383:G383)</f>
        <v>11915</v>
      </c>
      <c r="I383" s="61">
        <f>200+1050</f>
        <v>1250</v>
      </c>
      <c r="J383" s="23"/>
      <c r="K383" s="61">
        <f t="shared" si="110"/>
        <v>13165</v>
      </c>
      <c r="L383" s="61">
        <v>886</v>
      </c>
      <c r="M383" s="23"/>
      <c r="N383" s="61">
        <f t="shared" si="111"/>
        <v>14051</v>
      </c>
    </row>
    <row r="384" spans="1:14" ht="12.75">
      <c r="A384" s="60" t="s">
        <v>88</v>
      </c>
      <c r="B384" s="61">
        <v>8197</v>
      </c>
      <c r="C384" s="61">
        <v>230</v>
      </c>
      <c r="D384" s="61">
        <v>5106.6</v>
      </c>
      <c r="E384" s="61">
        <f t="shared" si="109"/>
        <v>13533.6</v>
      </c>
      <c r="F384" s="61"/>
      <c r="G384" s="23"/>
      <c r="H384" s="61">
        <f>SUM(E384:G384)</f>
        <v>13533.6</v>
      </c>
      <c r="I384" s="61">
        <f>-4600</f>
        <v>-4600</v>
      </c>
      <c r="J384" s="23"/>
      <c r="K384" s="61">
        <f t="shared" si="110"/>
        <v>8933.6</v>
      </c>
      <c r="L384" s="61">
        <v>-511</v>
      </c>
      <c r="M384" s="23"/>
      <c r="N384" s="61">
        <f t="shared" si="111"/>
        <v>8422.6</v>
      </c>
    </row>
    <row r="385" spans="1:14" ht="12.75">
      <c r="A385" s="60" t="s">
        <v>44</v>
      </c>
      <c r="B385" s="61">
        <f>SUM(B386:B387)</f>
        <v>120000</v>
      </c>
      <c r="C385" s="61">
        <f>SUM(C386:C388)</f>
        <v>0</v>
      </c>
      <c r="D385" s="61">
        <f>SUM(D386:D388)</f>
        <v>52378.5</v>
      </c>
      <c r="E385" s="61">
        <f t="shared" si="109"/>
        <v>172378.5</v>
      </c>
      <c r="F385" s="61">
        <f>SUM(F386:F388)</f>
        <v>0</v>
      </c>
      <c r="G385" s="61">
        <f>SUM(G386:G388)</f>
        <v>0</v>
      </c>
      <c r="H385" s="61">
        <f>E385+F385+G385</f>
        <v>172378.5</v>
      </c>
      <c r="I385" s="61">
        <f>SUM(I386:I387)</f>
        <v>10000</v>
      </c>
      <c r="J385" s="61">
        <f>J386+J387+J388</f>
        <v>0</v>
      </c>
      <c r="K385" s="61">
        <f>K386+K387+K388</f>
        <v>182378.5</v>
      </c>
      <c r="L385" s="61">
        <f>L386+L387+L388</f>
        <v>49905.700000000004</v>
      </c>
      <c r="M385" s="61">
        <f>M386+M387+M388</f>
        <v>0</v>
      </c>
      <c r="N385" s="61">
        <f>N386+N387+N388</f>
        <v>232284.2</v>
      </c>
    </row>
    <row r="386" spans="1:14" ht="12.75">
      <c r="A386" s="60" t="s">
        <v>133</v>
      </c>
      <c r="B386" s="61">
        <v>87900</v>
      </c>
      <c r="C386" s="61">
        <v>-29695.3</v>
      </c>
      <c r="D386" s="61"/>
      <c r="E386" s="61">
        <f t="shared" si="109"/>
        <v>58204.7</v>
      </c>
      <c r="F386" s="61"/>
      <c r="G386" s="61">
        <v>8000</v>
      </c>
      <c r="H386" s="61">
        <f>SUM(E386:G386)</f>
        <v>66204.7</v>
      </c>
      <c r="I386" s="61">
        <v>-94.2</v>
      </c>
      <c r="J386" s="61">
        <v>-3560.5</v>
      </c>
      <c r="K386" s="61">
        <f t="shared" si="110"/>
        <v>62550</v>
      </c>
      <c r="L386" s="61">
        <v>3300</v>
      </c>
      <c r="M386" s="61"/>
      <c r="N386" s="61">
        <f t="shared" si="111"/>
        <v>65850</v>
      </c>
    </row>
    <row r="387" spans="1:14" ht="12.75">
      <c r="A387" s="60" t="s">
        <v>164</v>
      </c>
      <c r="B387" s="61">
        <v>32100</v>
      </c>
      <c r="C387" s="61">
        <v>29695.3</v>
      </c>
      <c r="D387" s="61"/>
      <c r="E387" s="61">
        <f t="shared" si="109"/>
        <v>61795.3</v>
      </c>
      <c r="F387" s="61">
        <v>49626.9</v>
      </c>
      <c r="G387" s="61">
        <v>-7268.3</v>
      </c>
      <c r="H387" s="61">
        <f>SUM(E387:G387)</f>
        <v>104153.90000000001</v>
      </c>
      <c r="I387" s="61">
        <f>94.2+10000</f>
        <v>10094.2</v>
      </c>
      <c r="J387" s="61">
        <v>3862.2</v>
      </c>
      <c r="K387" s="61">
        <f t="shared" si="110"/>
        <v>118110.3</v>
      </c>
      <c r="L387" s="61">
        <f>3300-1581.8+1317.2</f>
        <v>3035.4</v>
      </c>
      <c r="M387" s="61"/>
      <c r="N387" s="61">
        <f t="shared" si="111"/>
        <v>121145.7</v>
      </c>
    </row>
    <row r="388" spans="1:14" ht="12.75">
      <c r="A388" s="60" t="s">
        <v>88</v>
      </c>
      <c r="B388" s="61"/>
      <c r="C388" s="61"/>
      <c r="D388" s="61">
        <f>50000+2378.5</f>
        <v>52378.5</v>
      </c>
      <c r="E388" s="61">
        <f t="shared" si="109"/>
        <v>52378.5</v>
      </c>
      <c r="F388" s="61">
        <v>-49626.9</v>
      </c>
      <c r="G388" s="61">
        <v>-731.7</v>
      </c>
      <c r="H388" s="61">
        <f>SUM(E388:G388)</f>
        <v>2019.8999999999985</v>
      </c>
      <c r="I388" s="61"/>
      <c r="J388" s="61">
        <v>-301.7</v>
      </c>
      <c r="K388" s="61">
        <f t="shared" si="110"/>
        <v>1718.1999999999985</v>
      </c>
      <c r="L388" s="61">
        <f>46605.7-1718.2-1317.2</f>
        <v>43570.3</v>
      </c>
      <c r="M388" s="61"/>
      <c r="N388" s="61">
        <f t="shared" si="111"/>
        <v>45288.5</v>
      </c>
    </row>
    <row r="389" spans="1:14" ht="12.75">
      <c r="A389" s="60" t="s">
        <v>67</v>
      </c>
      <c r="B389" s="61">
        <v>300</v>
      </c>
      <c r="C389" s="61"/>
      <c r="D389" s="61"/>
      <c r="E389" s="61">
        <f t="shared" si="109"/>
        <v>300</v>
      </c>
      <c r="F389" s="61"/>
      <c r="G389" s="61"/>
      <c r="H389" s="61">
        <f>SUM(E389:G389)</f>
        <v>300</v>
      </c>
      <c r="I389" s="61"/>
      <c r="J389" s="61"/>
      <c r="K389" s="61">
        <f t="shared" si="110"/>
        <v>300</v>
      </c>
      <c r="L389" s="61"/>
      <c r="M389" s="61"/>
      <c r="N389" s="61">
        <f t="shared" si="111"/>
        <v>300</v>
      </c>
    </row>
    <row r="390" spans="1:14" ht="12.75">
      <c r="A390" s="60" t="s">
        <v>90</v>
      </c>
      <c r="B390" s="61">
        <f>B391</f>
        <v>750</v>
      </c>
      <c r="C390" s="61">
        <f>C391</f>
        <v>0</v>
      </c>
      <c r="D390" s="61">
        <v>9.5</v>
      </c>
      <c r="E390" s="61">
        <f t="shared" si="109"/>
        <v>759.5</v>
      </c>
      <c r="F390" s="61">
        <f>F391</f>
        <v>0</v>
      </c>
      <c r="G390" s="61"/>
      <c r="H390" s="61">
        <f>E390+F390+G390</f>
        <v>759.5</v>
      </c>
      <c r="I390" s="61"/>
      <c r="J390" s="61"/>
      <c r="K390" s="61">
        <f>K391</f>
        <v>759.5</v>
      </c>
      <c r="L390" s="61">
        <f>L391</f>
        <v>0</v>
      </c>
      <c r="M390" s="61">
        <f>M391</f>
        <v>0</v>
      </c>
      <c r="N390" s="61">
        <f>N391</f>
        <v>759.5</v>
      </c>
    </row>
    <row r="391" spans="1:14" ht="12.75">
      <c r="A391" s="60" t="s">
        <v>89</v>
      </c>
      <c r="B391" s="61">
        <v>750</v>
      </c>
      <c r="C391" s="61"/>
      <c r="D391" s="61">
        <v>9.5</v>
      </c>
      <c r="E391" s="61">
        <f t="shared" si="109"/>
        <v>759.5</v>
      </c>
      <c r="F391" s="61"/>
      <c r="G391" s="61"/>
      <c r="H391" s="61">
        <f aca="true" t="shared" si="112" ref="H391:H416">SUM(E391:G391)</f>
        <v>759.5</v>
      </c>
      <c r="I391" s="61"/>
      <c r="J391" s="61"/>
      <c r="K391" s="61">
        <f t="shared" si="110"/>
        <v>759.5</v>
      </c>
      <c r="L391" s="61"/>
      <c r="M391" s="61"/>
      <c r="N391" s="61">
        <f t="shared" si="111"/>
        <v>759.5</v>
      </c>
    </row>
    <row r="392" spans="1:14" ht="12.75">
      <c r="A392" s="60" t="s">
        <v>45</v>
      </c>
      <c r="B392" s="61">
        <f>SUM(B393:B396)</f>
        <v>48000</v>
      </c>
      <c r="C392" s="61">
        <f>SUM(C393:C396)</f>
        <v>0</v>
      </c>
      <c r="D392" s="61">
        <f>SUM(D393:D396)</f>
        <v>34450.2</v>
      </c>
      <c r="E392" s="61">
        <f t="shared" si="109"/>
        <v>82450.2</v>
      </c>
      <c r="F392" s="61">
        <f>SUM(F393:F396)</f>
        <v>16664.4</v>
      </c>
      <c r="G392" s="61">
        <f>SUM(G393:G396)</f>
        <v>2230.5</v>
      </c>
      <c r="H392" s="61">
        <f t="shared" si="112"/>
        <v>101345.1</v>
      </c>
      <c r="I392" s="61">
        <f>SUM(I393:I396)</f>
        <v>25806</v>
      </c>
      <c r="J392" s="61">
        <f>SUM(J393:J396)</f>
        <v>19465.3</v>
      </c>
      <c r="K392" s="61">
        <f>K393+K394+K395+K396</f>
        <v>146616.4</v>
      </c>
      <c r="L392" s="61">
        <f>L393+L394+L395+L396</f>
        <v>-700</v>
      </c>
      <c r="M392" s="61">
        <f>M393+M394+M395+M396</f>
        <v>0</v>
      </c>
      <c r="N392" s="61">
        <f>N393+N394+N395+N396</f>
        <v>145916.40000000002</v>
      </c>
    </row>
    <row r="393" spans="1:14" ht="12.75">
      <c r="A393" s="60" t="s">
        <v>134</v>
      </c>
      <c r="B393" s="61">
        <v>42500</v>
      </c>
      <c r="C393" s="61">
        <v>1010</v>
      </c>
      <c r="D393" s="61">
        <f>7747+3990</f>
        <v>11737</v>
      </c>
      <c r="E393" s="61">
        <f t="shared" si="109"/>
        <v>55247</v>
      </c>
      <c r="F393" s="61">
        <f>8500+11106+6000</f>
        <v>25606</v>
      </c>
      <c r="G393" s="61"/>
      <c r="H393" s="61">
        <f t="shared" si="112"/>
        <v>80853</v>
      </c>
      <c r="I393" s="61">
        <f>2650+3115+40+4530+11600</f>
        <v>21935</v>
      </c>
      <c r="J393" s="61">
        <f>-651+6405+2400</f>
        <v>8154</v>
      </c>
      <c r="K393" s="61">
        <f t="shared" si="110"/>
        <v>110942</v>
      </c>
      <c r="L393" s="61">
        <f>1350-315</f>
        <v>1035</v>
      </c>
      <c r="M393" s="61"/>
      <c r="N393" s="61">
        <f t="shared" si="111"/>
        <v>111977</v>
      </c>
    </row>
    <row r="394" spans="1:14" ht="12.75">
      <c r="A394" s="60" t="s">
        <v>168</v>
      </c>
      <c r="B394" s="61"/>
      <c r="C394" s="61"/>
      <c r="D394" s="61">
        <v>3000</v>
      </c>
      <c r="E394" s="61">
        <f t="shared" si="109"/>
        <v>3000</v>
      </c>
      <c r="F394" s="61">
        <f>3350+490</f>
        <v>3840</v>
      </c>
      <c r="G394" s="61"/>
      <c r="H394" s="61">
        <f t="shared" si="112"/>
        <v>6840</v>
      </c>
      <c r="I394" s="61">
        <f>3430+480+473+776+8400+500</f>
        <v>14059</v>
      </c>
      <c r="J394" s="61">
        <f>823+5370+4000</f>
        <v>10193</v>
      </c>
      <c r="K394" s="61">
        <f t="shared" si="110"/>
        <v>31092</v>
      </c>
      <c r="L394" s="61">
        <f>-785.6+353.8</f>
        <v>-431.8</v>
      </c>
      <c r="M394" s="61"/>
      <c r="N394" s="61">
        <f t="shared" si="111"/>
        <v>30660.2</v>
      </c>
    </row>
    <row r="395" spans="1:14" ht="12.75">
      <c r="A395" s="60" t="s">
        <v>69</v>
      </c>
      <c r="B395" s="61">
        <v>500</v>
      </c>
      <c r="C395" s="61"/>
      <c r="D395" s="61">
        <v>2775</v>
      </c>
      <c r="E395" s="61">
        <f t="shared" si="109"/>
        <v>3275</v>
      </c>
      <c r="F395" s="61"/>
      <c r="G395" s="61"/>
      <c r="H395" s="61">
        <f t="shared" si="112"/>
        <v>3275</v>
      </c>
      <c r="I395" s="61"/>
      <c r="J395" s="61"/>
      <c r="K395" s="61">
        <f t="shared" si="110"/>
        <v>3275</v>
      </c>
      <c r="L395" s="61"/>
      <c r="M395" s="61"/>
      <c r="N395" s="61">
        <f t="shared" si="111"/>
        <v>3275</v>
      </c>
    </row>
    <row r="396" spans="1:14" ht="12.75">
      <c r="A396" s="60" t="s">
        <v>84</v>
      </c>
      <c r="B396" s="61">
        <v>5000</v>
      </c>
      <c r="C396" s="61">
        <v>-1010</v>
      </c>
      <c r="D396" s="61">
        <f>20000+928.2-3990</f>
        <v>16938.2</v>
      </c>
      <c r="E396" s="61">
        <f t="shared" si="109"/>
        <v>20928.2</v>
      </c>
      <c r="F396" s="61">
        <f>4814.4-11596-6000</f>
        <v>-12781.6</v>
      </c>
      <c r="G396" s="61">
        <v>2230.5</v>
      </c>
      <c r="H396" s="61">
        <f t="shared" si="112"/>
        <v>10377.1</v>
      </c>
      <c r="I396" s="61">
        <f>-6080-3595-513</f>
        <v>-10188</v>
      </c>
      <c r="J396" s="61">
        <f>-172+1290.3</f>
        <v>1118.3</v>
      </c>
      <c r="K396" s="61">
        <f t="shared" si="110"/>
        <v>1307.4000000000003</v>
      </c>
      <c r="L396" s="61">
        <f>-1264.4-38.8</f>
        <v>-1303.2</v>
      </c>
      <c r="M396" s="61"/>
      <c r="N396" s="61">
        <f t="shared" si="111"/>
        <v>4.200000000000273</v>
      </c>
    </row>
    <row r="397" spans="1:14" ht="12.75">
      <c r="A397" s="60" t="s">
        <v>46</v>
      </c>
      <c r="B397" s="61">
        <f>SUM(B398:B404)</f>
        <v>200000</v>
      </c>
      <c r="C397" s="61">
        <f>SUM(C398:C404)</f>
        <v>9360.399999999996</v>
      </c>
      <c r="D397" s="61">
        <f>SUM(D398:D404)</f>
        <v>55390.4</v>
      </c>
      <c r="E397" s="61">
        <f t="shared" si="109"/>
        <v>264750.8</v>
      </c>
      <c r="F397" s="61">
        <f>SUM(F398:F404)</f>
        <v>17720</v>
      </c>
      <c r="G397" s="61">
        <f>SUM(G398:G404)</f>
        <v>0</v>
      </c>
      <c r="H397" s="61">
        <f t="shared" si="112"/>
        <v>282470.8</v>
      </c>
      <c r="I397" s="61">
        <f>SUM(I398:I404)</f>
        <v>10000</v>
      </c>
      <c r="J397" s="61">
        <f>SUM(J398:J404)</f>
        <v>23295.700000000004</v>
      </c>
      <c r="K397" s="61">
        <f>K398+K399+K400+K401+K402+K403+K404</f>
        <v>315766.5</v>
      </c>
      <c r="L397" s="61">
        <f>L398+L399+L400+L401+L402+L403+L404</f>
        <v>0</v>
      </c>
      <c r="M397" s="61">
        <f>M398+M399+M400+M401+M402+M403+M404</f>
        <v>0</v>
      </c>
      <c r="N397" s="61">
        <f>N398+N399+N400+N401+N402+N403+N404</f>
        <v>315766.5</v>
      </c>
    </row>
    <row r="398" spans="1:14" ht="12.75">
      <c r="A398" s="60" t="s">
        <v>85</v>
      </c>
      <c r="B398" s="61">
        <v>189690</v>
      </c>
      <c r="C398" s="61">
        <f>2449.6-23740+67</f>
        <v>-21223.4</v>
      </c>
      <c r="D398" s="61"/>
      <c r="E398" s="61">
        <f t="shared" si="109"/>
        <v>168466.6</v>
      </c>
      <c r="F398" s="61">
        <f>-6733.7-8066.6-3716-1816</f>
        <v>-20332.3</v>
      </c>
      <c r="G398" s="61">
        <v>40093</v>
      </c>
      <c r="H398" s="61">
        <f t="shared" si="112"/>
        <v>188227.30000000002</v>
      </c>
      <c r="I398" s="61">
        <f>-2325.8+1405.4-4520</f>
        <v>-5440.4</v>
      </c>
      <c r="J398" s="61">
        <f>-27258.6+450+750</f>
        <v>-26058.6</v>
      </c>
      <c r="K398" s="61">
        <f t="shared" si="110"/>
        <v>156728.30000000002</v>
      </c>
      <c r="L398" s="61">
        <f>15586.9+546.8-59-7727.8</f>
        <v>8346.899999999998</v>
      </c>
      <c r="M398" s="61"/>
      <c r="N398" s="61">
        <f t="shared" si="111"/>
        <v>165075.2</v>
      </c>
    </row>
    <row r="399" spans="1:14" ht="12.75">
      <c r="A399" s="60" t="s">
        <v>135</v>
      </c>
      <c r="B399" s="61">
        <v>0</v>
      </c>
      <c r="C399" s="61">
        <f>4007.1+23740</f>
        <v>27747.1</v>
      </c>
      <c r="D399" s="61"/>
      <c r="E399" s="61">
        <f t="shared" si="109"/>
        <v>27747.1</v>
      </c>
      <c r="F399" s="61">
        <f>5000+1221.8+4589</f>
        <v>10810.8</v>
      </c>
      <c r="G399" s="61">
        <v>27707</v>
      </c>
      <c r="H399" s="61">
        <f t="shared" si="112"/>
        <v>66264.9</v>
      </c>
      <c r="I399" s="61">
        <f>3971-4285+4711</f>
        <v>4397</v>
      </c>
      <c r="J399" s="61">
        <f>22996.4+3400+10000</f>
        <v>36396.4</v>
      </c>
      <c r="K399" s="61">
        <f t="shared" si="110"/>
        <v>107058.29999999999</v>
      </c>
      <c r="L399" s="61">
        <f>-1148.6-145+1116.7</f>
        <v>-176.89999999999986</v>
      </c>
      <c r="M399" s="61"/>
      <c r="N399" s="61">
        <f t="shared" si="111"/>
        <v>106881.4</v>
      </c>
    </row>
    <row r="400" spans="1:14" ht="12.75">
      <c r="A400" s="60" t="s">
        <v>189</v>
      </c>
      <c r="B400" s="61"/>
      <c r="C400" s="61"/>
      <c r="D400" s="61"/>
      <c r="E400" s="61">
        <f t="shared" si="109"/>
        <v>0</v>
      </c>
      <c r="F400" s="61">
        <v>1857</v>
      </c>
      <c r="G400" s="61"/>
      <c r="H400" s="61">
        <f t="shared" si="112"/>
        <v>1857</v>
      </c>
      <c r="I400" s="61">
        <f>1785-468</f>
        <v>1317</v>
      </c>
      <c r="J400" s="61">
        <v>5590</v>
      </c>
      <c r="K400" s="61">
        <f t="shared" si="110"/>
        <v>8764</v>
      </c>
      <c r="L400" s="61">
        <f>1556.1+5585.3</f>
        <v>7141.4</v>
      </c>
      <c r="M400" s="61"/>
      <c r="N400" s="61">
        <f t="shared" si="111"/>
        <v>15905.4</v>
      </c>
    </row>
    <row r="401" spans="1:14" ht="12.75">
      <c r="A401" s="60" t="s">
        <v>136</v>
      </c>
      <c r="B401" s="61"/>
      <c r="C401" s="61"/>
      <c r="D401" s="61"/>
      <c r="E401" s="61">
        <f t="shared" si="109"/>
        <v>0</v>
      </c>
      <c r="F401" s="61">
        <f>4943.7+5000+900</f>
        <v>10843.7</v>
      </c>
      <c r="G401" s="61"/>
      <c r="H401" s="61">
        <f t="shared" si="112"/>
        <v>10843.7</v>
      </c>
      <c r="I401" s="61">
        <v>1298</v>
      </c>
      <c r="J401" s="61">
        <v>1261</v>
      </c>
      <c r="K401" s="61">
        <f t="shared" si="110"/>
        <v>13402.7</v>
      </c>
      <c r="L401" s="61">
        <v>181</v>
      </c>
      <c r="M401" s="61"/>
      <c r="N401" s="61">
        <f t="shared" si="111"/>
        <v>13583.7</v>
      </c>
    </row>
    <row r="402" spans="1:14" ht="12.75">
      <c r="A402" s="60" t="s">
        <v>165</v>
      </c>
      <c r="B402" s="61"/>
      <c r="C402" s="61"/>
      <c r="D402" s="61"/>
      <c r="E402" s="61">
        <f t="shared" si="109"/>
        <v>0</v>
      </c>
      <c r="F402" s="61"/>
      <c r="G402" s="61"/>
      <c r="H402" s="61">
        <f t="shared" si="112"/>
        <v>0</v>
      </c>
      <c r="I402" s="62">
        <v>22</v>
      </c>
      <c r="J402" s="61"/>
      <c r="K402" s="61">
        <f t="shared" si="110"/>
        <v>22</v>
      </c>
      <c r="L402" s="61">
        <v>1000</v>
      </c>
      <c r="M402" s="61"/>
      <c r="N402" s="61">
        <f t="shared" si="111"/>
        <v>1022</v>
      </c>
    </row>
    <row r="403" spans="1:14" ht="12.75">
      <c r="A403" s="60" t="s">
        <v>77</v>
      </c>
      <c r="B403" s="61">
        <v>9640</v>
      </c>
      <c r="C403" s="61">
        <f>2903.7+110.2</f>
        <v>3013.8999999999996</v>
      </c>
      <c r="D403" s="61"/>
      <c r="E403" s="61">
        <f t="shared" si="109"/>
        <v>12653.9</v>
      </c>
      <c r="F403" s="61">
        <f>-3210+150+5000+916</f>
        <v>2856</v>
      </c>
      <c r="G403" s="61">
        <v>-3430</v>
      </c>
      <c r="H403" s="61">
        <f t="shared" si="112"/>
        <v>12079.9</v>
      </c>
      <c r="I403" s="61">
        <f>1324.6+277</f>
        <v>1601.6</v>
      </c>
      <c r="J403" s="61">
        <v>-1325</v>
      </c>
      <c r="K403" s="61">
        <f t="shared" si="110"/>
        <v>12356.5</v>
      </c>
      <c r="L403" s="61">
        <f>440.3-401.8+59+844.8</f>
        <v>942.3</v>
      </c>
      <c r="M403" s="61"/>
      <c r="N403" s="61">
        <f t="shared" si="111"/>
        <v>13298.8</v>
      </c>
    </row>
    <row r="404" spans="1:14" ht="12.75">
      <c r="A404" s="60" t="s">
        <v>84</v>
      </c>
      <c r="B404" s="61">
        <v>670</v>
      </c>
      <c r="C404" s="61">
        <f>-110.2-67</f>
        <v>-177.2</v>
      </c>
      <c r="D404" s="61">
        <f>54581+809.4</f>
        <v>55390.4</v>
      </c>
      <c r="E404" s="61">
        <f t="shared" si="109"/>
        <v>55883.200000000004</v>
      </c>
      <c r="F404" s="61">
        <f>17720-162.2-5873</f>
        <v>11684.8</v>
      </c>
      <c r="G404" s="61">
        <v>-64370</v>
      </c>
      <c r="H404" s="61">
        <f t="shared" si="112"/>
        <v>3198</v>
      </c>
      <c r="I404" s="61">
        <f>-2965.2-230+10000</f>
        <v>6804.8</v>
      </c>
      <c r="J404" s="61">
        <f>7434.7-2.8</f>
        <v>7431.9</v>
      </c>
      <c r="K404" s="61">
        <f t="shared" si="110"/>
        <v>17434.699999999997</v>
      </c>
      <c r="L404" s="61">
        <v>-17434.7</v>
      </c>
      <c r="M404" s="61"/>
      <c r="N404" s="61">
        <f t="shared" si="111"/>
        <v>-3.637978807091713E-12</v>
      </c>
    </row>
    <row r="405" spans="1:14" ht="12.75">
      <c r="A405" s="60" t="s">
        <v>39</v>
      </c>
      <c r="B405" s="61">
        <f>SUM(B406:B409)</f>
        <v>10000</v>
      </c>
      <c r="C405" s="61">
        <f>SUM(C406:C409)</f>
        <v>0</v>
      </c>
      <c r="D405" s="61">
        <f>SUM(D406:D409)</f>
        <v>1329.8</v>
      </c>
      <c r="E405" s="61">
        <f t="shared" si="109"/>
        <v>11329.8</v>
      </c>
      <c r="F405" s="61">
        <f>SUM(F406:F409)</f>
        <v>0</v>
      </c>
      <c r="G405" s="61"/>
      <c r="H405" s="61">
        <f t="shared" si="112"/>
        <v>11329.8</v>
      </c>
      <c r="I405" s="61">
        <f>SUM(I406:I409)</f>
        <v>0</v>
      </c>
      <c r="J405" s="61"/>
      <c r="K405" s="61">
        <f>K406+K407+K408+K409</f>
        <v>11329.8</v>
      </c>
      <c r="L405" s="61">
        <f>L406+L407+L408+L409</f>
        <v>1000</v>
      </c>
      <c r="M405" s="61">
        <f>M406+M407+M408+M409</f>
        <v>0</v>
      </c>
      <c r="N405" s="61">
        <f>N406+N407+N408+N409</f>
        <v>12329.8</v>
      </c>
    </row>
    <row r="406" spans="1:14" ht="12.75">
      <c r="A406" s="60" t="s">
        <v>134</v>
      </c>
      <c r="B406" s="61">
        <v>9380</v>
      </c>
      <c r="C406" s="61"/>
      <c r="D406" s="61"/>
      <c r="E406" s="61">
        <f t="shared" si="109"/>
        <v>9380</v>
      </c>
      <c r="F406" s="61">
        <v>810</v>
      </c>
      <c r="G406" s="61"/>
      <c r="H406" s="61">
        <f t="shared" si="112"/>
        <v>10190</v>
      </c>
      <c r="I406" s="61">
        <v>-1915</v>
      </c>
      <c r="J406" s="61"/>
      <c r="K406" s="61">
        <f t="shared" si="110"/>
        <v>8275</v>
      </c>
      <c r="L406" s="61">
        <f>333+80-100</f>
        <v>313</v>
      </c>
      <c r="M406" s="61"/>
      <c r="N406" s="61">
        <f t="shared" si="111"/>
        <v>8588</v>
      </c>
    </row>
    <row r="407" spans="1:14" ht="12.75">
      <c r="A407" s="60" t="s">
        <v>168</v>
      </c>
      <c r="B407" s="61">
        <v>330</v>
      </c>
      <c r="C407" s="61"/>
      <c r="D407" s="61"/>
      <c r="E407" s="61">
        <f t="shared" si="109"/>
        <v>330</v>
      </c>
      <c r="F407" s="61">
        <v>70</v>
      </c>
      <c r="G407" s="61"/>
      <c r="H407" s="61">
        <f t="shared" si="112"/>
        <v>400</v>
      </c>
      <c r="I407" s="61"/>
      <c r="J407" s="61"/>
      <c r="K407" s="61">
        <f t="shared" si="110"/>
        <v>400</v>
      </c>
      <c r="L407" s="61">
        <v>60</v>
      </c>
      <c r="M407" s="61"/>
      <c r="N407" s="61">
        <f t="shared" si="111"/>
        <v>460</v>
      </c>
    </row>
    <row r="408" spans="1:14" ht="12.75">
      <c r="A408" s="60" t="s">
        <v>69</v>
      </c>
      <c r="B408" s="61"/>
      <c r="C408" s="61"/>
      <c r="D408" s="61"/>
      <c r="E408" s="61"/>
      <c r="F408" s="61"/>
      <c r="G408" s="61"/>
      <c r="H408" s="61">
        <f t="shared" si="112"/>
        <v>0</v>
      </c>
      <c r="I408" s="61">
        <v>2000</v>
      </c>
      <c r="J408" s="61"/>
      <c r="K408" s="61">
        <f t="shared" si="110"/>
        <v>2000</v>
      </c>
      <c r="L408" s="61">
        <v>1000</v>
      </c>
      <c r="M408" s="61"/>
      <c r="N408" s="61">
        <f t="shared" si="111"/>
        <v>3000</v>
      </c>
    </row>
    <row r="409" spans="1:14" ht="12.75">
      <c r="A409" s="60" t="s">
        <v>84</v>
      </c>
      <c r="B409" s="61">
        <v>290</v>
      </c>
      <c r="C409" s="61"/>
      <c r="D409" s="61">
        <v>1329.8</v>
      </c>
      <c r="E409" s="61">
        <f t="shared" si="109"/>
        <v>1619.8</v>
      </c>
      <c r="F409" s="61">
        <v>-880</v>
      </c>
      <c r="G409" s="61"/>
      <c r="H409" s="61">
        <f t="shared" si="112"/>
        <v>739.8</v>
      </c>
      <c r="I409" s="61">
        <v>-85</v>
      </c>
      <c r="J409" s="61"/>
      <c r="K409" s="61">
        <f t="shared" si="110"/>
        <v>654.8</v>
      </c>
      <c r="L409" s="61">
        <f>-393-80+100</f>
        <v>-373</v>
      </c>
      <c r="M409" s="61"/>
      <c r="N409" s="61">
        <f t="shared" si="111"/>
        <v>281.79999999999995</v>
      </c>
    </row>
    <row r="410" spans="1:14" ht="12.75">
      <c r="A410" s="60" t="s">
        <v>37</v>
      </c>
      <c r="B410" s="61">
        <f>SUM(B411:B414)</f>
        <v>115000</v>
      </c>
      <c r="C410" s="61">
        <f>SUM(C411:C414)</f>
        <v>7137.4</v>
      </c>
      <c r="D410" s="61">
        <f>SUM(D411:D414)</f>
        <v>13810.2</v>
      </c>
      <c r="E410" s="61">
        <f t="shared" si="109"/>
        <v>135947.6</v>
      </c>
      <c r="F410" s="61">
        <f>SUM(F411:F414)</f>
        <v>0</v>
      </c>
      <c r="G410" s="61">
        <f>SUM(G411:G414)</f>
        <v>0</v>
      </c>
      <c r="H410" s="61">
        <f t="shared" si="112"/>
        <v>135947.6</v>
      </c>
      <c r="I410" s="61">
        <f>SUM(I411:I414)</f>
        <v>-200</v>
      </c>
      <c r="J410" s="61">
        <v>2825</v>
      </c>
      <c r="K410" s="61">
        <f>K411+K412+K413+K414</f>
        <v>138572.6</v>
      </c>
      <c r="L410" s="61">
        <f>L411+L412+L413+L414</f>
        <v>156.0999999999999</v>
      </c>
      <c r="M410" s="61">
        <f>M411+M412+M413+M414</f>
        <v>0</v>
      </c>
      <c r="N410" s="61">
        <f>N411+N412+N413+N414</f>
        <v>138728.7</v>
      </c>
    </row>
    <row r="411" spans="1:14" ht="12.75">
      <c r="A411" s="60" t="s">
        <v>134</v>
      </c>
      <c r="B411" s="61">
        <v>107270</v>
      </c>
      <c r="C411" s="61">
        <v>3187.4</v>
      </c>
      <c r="D411" s="61"/>
      <c r="E411" s="61">
        <f t="shared" si="109"/>
        <v>110457.4</v>
      </c>
      <c r="F411" s="61">
        <v>4890</v>
      </c>
      <c r="G411" s="61">
        <v>7050</v>
      </c>
      <c r="H411" s="61">
        <f t="shared" si="112"/>
        <v>122397.4</v>
      </c>
      <c r="I411" s="61">
        <v>1900</v>
      </c>
      <c r="J411" s="61">
        <v>2825</v>
      </c>
      <c r="K411" s="61">
        <f t="shared" si="110"/>
        <v>127122.4</v>
      </c>
      <c r="L411" s="61">
        <f>893.6+160</f>
        <v>1053.6</v>
      </c>
      <c r="M411" s="61"/>
      <c r="N411" s="61">
        <f t="shared" si="111"/>
        <v>128176</v>
      </c>
    </row>
    <row r="412" spans="1:14" ht="12.75">
      <c r="A412" s="60" t="s">
        <v>168</v>
      </c>
      <c r="B412" s="61">
        <v>6300</v>
      </c>
      <c r="C412" s="61">
        <v>3950</v>
      </c>
      <c r="D412" s="61"/>
      <c r="E412" s="61">
        <f t="shared" si="109"/>
        <v>10250</v>
      </c>
      <c r="F412" s="61"/>
      <c r="G412" s="61">
        <v>350</v>
      </c>
      <c r="H412" s="61">
        <f t="shared" si="112"/>
        <v>10600</v>
      </c>
      <c r="I412" s="61"/>
      <c r="J412" s="61"/>
      <c r="K412" s="61">
        <f t="shared" si="110"/>
        <v>10600</v>
      </c>
      <c r="L412" s="61">
        <f>-187.3-160</f>
        <v>-347.3</v>
      </c>
      <c r="M412" s="61"/>
      <c r="N412" s="61">
        <f t="shared" si="111"/>
        <v>10252.7</v>
      </c>
    </row>
    <row r="413" spans="1:14" ht="12.75">
      <c r="A413" s="60" t="s">
        <v>70</v>
      </c>
      <c r="B413" s="61"/>
      <c r="C413" s="61"/>
      <c r="D413" s="61"/>
      <c r="E413" s="61">
        <f t="shared" si="109"/>
        <v>0</v>
      </c>
      <c r="F413" s="61">
        <v>300</v>
      </c>
      <c r="G413" s="61"/>
      <c r="H413" s="61">
        <f t="shared" si="112"/>
        <v>300</v>
      </c>
      <c r="I413" s="61"/>
      <c r="J413" s="61"/>
      <c r="K413" s="61">
        <f t="shared" si="110"/>
        <v>300</v>
      </c>
      <c r="L413" s="61"/>
      <c r="M413" s="61"/>
      <c r="N413" s="61">
        <f t="shared" si="111"/>
        <v>300</v>
      </c>
    </row>
    <row r="414" spans="1:14" ht="12.75">
      <c r="A414" s="60" t="s">
        <v>84</v>
      </c>
      <c r="B414" s="61">
        <v>1430</v>
      </c>
      <c r="C414" s="61"/>
      <c r="D414" s="61">
        <f>12700+1110.2</f>
        <v>13810.2</v>
      </c>
      <c r="E414" s="61">
        <f t="shared" si="109"/>
        <v>15240.2</v>
      </c>
      <c r="F414" s="61">
        <f>-4890-300</f>
        <v>-5190</v>
      </c>
      <c r="G414" s="61">
        <v>-7400</v>
      </c>
      <c r="H414" s="61">
        <f t="shared" si="112"/>
        <v>2650.2000000000007</v>
      </c>
      <c r="I414" s="61">
        <f>-200-1900</f>
        <v>-2100</v>
      </c>
      <c r="J414" s="61"/>
      <c r="K414" s="61">
        <f t="shared" si="110"/>
        <v>550.2000000000007</v>
      </c>
      <c r="L414" s="61">
        <v>-550.2</v>
      </c>
      <c r="M414" s="61"/>
      <c r="N414" s="61">
        <f t="shared" si="111"/>
        <v>6.821210263296962E-13</v>
      </c>
    </row>
    <row r="415" spans="1:14" ht="12.75">
      <c r="A415" s="65" t="s">
        <v>93</v>
      </c>
      <c r="B415" s="63"/>
      <c r="C415" s="63"/>
      <c r="D415" s="63"/>
      <c r="E415" s="63">
        <f t="shared" si="109"/>
        <v>0</v>
      </c>
      <c r="F415" s="63"/>
      <c r="G415" s="63">
        <v>872.4</v>
      </c>
      <c r="H415" s="63">
        <f t="shared" si="112"/>
        <v>872.4</v>
      </c>
      <c r="I415" s="63">
        <v>-500</v>
      </c>
      <c r="J415" s="63"/>
      <c r="K415" s="63">
        <f t="shared" si="110"/>
        <v>372.4</v>
      </c>
      <c r="L415" s="63"/>
      <c r="M415" s="63"/>
      <c r="N415" s="63">
        <f t="shared" si="111"/>
        <v>372.4</v>
      </c>
    </row>
    <row r="416" spans="1:14" ht="13.5" thickBot="1">
      <c r="A416" s="77" t="s">
        <v>141</v>
      </c>
      <c r="B416" s="78">
        <v>4511</v>
      </c>
      <c r="C416" s="78">
        <v>800</v>
      </c>
      <c r="D416" s="78"/>
      <c r="E416" s="78">
        <f>SUM(B416:D416)</f>
        <v>5311</v>
      </c>
      <c r="F416" s="78"/>
      <c r="G416" s="78"/>
      <c r="H416" s="78">
        <f t="shared" si="112"/>
        <v>5311</v>
      </c>
      <c r="I416" s="78"/>
      <c r="J416" s="78"/>
      <c r="K416" s="78">
        <f>SUM(H416:J416)</f>
        <v>5311</v>
      </c>
      <c r="L416" s="78">
        <v>277</v>
      </c>
      <c r="M416" s="78"/>
      <c r="N416" s="78">
        <f>SUM(K416:M416)</f>
        <v>5588</v>
      </c>
    </row>
    <row r="417" spans="1:14" ht="15.75" thickBot="1">
      <c r="A417" s="88" t="s">
        <v>23</v>
      </c>
      <c r="B417" s="29">
        <f>B81+B94+B113+B143+B171+B244+B281+B299+B314+B359+B367+B374+B191+B180+B338+B133+B416</f>
        <v>3275889.7</v>
      </c>
      <c r="C417" s="29">
        <f>C81+C94+C113+C143+C171+C244+C281+C299+C314+C359+C367+C374+C191+C180+C338+C133+C416</f>
        <v>1172875.7000000002</v>
      </c>
      <c r="D417" s="29">
        <f>D81+D94+D113+D143+D171+D244+D281+D299+D314+D359+D367+D374+D191+D180+D338+D133</f>
        <v>598075.6</v>
      </c>
      <c r="E417" s="29">
        <f>E81+E94+E113+E143+E171+E244+E281+E299+E314+E359+E367+E374+E191+E180+E338+E133+E416</f>
        <v>5046840.999999999</v>
      </c>
      <c r="F417" s="29">
        <f>F81+F94+F113+F143+F171+F244+F281+F299+F314+F359+F367+F374+F191+F180+F338+F133+F416</f>
        <v>1228662.0000000002</v>
      </c>
      <c r="G417" s="29">
        <f>G81+G94+G113+G143+G171+G244+G281+G299+G314+G359+G367+G374+G191+G180+G338+G133</f>
        <v>81181.59999999998</v>
      </c>
      <c r="H417" s="30">
        <f>H81+H94+H113+H143+H171+H244+H281+H299+H314+H359+H367+H374+H191+H180+H338+H133+H416</f>
        <v>6356684.599999999</v>
      </c>
      <c r="I417" s="52">
        <f>I81+I94+I113+I143+I171+I244+I281+I299+I314+I359+I367+I374+I191+I180+I338+I133+I416</f>
        <v>1198626.4</v>
      </c>
      <c r="J417" s="29">
        <f>J81+J94+J113+J143+J171+J244+J281+J299+J314+J359+J367+J374+J191+J180+J338+J133</f>
        <v>27814.8</v>
      </c>
      <c r="K417" s="69">
        <f>K81+K94+K113+K143+K171+K244+K281+K299+K314+K359+K367+K374+K191+K180+K338+K133+K416</f>
        <v>7583125.799999999</v>
      </c>
      <c r="L417" s="29">
        <f>L81+L94+L113+L143+L171+L244+L281+L299+L314+L359+L367+L374+L191+L180+L338+L133+L416</f>
        <v>1687891.4</v>
      </c>
      <c r="M417" s="85">
        <f>M81+M94+M113+M143+M171+M244+M281+M299+M314+M359+M367+M374+M191+M180+M338+M133+M416</f>
        <v>0</v>
      </c>
      <c r="N417" s="29">
        <f>N81+N94+N113+N143+N171+N244+N281+N299+N314+N359+N367+N374+N191+N180+N338+N133+N416</f>
        <v>9271017.200000001</v>
      </c>
    </row>
    <row r="418" spans="1:14" ht="13.5" thickBot="1">
      <c r="A418" s="89" t="s">
        <v>138</v>
      </c>
      <c r="B418" s="31">
        <v>-4511</v>
      </c>
      <c r="C418" s="31"/>
      <c r="D418" s="31"/>
      <c r="E418" s="32">
        <f>SUM(B418:D418)</f>
        <v>-4511</v>
      </c>
      <c r="F418" s="31"/>
      <c r="G418" s="31"/>
      <c r="H418" s="32">
        <f>SUM(E418:G418)</f>
        <v>-4511</v>
      </c>
      <c r="I418" s="53"/>
      <c r="J418" s="31"/>
      <c r="K418" s="70">
        <f>SUM(H418:J418)</f>
        <v>-4511</v>
      </c>
      <c r="L418" s="31">
        <v>-277</v>
      </c>
      <c r="M418" s="86"/>
      <c r="N418" s="31">
        <f>SUM(K418:M418)</f>
        <v>-4788</v>
      </c>
    </row>
    <row r="419" spans="1:14" ht="16.5" thickBot="1">
      <c r="A419" s="90" t="s">
        <v>139</v>
      </c>
      <c r="B419" s="33">
        <f aca="true" t="shared" si="113" ref="B419:N419">B417+B418</f>
        <v>3271378.7</v>
      </c>
      <c r="C419" s="33">
        <f t="shared" si="113"/>
        <v>1172875.7000000002</v>
      </c>
      <c r="D419" s="33">
        <f t="shared" si="113"/>
        <v>598075.6</v>
      </c>
      <c r="E419" s="34">
        <f t="shared" si="113"/>
        <v>5042329.999999999</v>
      </c>
      <c r="F419" s="33">
        <f t="shared" si="113"/>
        <v>1228662.0000000002</v>
      </c>
      <c r="G419" s="33">
        <f t="shared" si="113"/>
        <v>81181.59999999998</v>
      </c>
      <c r="H419" s="34">
        <f t="shared" si="113"/>
        <v>6352173.599999999</v>
      </c>
      <c r="I419" s="54">
        <f t="shared" si="113"/>
        <v>1198626.4</v>
      </c>
      <c r="J419" s="33">
        <f t="shared" si="113"/>
        <v>27814.8</v>
      </c>
      <c r="K419" s="71">
        <f t="shared" si="113"/>
        <v>7578614.799999999</v>
      </c>
      <c r="L419" s="33">
        <f t="shared" si="113"/>
        <v>1687614.4</v>
      </c>
      <c r="M419" s="87">
        <f t="shared" si="113"/>
        <v>0</v>
      </c>
      <c r="N419" s="33">
        <f t="shared" si="113"/>
        <v>9266229.200000001</v>
      </c>
    </row>
    <row r="420" spans="1:14" ht="15.75">
      <c r="A420" s="91" t="s">
        <v>1</v>
      </c>
      <c r="B420" s="35"/>
      <c r="C420" s="35"/>
      <c r="D420" s="35"/>
      <c r="E420" s="35"/>
      <c r="F420" s="35"/>
      <c r="G420" s="35"/>
      <c r="H420" s="36"/>
      <c r="I420" s="50"/>
      <c r="J420" s="35"/>
      <c r="K420" s="72"/>
      <c r="L420" s="35"/>
      <c r="M420" s="72"/>
      <c r="N420" s="35"/>
    </row>
    <row r="421" spans="1:14" ht="15.75">
      <c r="A421" s="92" t="s">
        <v>34</v>
      </c>
      <c r="B421" s="37">
        <f>B82+B95+B114+B144+B172+B192+B245+B282+B300+B315+B360+B368+B376+B181+B339+B134+B416+B418</f>
        <v>2422221.9</v>
      </c>
      <c r="C421" s="37">
        <f>C82+C95+C114+C144+C172+C192+C245+C282+C300+C315+C360+C368+C376+C181+C339+C134+C416+C418</f>
        <v>1118680.3000000003</v>
      </c>
      <c r="D421" s="37">
        <f>D82+D95+D114+D144+D172+D192+D245+D282+D300+D315+D360+D368+D376+D181+D339+D134</f>
        <v>326916.8</v>
      </c>
      <c r="E421" s="37">
        <f>E82+E95+E114+E144+E172+E192+E245+E282+E300+E315+E360+E368+E376+E181+E339+E134+E416+E418</f>
        <v>3867819</v>
      </c>
      <c r="F421" s="37">
        <f>F82+F95+F114+F144+F172+F192+F245+F282+F300+F315+F360+F368+F376+F181+F339+F134+F416+F418</f>
        <v>1121242.7</v>
      </c>
      <c r="G421" s="37">
        <f>G82+G95+G114+G144+G172+G192+G245+G282+G300+G315+G360+G368+G376+G181+G339+G134+G416+G418</f>
        <v>43376.50000000001</v>
      </c>
      <c r="H421" s="38">
        <f>H82+H95+H114+H144+H172+H192+H245+H282+H300+H315+H360+H368+H376+H181+H339+H134+H416+H418</f>
        <v>5032438.199999999</v>
      </c>
      <c r="I421" s="51">
        <f>I82+I95+I114+I144+I172+I192+I245+I282+I300+I315+I360+I368+I376+I181+I339+I134+I416+I418</f>
        <v>1158310.7</v>
      </c>
      <c r="J421" s="37">
        <f>J82+J95+J114+J144+J172+J192+J245+J282+J300+J315+J360+J368+J376+J181+J339+J134</f>
        <v>-33901.200000000004</v>
      </c>
      <c r="K421" s="79">
        <f>K82+K95+K114+K144+K172+K192+K245+K282+K300+K315+K360+K368+K376+K181+K339+K134+K416+K418</f>
        <v>6156847.699999999</v>
      </c>
      <c r="L421" s="37">
        <f>L82+L95+L114+L144+L172+L192+L245+L282+L300+L315+L360+L368+L376+L181+L339+L134+L416+L418</f>
        <v>1306852.8000000003</v>
      </c>
      <c r="M421" s="79">
        <f>M82+M95+M114+M144+M172+M192+M245+M282+M300+M315+M360+M368+M376+M181+M339+M134+M416+M418</f>
        <v>0</v>
      </c>
      <c r="N421" s="37">
        <f>N82+N95+N114+N144+N172+N192+N245+N282+N300+N315+N360+N368+N376+N181+N339+N134+N416+N418</f>
        <v>7463700.499999999</v>
      </c>
    </row>
    <row r="422" spans="1:14" ht="16.5" thickBot="1">
      <c r="A422" s="10" t="s">
        <v>35</v>
      </c>
      <c r="B422" s="47">
        <f aca="true" t="shared" si="114" ref="B422:I422">B125+B156+B227+B272+B291+B363+B377+B187+B332+B90+B350+B309+B140</f>
        <v>849156.8</v>
      </c>
      <c r="C422" s="47">
        <f t="shared" si="114"/>
        <v>54195.399999999994</v>
      </c>
      <c r="D422" s="47">
        <f t="shared" si="114"/>
        <v>271158.8</v>
      </c>
      <c r="E422" s="47">
        <f t="shared" si="114"/>
        <v>1174511</v>
      </c>
      <c r="F422" s="47">
        <f t="shared" si="114"/>
        <v>107419.29999999999</v>
      </c>
      <c r="G422" s="47">
        <f t="shared" si="114"/>
        <v>37805.1</v>
      </c>
      <c r="H422" s="48">
        <f t="shared" si="114"/>
        <v>1319735.4</v>
      </c>
      <c r="I422" s="51">
        <f t="shared" si="114"/>
        <v>40315.7</v>
      </c>
      <c r="J422" s="37">
        <f>J125+J156+J227+J272+J291+J363+J377+J187+J332+J90+J350+J309+J140+J177</f>
        <v>61715.99999999999</v>
      </c>
      <c r="K422" s="79">
        <f>K125+K156+K227+K272+K291+K363+K377+K187+K332+K90+K350+K309+K140+K177</f>
        <v>1421767.1</v>
      </c>
      <c r="L422" s="47">
        <f>L125+L156+L227+L272+L291+L363+L377+L187+L332+L90+L350+L309+L140+L177</f>
        <v>380761.6000000001</v>
      </c>
      <c r="M422" s="81">
        <f>M125+M156+M227+M272+M291+M363+M377+M187+M332+M90+M350+M309+M140+M177</f>
        <v>0</v>
      </c>
      <c r="N422" s="37">
        <f>N125+N156+N227+N272+N291+N363+N377+N187+N332+N90+N350+N309+N140+N177</f>
        <v>1802528.6999999997</v>
      </c>
    </row>
    <row r="423" spans="1:14" ht="15.75">
      <c r="A423" s="91" t="s">
        <v>48</v>
      </c>
      <c r="B423" s="39">
        <f aca="true" t="shared" si="115" ref="B423:N423">SUM(B425:B428)</f>
        <v>188606.7</v>
      </c>
      <c r="C423" s="39">
        <f t="shared" si="115"/>
        <v>68046.8</v>
      </c>
      <c r="D423" s="39">
        <f t="shared" si="115"/>
        <v>456629.7</v>
      </c>
      <c r="E423" s="40">
        <f t="shared" si="115"/>
        <v>713283.2</v>
      </c>
      <c r="F423" s="39">
        <f t="shared" si="115"/>
        <v>85358.1</v>
      </c>
      <c r="G423" s="39">
        <f t="shared" si="115"/>
        <v>10734.3</v>
      </c>
      <c r="H423" s="40">
        <f t="shared" si="115"/>
        <v>809375.6000000001</v>
      </c>
      <c r="I423" s="55">
        <f t="shared" si="115"/>
        <v>0</v>
      </c>
      <c r="J423" s="39">
        <f t="shared" si="115"/>
        <v>-5000</v>
      </c>
      <c r="K423" s="80">
        <f t="shared" si="115"/>
        <v>804375.6000000001</v>
      </c>
      <c r="L423" s="39">
        <f t="shared" si="115"/>
        <v>225684.1</v>
      </c>
      <c r="M423" s="80">
        <f t="shared" si="115"/>
        <v>0</v>
      </c>
      <c r="N423" s="39">
        <f t="shared" si="115"/>
        <v>1030059.7000000001</v>
      </c>
    </row>
    <row r="424" spans="1:14" ht="15.75">
      <c r="A424" s="93" t="s">
        <v>1</v>
      </c>
      <c r="B424" s="41"/>
      <c r="C424" s="41"/>
      <c r="D424" s="41"/>
      <c r="E424" s="42"/>
      <c r="F424" s="41"/>
      <c r="G424" s="41"/>
      <c r="H424" s="42"/>
      <c r="I424" s="56"/>
      <c r="J424" s="41"/>
      <c r="K424" s="73"/>
      <c r="L424" s="41"/>
      <c r="M424" s="82"/>
      <c r="N424" s="43"/>
    </row>
    <row r="425" spans="1:14" ht="14.25">
      <c r="A425" s="93" t="s">
        <v>68</v>
      </c>
      <c r="B425" s="43">
        <v>188606.7</v>
      </c>
      <c r="C425" s="43"/>
      <c r="D425" s="43">
        <v>12142.2</v>
      </c>
      <c r="E425" s="42">
        <f>SUM(B425:D425)</f>
        <v>200748.90000000002</v>
      </c>
      <c r="F425" s="43"/>
      <c r="G425" s="43"/>
      <c r="H425" s="42">
        <f>SUM(E425:G425)</f>
        <v>200748.90000000002</v>
      </c>
      <c r="I425" s="57"/>
      <c r="J425" s="43">
        <v>-5000</v>
      </c>
      <c r="K425" s="73">
        <f>SUM(H425:J425)</f>
        <v>195748.90000000002</v>
      </c>
      <c r="L425" s="43"/>
      <c r="M425" s="83"/>
      <c r="N425" s="43">
        <f>SUM(K425:M425)</f>
        <v>195748.90000000002</v>
      </c>
    </row>
    <row r="426" spans="1:14" ht="14.25">
      <c r="A426" s="94" t="s">
        <v>256</v>
      </c>
      <c r="B426" s="43"/>
      <c r="C426" s="43"/>
      <c r="D426" s="43"/>
      <c r="E426" s="42"/>
      <c r="F426" s="43"/>
      <c r="G426" s="43"/>
      <c r="H426" s="42">
        <f>SUM(E426:G426)</f>
        <v>0</v>
      </c>
      <c r="I426" s="57"/>
      <c r="J426" s="43"/>
      <c r="K426" s="73">
        <f>SUM(H426:J426)</f>
        <v>0</v>
      </c>
      <c r="L426" s="43">
        <f>77060.9+28860.8+41638.3+78124.1</f>
        <v>225684.1</v>
      </c>
      <c r="M426" s="83"/>
      <c r="N426" s="43">
        <f>SUM(K426:M426)</f>
        <v>225684.1</v>
      </c>
    </row>
    <row r="427" spans="1:14" ht="15.75">
      <c r="A427" s="93" t="s">
        <v>137</v>
      </c>
      <c r="B427" s="41"/>
      <c r="C427" s="43">
        <v>67246.8</v>
      </c>
      <c r="D427" s="43">
        <v>444487.5</v>
      </c>
      <c r="E427" s="42">
        <f>SUM(B427:D427)</f>
        <v>511734.3</v>
      </c>
      <c r="F427" s="43">
        <v>85358.1</v>
      </c>
      <c r="G427" s="43">
        <v>10734.3</v>
      </c>
      <c r="H427" s="42">
        <f>SUM(E427:G427)</f>
        <v>607826.7000000001</v>
      </c>
      <c r="I427" s="57">
        <v>0</v>
      </c>
      <c r="J427" s="43">
        <v>0</v>
      </c>
      <c r="K427" s="73">
        <f>SUM(H427:J427)</f>
        <v>607826.7000000001</v>
      </c>
      <c r="L427" s="43"/>
      <c r="M427" s="83"/>
      <c r="N427" s="43">
        <f>SUM(K427:M427)</f>
        <v>607826.7000000001</v>
      </c>
    </row>
    <row r="428" spans="1:14" ht="15" thickBot="1">
      <c r="A428" s="95" t="s">
        <v>140</v>
      </c>
      <c r="B428" s="44"/>
      <c r="C428" s="44">
        <v>800</v>
      </c>
      <c r="D428" s="44"/>
      <c r="E428" s="45">
        <f>SUM(B428:D428)</f>
        <v>800</v>
      </c>
      <c r="F428" s="44"/>
      <c r="G428" s="44"/>
      <c r="H428" s="45">
        <f>SUM(E428:G428)</f>
        <v>800</v>
      </c>
      <c r="I428" s="58"/>
      <c r="J428" s="44"/>
      <c r="K428" s="74">
        <f>SUM(H428:J428)</f>
        <v>800</v>
      </c>
      <c r="L428" s="44"/>
      <c r="M428" s="84"/>
      <c r="N428" s="44">
        <f>SUM(K428:M428)</f>
        <v>800</v>
      </c>
    </row>
  </sheetData>
  <sheetProtection/>
  <mergeCells count="5">
    <mergeCell ref="A3:N3"/>
    <mergeCell ref="A4:N4"/>
    <mergeCell ref="A5:N5"/>
    <mergeCell ref="A7:A8"/>
    <mergeCell ref="A2:N2"/>
  </mergeCells>
  <printOptions horizontalCentered="1"/>
  <pageMargins left="0.3937007874015748" right="0" top="0.5905511811023623" bottom="0.3937007874015748" header="0.31496062992125984" footer="0.11811023622047245"/>
  <pageSetup horizontalDpi="600" verticalDpi="600" orientation="portrait" paperSize="9" r:id="rId1"/>
  <headerFooter alignWithMargins="0">
    <oddFooter>&amp;CStránka &amp;P</oddFooter>
  </headerFooter>
  <rowBreaks count="7" manualBreakCount="7">
    <brk id="69" max="13" man="1"/>
    <brk id="132" max="255" man="1"/>
    <brk id="190" max="255" man="1"/>
    <brk id="243" max="255" man="1"/>
    <brk id="298" max="255" man="1"/>
    <brk id="358" max="255" man="1"/>
    <brk id="4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" sqref="A7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2009-01-14T06:41:50Z</cp:lastPrinted>
  <dcterms:created xsi:type="dcterms:W3CDTF">1997-01-24T11:07:25Z</dcterms:created>
  <dcterms:modified xsi:type="dcterms:W3CDTF">2009-01-30T06:27:55Z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-1772804780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