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3. ZR" sheetId="1" r:id="rId1"/>
    <sheet name="3. ZR vč. PN" sheetId="2" r:id="rId2"/>
    <sheet name="List3" sheetId="3" r:id="rId3"/>
  </sheets>
  <definedNames>
    <definedName name="_xlnm.Print_Titles" localSheetId="0">'3. ZR'!$4:$6</definedName>
    <definedName name="_xlnm.Print_Titles" localSheetId="1">'3. ZR vč. PN'!$4:$6</definedName>
    <definedName name="_xlnm.Print_Area" localSheetId="0">'3. ZR'!$A$1:$AC$132</definedName>
    <definedName name="_xlnm.Print_Area" localSheetId="1">'3. ZR vč. PN'!$A$1:$AC$132</definedName>
  </definedNames>
  <calcPr fullCalcOnLoad="1"/>
</workbook>
</file>

<file path=xl/sharedStrings.xml><?xml version="1.0" encoding="utf-8"?>
<sst xmlns="http://schemas.openxmlformats.org/spreadsheetml/2006/main" count="566" uniqueCount="223">
  <si>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</si>
  <si>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</si>
  <si>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</si>
  <si>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</si>
  <si>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</si>
  <si>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</si>
  <si>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</si>
  <si>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</si>
  <si>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</si>
  <si>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</si>
  <si>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</si>
  <si>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</si>
  <si>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</si>
  <si>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</si>
  <si>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</si>
  <si>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</si>
  <si>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</si>
  <si>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</si>
  <si>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</si>
  <si>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</si>
  <si>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</si>
  <si>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</si>
  <si>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</si>
  <si>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</si>
  <si>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</si>
  <si>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</si>
  <si>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</si>
  <si>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</si>
  <si>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</si>
  <si>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</si>
  <si>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</si>
  <si>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</si>
  <si>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</si>
  <si>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</si>
  <si>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</si>
  <si>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</si>
  <si>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</si>
  <si>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</si>
  <si>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</si>
  <si>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</si>
  <si>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</si>
  <si>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</si>
  <si>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</si>
  <si>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</si>
  <si>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</si>
  <si>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</si>
  <si>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</si>
  <si>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</si>
  <si>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</si>
  <si>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</si>
  <si>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</si>
  <si>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</si>
  <si>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</si>
  <si>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</si>
  <si>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</si>
  <si>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</si>
  <si>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</si>
  <si>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</si>
  <si>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</si>
  <si>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</si>
  <si>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</si>
  <si>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</si>
  <si>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</si>
  <si>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</si>
  <si>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</si>
  <si>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</si>
  <si>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</si>
  <si>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</si>
  <si>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</si>
  <si>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</si>
  <si>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</si>
  <si>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</si>
  <si>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</si>
  <si>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</si>
  <si>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</si>
  <si>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</si>
  <si>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</si>
  <si>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</si>
  <si>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</si>
  <si>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</si>
  <si>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</si>
  <si>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</si>
  <si>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</si>
  <si>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</si>
  <si>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</si>
  <si>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</si>
  <si>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</si>
  <si>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</si>
  <si>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</si>
  <si>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</si>
  <si>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</si>
  <si>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</si>
  <si>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</si>
  <si>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</si>
  <si>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</si>
  <si>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</si>
  <si>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</si>
  <si>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</si>
  <si>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</si>
  <si>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</si>
  <si>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</si>
  <si>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</si>
  <si>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</si>
  <si>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</si>
  <si>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</si>
  <si>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</si>
  <si>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</si>
  <si>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</si>
  <si>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</si>
  <si>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</si>
  <si>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</si>
  <si>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</si>
  <si>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</si>
  <si>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</si>
  <si>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</si>
  <si>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</si>
  <si>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</si>
  <si>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</si>
  <si>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</si>
  <si>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</si>
  <si>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</si>
  <si>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</si>
  <si>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</si>
  <si>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</si>
  <si>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</si>
  <si>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</si>
  <si>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</si>
  <si>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</si>
  <si>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</si>
  <si>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</si>
  <si>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</si>
  <si>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Závazné ukazatele rozpočtu příspěvkových organizací na rok 2019 z vlastních prostředků kraje</t>
  </si>
  <si>
    <t>Muzeum Náchodska, Náchod</t>
  </si>
  <si>
    <t>Gymnázium, SOŠ a VOŠ, Nový Bydžov, Komenského 77</t>
  </si>
  <si>
    <t>SPŠ, OŠ a ZŠ, Nové Město n.Met., Čs. armády 376</t>
  </si>
  <si>
    <t>ZŠ a PrŠ,Broumov,Kladská 164</t>
  </si>
  <si>
    <t>SZŠ a SOU chlad.a klim.tech.,Kostelec n/O</t>
  </si>
  <si>
    <t xml:space="preserve">VOŠ a SPŠ,Jičín,Pod Koželuhy 100       </t>
  </si>
  <si>
    <t>Krkonošské gymn. a SOŠ, Vrchlabí,Komenského 586</t>
  </si>
  <si>
    <t xml:space="preserve">VOŠ zdravotnická, SZŠ a OA,Trutnov,Procházkova 303   </t>
  </si>
  <si>
    <t>SŠ strojírenská a elektrotechnická, Nová Paka, Kumburská 846</t>
  </si>
  <si>
    <t xml:space="preserve">SŠ gastronomie a služeb, Trutnov, Volanovská 243  </t>
  </si>
  <si>
    <t xml:space="preserve">Školské zařízení pro DVPP KHK, HK, Štefánikova 566   </t>
  </si>
  <si>
    <t>Impuls HK, centrum podpory uměleckých aktivit</t>
  </si>
  <si>
    <t>Investiční transfery PO</t>
  </si>
  <si>
    <t>Školské zařízení pro DVPP KHK, HK, Štefánikova 566 (1843tis.z kap.9)</t>
  </si>
  <si>
    <t xml:space="preserve">Zemědělská akademie a gymnázium Hořice - SŠ a VOŠ, p. o., Riegrova 1403  </t>
  </si>
  <si>
    <t xml:space="preserve">SPŠ stavební a OA arch. J. L., Náchod, p. o. ,Pražská 931   </t>
  </si>
  <si>
    <t xml:space="preserve">Po 2. změně rozpočtu </t>
  </si>
  <si>
    <t xml:space="preserve">Po 2. ZR </t>
  </si>
  <si>
    <t xml:space="preserve">Po 2. zm.rozp. neinvest. transfery
</t>
  </si>
  <si>
    <t>Po 2.zm. rozpočtu investiční  transfery</t>
  </si>
  <si>
    <t>Gymnázium B.Němcové, HK, Pospíšilova tř.324   (BV 111tis.z kap.9)</t>
  </si>
  <si>
    <t>Gymnázium J.K.Tyla,HK,Tylovo nábřeží 682   (BV 131tis.z kap.9)</t>
  </si>
  <si>
    <t>Gymnázium, SOŠ a VOŠ, Nový Bydžov, Komenského 77  (BV 111tis.z kap.9)</t>
  </si>
  <si>
    <t>SOŠ veterinární,HK-Kukleny,Pražská 68  BV (80tis.z kap.9)</t>
  </si>
  <si>
    <t>SPŠ, SOŠ a SOU, HK, Hradební 1029   BV (156,5tis.z kap.9)</t>
  </si>
  <si>
    <t>OA,SOŠ a JŠ s právem st.jaz.zk.,HK,Pospíšilova 365   (BV 232tis.z kap.9)</t>
  </si>
  <si>
    <t>VOŠ zdravotnická a SZŠ, HK , Komenského 234  (BV 113,5tis.z kap.9)</t>
  </si>
  <si>
    <t>Stř.uměleckoprům.šk.HNN, HK, 17.listopadu 1202  (BV 45tis.z kap.9)</t>
  </si>
  <si>
    <t>SŠ služeb,obchodu a gastronomie, HK, Velká 3  (BV 98tis.z kap.9)</t>
  </si>
  <si>
    <t>SŠ profesní přípravy,Hradec Králové,17.listopadu 1212   (BV 104tis.z kap.9)</t>
  </si>
  <si>
    <t>MŠ, Speciální ZŠ a Praktická škola,HK,Hradecká 1231  (BV 34,1tis.z kap.9)</t>
  </si>
  <si>
    <t>VOŠ, SŠ, ZŠ a MŠ,HK,Štefánikova 549    (BV 25tis.z kap.9)</t>
  </si>
  <si>
    <t>Dětský domov a ŠJ, Nechanice,Hrádecká 267   (BV 34tis.z kap.9)</t>
  </si>
  <si>
    <t>ZŠ, Nový Bydžov, F. Palackého 1240    (BV 33tis.z kap.9)</t>
  </si>
  <si>
    <t>Domov mládeže,internát a ŠJ, HK,  Vocelova 1469/5   (BV 91tis.z kap.9)</t>
  </si>
  <si>
    <t>Gymnázium,Broumov,Hradební 218    (BV 99tis.z kap.9)</t>
  </si>
  <si>
    <t>Jiráskovo gymnázium,Náchod,Řezníčkova 451    (BV 244tis.z kap.9)</t>
  </si>
  <si>
    <t>SPŠ, OŠ a ZŠ, Nové Město n.Met., Čs. armády 376    (kofi BV 36,3tis.a KV 5249,49tis.z kap. 21; BV 56tis.z kap.9)</t>
  </si>
  <si>
    <t>Dětský domov,ZŠ spec. a PrŠ,Jaroměř,Palackého 142   (BV 45tis.z kap.9)</t>
  </si>
  <si>
    <t>ZŠ logoped.a MŠ logop.,Choustníkovo Hradiště   (BV 16tis.z kap.9)</t>
  </si>
  <si>
    <t>ZŠ a PrŠ,Broumov,Kladská 164   (BV 18tis.z kap.9)</t>
  </si>
  <si>
    <t>PrŠ, ZŠ a MŠ Josefa  Zemana,Náchod,Jiráskova 461  (BV 44,6tis.z kap.9)</t>
  </si>
  <si>
    <t>Gymnázium F.M.Pelcla,Rychnov n.K.,Hrdinů odboje 36  (BV 72tis.z kap.9)</t>
  </si>
  <si>
    <t>Gymnázium,Dobruška,Pulická 779   (kofi BV 21,78tis.a KV 15158,38tis. z kap. 21; BV 27,5tis.z kap.9)</t>
  </si>
  <si>
    <t>SPŠ elektrotech.a inf.techn.,Dobruška, Čs.odboje 670  (BV 71,5tis.z kap.9)</t>
  </si>
  <si>
    <t>OA T.G.Masaryka,Kostelec n.O.,Komenského 522  (BV 200tis.z kap.9)</t>
  </si>
  <si>
    <t>SZŠ a SOU chlad.a klim.tech.,Kostelec n/O   (BV 43tis.z kap.9)</t>
  </si>
  <si>
    <t>Základní škola,Dobruška,Opočenská 115   (BV 66tis.z kap.9)</t>
  </si>
  <si>
    <t>Dětský domov a ŠJ,Sedloňov 153    (BV 8,5tis.z kap.9)</t>
  </si>
  <si>
    <t>ZŠ a PrŠ, Rychnov nad Kněžnou,Kolowratská 485  (BV 89,92tis.z kap.9)</t>
  </si>
  <si>
    <t>Lepařovo gymnázium,Jičín,Jiráskova 30        (BV 13tis.z kap.9)</t>
  </si>
  <si>
    <t>G a SOŠ pedagogická,Nová Paka,Kumburská 740  (BV 211tis.z kap.9)</t>
  </si>
  <si>
    <t>Masarykova obch.akademie,Jičín,17.listopadu 220  (BV 64tis.z kap.9)</t>
  </si>
  <si>
    <t>VOŠ a SPŠ,Jičín,Pod Koželuhy 100        (BV 111tis.z kap.9)</t>
  </si>
  <si>
    <t>SPŠ kamenická a sochařská,Hořice,Husova 675   (BV 165tis.z kap.9)</t>
  </si>
  <si>
    <t>Střední škola zahradnická,Kopidlno, nám.Hilmarovo 1  (BV 124tis.z kap.9)</t>
  </si>
  <si>
    <t>SŠ gastronomie a sl.,Nová Paka,Masarykovo nám.2  (BV 37tis.z kap.9)</t>
  </si>
  <si>
    <t>Střední škola řemesel a Základní škola, Hořice  (BV 45,2tis.z kap.9)</t>
  </si>
  <si>
    <t>Gymnázium,Dvůr Králové nad Labem,nám.Odboje 304   (BV 111tis.z kap.9)</t>
  </si>
  <si>
    <t>Gymnázium,Trutnov,Jiráskovo náměstí 325   (kofi BV 36,3tis.a KV 22196,46tis.z kap.21;  BV 40tis.z kap.9)</t>
  </si>
  <si>
    <t>Krkonošské gymn. a SOŠ, Vrchlabí,Komenského 586   (BV 50tis.z kap.9)</t>
  </si>
  <si>
    <t>Česká les.akademie Trutnov - SŠ a VOŠ, Lesnická 9  (BV 22,5tis.z kap.9)</t>
  </si>
  <si>
    <t>SŠ inf.a služeb,Dvůr Králové n.L.,E.Krásnohorské 2069   (BV 114,2tis.z kap.9)</t>
  </si>
  <si>
    <t>SPŠ,Trutnov,Školní 101    (BV 41,1tis.z kap.9)</t>
  </si>
  <si>
    <t>Střední škola a Základní škola Sluneční, Hostinné  (BV 48tis.z kap.9)</t>
  </si>
  <si>
    <t>ZŠ a PrŠ,Dvůr Králové nad Labem,Přemyslova 479   (BV 7tis.z kap.9)</t>
  </si>
  <si>
    <t>Dětský domov a ŠJ,Vrchlabí,Žižkova 497   (BV 81tis.z kap.9)</t>
  </si>
  <si>
    <t>Dětský domov, ZŠ a ŠJ,Dolní Lánov 240    (BV 79,5tis.z kap.9)</t>
  </si>
  <si>
    <t>Spec.ZŠ Augustina Bartoše,Úpice,Nábř.pplk.A.B.660   (BV 11,7tis.z kap.9)</t>
  </si>
  <si>
    <t>ZŠ a MŠ,Vrchlabí,Krkonošská 230   (BV 12tis.z kap.9)</t>
  </si>
  <si>
    <t>SŠ technická a řemeslná,Nový Bydžov, M.Tyrše 112  (BV 163tis.z kap.9)</t>
  </si>
  <si>
    <t>SŠ řemeslná,Jaroměř,Studničkova 260   (BV 50tis.z kap.9)</t>
  </si>
  <si>
    <t>ZŠ a Praktická škola, Jičín, Soudná 12   (BV 16tis.z kap.9)</t>
  </si>
  <si>
    <t>VOŠ a SPŠ, Rychnov nad Kněžnou, U Stadionu 1166 (BV 57tis.z kap.9)</t>
  </si>
  <si>
    <t>Pedagogicko-psychologická poradna a SPC KHK, HK  (BV 60tis.z kap.9)</t>
  </si>
  <si>
    <t>Zemědělská akademie a gymnázium Hořice - SŠ a VOŠ, p. o., Riegrova 1403  (BV 155tis.z kap.9)</t>
  </si>
  <si>
    <t>SPŠ stavební a OA arch. J. L., Náchod, p. o. ,Pražská 931   (kofi BV 36,3tis.a KV 4378,7tis.z kap. 21;  BV 83tis.z kap.9)</t>
  </si>
  <si>
    <t>SŠ gastronomie a služeb, Trutnov, Volanovská 243    (BV 301tis.z kap.9)</t>
  </si>
  <si>
    <t>VOŠ zdravotnická, SZŠ a OA,Trutnov,Procházkova 303   (550tis.z kap.15; BV 176,5tis.z kap.9;)</t>
  </si>
  <si>
    <t xml:space="preserve">SPŠ Otty Wichterleho, p.o., Hronov, Hostovského 910 </t>
  </si>
  <si>
    <t xml:space="preserve">Po 3. změně rozpočtu </t>
  </si>
  <si>
    <t xml:space="preserve">Po 3. ZR </t>
  </si>
  <si>
    <t xml:space="preserve">Po 3. zm.rozp. neinvest. transfery
</t>
  </si>
  <si>
    <t>Po 3.zm. rozpočtu investiční  transfery</t>
  </si>
  <si>
    <t>CIRI  Hradec Králové - (v 1.sl. kofi a předfi  107,04tis.BV z kap.28;  2513,74tis.BV z kap.13; 340 tis. z kap. 2; BV 750tis.z kap.15)</t>
  </si>
  <si>
    <t>Střední průmyslová škola stavební,HK,Pospíšilova tř.787 (BV 20tis.z kap.9)</t>
  </si>
  <si>
    <t xml:space="preserve">ZŠ a MŠ při Fakultní nemocnici, HK,Sokolská tř. 581  (BV 70tis.z kap.9)   </t>
  </si>
  <si>
    <t>v tom:  (v 1.sl. 7 087,82 tis.BV z kap.9; 550 tis. z kap.15; kofi BV 227,48tis.z kap.21; v 6.sl.kofi KV 46 983,03tis.z kap. 21)</t>
  </si>
  <si>
    <t>SPŠ Otty Wichterleho, p.o., Hronov, Hostovského 910  (BV 24tis.z kap.9; kofi BV 96,8tis.z kap.21)</t>
  </si>
  <si>
    <t>SOŠ a SOU, HK, Vocelova 1338 (BV 181tis.z kap.9) kofi KV 155,49tis.z kap. 21</t>
  </si>
  <si>
    <t>Sdružení ozdr.a léčeben okr.Trutnov     kofi 7500tis.Kč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</si>
</sst>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 wrapText="1"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4" fontId="0" fillId="0" borderId="19" xfId="38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8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8" applyNumberFormat="1" applyFont="1" applyFill="1" applyBorder="1" applyAlignment="1">
      <alignment/>
    </xf>
    <xf numFmtId="44" fontId="10" fillId="0" borderId="11" xfId="38" applyFont="1" applyBorder="1" applyAlignment="1">
      <alignment/>
    </xf>
    <xf numFmtId="44" fontId="10" fillId="0" borderId="19" xfId="38" applyFont="1" applyBorder="1" applyAlignment="1">
      <alignment wrapText="1"/>
    </xf>
    <xf numFmtId="44" fontId="10" fillId="0" borderId="10" xfId="38" applyFont="1" applyBorder="1" applyAlignment="1">
      <alignment wrapText="1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R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68" sqref="AA6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1" t="s">
        <v>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3" t="s">
        <v>13</v>
      </c>
      <c r="B4" s="85" t="s">
        <v>33</v>
      </c>
      <c r="C4" s="87" t="s">
        <v>0</v>
      </c>
      <c r="D4" s="95" t="s">
        <v>54</v>
      </c>
      <c r="E4" s="89"/>
      <c r="F4" s="89"/>
      <c r="G4" s="89"/>
      <c r="H4" s="90"/>
      <c r="I4" s="14"/>
      <c r="J4" s="95" t="s">
        <v>144</v>
      </c>
      <c r="K4" s="89"/>
      <c r="L4" s="90"/>
      <c r="M4" s="15"/>
      <c r="N4" s="80" t="s">
        <v>88</v>
      </c>
      <c r="O4" s="81"/>
      <c r="P4" s="82"/>
      <c r="Q4" s="30"/>
      <c r="R4" s="83" t="s">
        <v>13</v>
      </c>
      <c r="S4" s="85" t="s">
        <v>33</v>
      </c>
      <c r="T4" s="87" t="s">
        <v>0</v>
      </c>
      <c r="U4" s="80" t="s">
        <v>75</v>
      </c>
      <c r="V4" s="89"/>
      <c r="W4" s="89"/>
      <c r="X4" s="89"/>
      <c r="Y4" s="89"/>
      <c r="Z4" s="89"/>
      <c r="AA4" s="89"/>
      <c r="AB4" s="89"/>
      <c r="AC4" s="90"/>
    </row>
    <row r="5" spans="1:29" ht="75.75" customHeight="1" thickBot="1">
      <c r="A5" s="93"/>
      <c r="B5" s="93"/>
      <c r="C5" s="94"/>
      <c r="D5" s="16" t="s">
        <v>148</v>
      </c>
      <c r="E5" s="16" t="s">
        <v>57</v>
      </c>
      <c r="F5" s="16" t="s">
        <v>60</v>
      </c>
      <c r="G5" s="17" t="s">
        <v>55</v>
      </c>
      <c r="H5" s="16" t="s">
        <v>212</v>
      </c>
      <c r="I5" s="16"/>
      <c r="J5" s="18" t="s">
        <v>149</v>
      </c>
      <c r="K5" s="18" t="s">
        <v>61</v>
      </c>
      <c r="L5" s="18" t="s">
        <v>213</v>
      </c>
      <c r="M5" s="18"/>
      <c r="N5" s="19" t="s">
        <v>148</v>
      </c>
      <c r="O5" s="16" t="s">
        <v>57</v>
      </c>
      <c r="P5" s="19" t="s">
        <v>212</v>
      </c>
      <c r="Q5" s="19"/>
      <c r="R5" s="84"/>
      <c r="S5" s="86"/>
      <c r="T5" s="88"/>
      <c r="U5" s="27" t="s">
        <v>150</v>
      </c>
      <c r="V5" s="27" t="s">
        <v>56</v>
      </c>
      <c r="W5" s="27" t="s">
        <v>60</v>
      </c>
      <c r="X5" s="27" t="s">
        <v>214</v>
      </c>
      <c r="Y5" s="18"/>
      <c r="Z5" s="27" t="s">
        <v>151</v>
      </c>
      <c r="AA5" s="27" t="s">
        <v>56</v>
      </c>
      <c r="AB5" s="27" t="s">
        <v>60</v>
      </c>
      <c r="AC5" s="27" t="s">
        <v>215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27045.96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27045.96</v>
      </c>
      <c r="E9" s="44"/>
      <c r="F9" s="45"/>
      <c r="G9" s="44"/>
      <c r="H9" s="44">
        <f>D9+E9+F9+G9</f>
        <v>27045.96</v>
      </c>
      <c r="I9" s="44"/>
      <c r="J9" s="44"/>
      <c r="K9" s="44"/>
      <c r="L9" s="44">
        <f>J9+K9</f>
        <v>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51929.619999999995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0</v>
      </c>
      <c r="H10" s="42">
        <f t="shared" si="1"/>
        <v>51929.619999999995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33" customHeight="1">
      <c r="A13" s="36">
        <v>3639</v>
      </c>
      <c r="B13" s="4">
        <v>902</v>
      </c>
      <c r="C13" s="64" t="s">
        <v>216</v>
      </c>
      <c r="D13" s="55">
        <v>17710.78</v>
      </c>
      <c r="E13" s="48"/>
      <c r="F13" s="44"/>
      <c r="G13" s="44"/>
      <c r="H13" s="44">
        <f>D13+E13+F13+G13</f>
        <v>17710.78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280242.68</v>
      </c>
      <c r="E14" s="51">
        <f aca="true" t="shared" si="2" ref="E14:P14">SUM(E16:E20)</f>
        <v>7500</v>
      </c>
      <c r="F14" s="51">
        <f t="shared" si="2"/>
        <v>0</v>
      </c>
      <c r="G14" s="51">
        <f t="shared" si="2"/>
        <v>0</v>
      </c>
      <c r="H14" s="51">
        <f t="shared" si="2"/>
        <v>287742.68</v>
      </c>
      <c r="I14" s="51">
        <f t="shared" si="2"/>
        <v>0</v>
      </c>
      <c r="J14" s="51">
        <f t="shared" si="2"/>
        <v>2000</v>
      </c>
      <c r="K14" s="51">
        <f t="shared" si="2"/>
        <v>4000</v>
      </c>
      <c r="L14" s="51">
        <f t="shared" si="2"/>
        <v>6000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222</v>
      </c>
      <c r="D16" s="44">
        <v>39574.98</v>
      </c>
      <c r="E16" s="44">
        <v>7500</v>
      </c>
      <c r="F16" s="44"/>
      <c r="G16" s="44"/>
      <c r="H16" s="44">
        <f>D16+E16+F16+G16</f>
        <v>47074.98</v>
      </c>
      <c r="I16" s="44"/>
      <c r="J16" s="44"/>
      <c r="K16" s="48">
        <f>4000</f>
        <v>4000</v>
      </c>
      <c r="L16" s="44">
        <f>J16+K16</f>
        <v>4000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4">
        <v>9954.5</v>
      </c>
      <c r="E17" s="44"/>
      <c r="F17" s="44"/>
      <c r="G17" s="44"/>
      <c r="H17" s="44">
        <f>D17+E17+F17+G17</f>
        <v>9954.5</v>
      </c>
      <c r="I17" s="44"/>
      <c r="J17" s="53"/>
      <c r="K17" s="53"/>
      <c r="L17" s="55">
        <f>J17+K17</f>
        <v>0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44"/>
      <c r="F18" s="44"/>
      <c r="G18" s="44"/>
      <c r="H18" s="44">
        <f>D18+E18+F18+G18</f>
        <v>3151.8</v>
      </c>
      <c r="I18" s="44"/>
      <c r="J18" s="44"/>
      <c r="K18" s="54"/>
      <c r="L18" s="44">
        <f>J18+K18</f>
        <v>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218061.4</v>
      </c>
      <c r="E19" s="44"/>
      <c r="F19" s="44"/>
      <c r="G19" s="44"/>
      <c r="H19" s="44">
        <f>D19+E19+F19+G19</f>
        <v>218061.4</v>
      </c>
      <c r="I19" s="44"/>
      <c r="J19" s="44">
        <v>2000</v>
      </c>
      <c r="K19" s="44"/>
      <c r="L19" s="44">
        <f>J19+K19</f>
        <v>2000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9500</v>
      </c>
      <c r="E20" s="44"/>
      <c r="F20" s="44"/>
      <c r="G20" s="44"/>
      <c r="H20" s="44">
        <f>D20+E20+F20+G20</f>
        <v>9500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190449.15</v>
      </c>
      <c r="E21" s="42">
        <f aca="true" t="shared" si="3" ref="E21:P21">SUM(E23:E32)</f>
        <v>1536.3</v>
      </c>
      <c r="F21" s="42">
        <f t="shared" si="3"/>
        <v>0</v>
      </c>
      <c r="G21" s="42">
        <f t="shared" si="3"/>
        <v>0</v>
      </c>
      <c r="H21" s="42">
        <f t="shared" si="3"/>
        <v>191985.45</v>
      </c>
      <c r="I21" s="42">
        <f t="shared" si="3"/>
        <v>0</v>
      </c>
      <c r="J21" s="42">
        <f t="shared" si="3"/>
        <v>4429</v>
      </c>
      <c r="K21" s="42">
        <f t="shared" si="3"/>
        <v>500</v>
      </c>
      <c r="L21" s="42">
        <f t="shared" si="3"/>
        <v>4929</v>
      </c>
      <c r="M21" s="42">
        <f t="shared" si="3"/>
        <v>0</v>
      </c>
      <c r="N21" s="42">
        <f t="shared" si="3"/>
        <v>9794.500000000002</v>
      </c>
      <c r="O21" s="43">
        <f t="shared" si="3"/>
        <v>0</v>
      </c>
      <c r="P21" s="42">
        <f t="shared" si="3"/>
        <v>9794.500000000002</v>
      </c>
      <c r="Q21" s="42"/>
      <c r="R21" s="60"/>
      <c r="S21" s="61"/>
      <c r="T21" s="42" t="s">
        <v>72</v>
      </c>
      <c r="U21" s="42">
        <f>SUM(U23:U32)</f>
        <v>739.9200000000001</v>
      </c>
      <c r="V21" s="42">
        <f>SUM(V23:V32)</f>
        <v>-100</v>
      </c>
      <c r="W21" s="42">
        <f>SUM(W23:W32)</f>
        <v>0</v>
      </c>
      <c r="X21" s="42">
        <f>SUM(X23:X32)</f>
        <v>639.9200000000001</v>
      </c>
      <c r="Y21" s="42"/>
      <c r="Z21" s="42">
        <f>SUM(Z23:Z32)</f>
        <v>2818.35</v>
      </c>
      <c r="AA21" s="76">
        <f>SUM(AA23:AA32)</f>
        <v>390</v>
      </c>
      <c r="AB21" s="42">
        <f>SUM(AB23:AB32)</f>
        <v>0</v>
      </c>
      <c r="AC21" s="42">
        <f>SUM(AC23:AC32)</f>
        <v>3208.35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/>
      <c r="F23" s="44"/>
      <c r="G23" s="44"/>
      <c r="H23" s="44">
        <f>D23+E23+F23+G23</f>
        <v>13672.4</v>
      </c>
      <c r="I23" s="44"/>
      <c r="J23" s="44">
        <v>1600</v>
      </c>
      <c r="K23" s="44"/>
      <c r="L23" s="44">
        <f aca="true" t="shared" si="4" ref="L23:L32">J23+K23</f>
        <v>1600</v>
      </c>
      <c r="M23" s="44"/>
      <c r="N23" s="44">
        <v>790</v>
      </c>
      <c r="O23" s="44"/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7523.3</v>
      </c>
      <c r="E24" s="44"/>
      <c r="F24" s="44"/>
      <c r="G24" s="44"/>
      <c r="H24" s="44">
        <f aca="true" t="shared" si="8" ref="H24:H32">D24+E24+F24+G24</f>
        <v>7523.3</v>
      </c>
      <c r="I24" s="44"/>
      <c r="J24" s="44">
        <v>400</v>
      </c>
      <c r="K24" s="44"/>
      <c r="L24" s="44">
        <f t="shared" si="4"/>
        <v>400</v>
      </c>
      <c r="M24" s="44"/>
      <c r="N24" s="44">
        <v>168.4</v>
      </c>
      <c r="O24" s="44"/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80</v>
      </c>
      <c r="D25" s="44">
        <v>45813.5</v>
      </c>
      <c r="E25" s="44">
        <f>36.3+550</f>
        <v>586.3</v>
      </c>
      <c r="F25" s="44"/>
      <c r="G25" s="44"/>
      <c r="H25" s="44">
        <f t="shared" si="8"/>
        <v>46399.8</v>
      </c>
      <c r="I25" s="44"/>
      <c r="J25" s="44">
        <v>2000</v>
      </c>
      <c r="K25" s="44"/>
      <c r="L25" s="44">
        <f t="shared" si="4"/>
        <v>2000</v>
      </c>
      <c r="M25" s="44"/>
      <c r="N25" s="44">
        <v>1328</v>
      </c>
      <c r="O25" s="44"/>
      <c r="P25" s="44">
        <f t="shared" si="5"/>
        <v>1328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61794.6</v>
      </c>
      <c r="E26" s="44"/>
      <c r="F26" s="44"/>
      <c r="G26" s="44"/>
      <c r="H26" s="44">
        <f t="shared" si="8"/>
        <v>61794.6</v>
      </c>
      <c r="I26" s="44"/>
      <c r="J26" s="44"/>
      <c r="K26" s="44"/>
      <c r="L26" s="44">
        <f t="shared" si="4"/>
        <v>0</v>
      </c>
      <c r="M26" s="44"/>
      <c r="N26" s="44">
        <v>4387.8</v>
      </c>
      <c r="O26" s="44"/>
      <c r="P26" s="44">
        <f t="shared" si="5"/>
        <v>4387.8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/>
      <c r="AB26" s="44"/>
      <c r="AC26" s="44">
        <f t="shared" si="7"/>
        <v>500</v>
      </c>
    </row>
    <row r="27" spans="1:29" ht="12.75">
      <c r="A27" s="36">
        <v>3319</v>
      </c>
      <c r="B27" s="4">
        <v>605</v>
      </c>
      <c r="C27" s="8" t="s">
        <v>143</v>
      </c>
      <c r="D27" s="44">
        <v>5938.15</v>
      </c>
      <c r="E27" s="44"/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66.6</v>
      </c>
      <c r="O27" s="44"/>
      <c r="P27" s="44">
        <f t="shared" si="5"/>
        <v>66.6</v>
      </c>
      <c r="Q27" s="44"/>
      <c r="R27" s="62">
        <v>3319</v>
      </c>
      <c r="S27" s="4">
        <v>605</v>
      </c>
      <c r="T27" s="47" t="s">
        <v>143</v>
      </c>
      <c r="U27" s="44">
        <v>100</v>
      </c>
      <c r="V27" s="44"/>
      <c r="W27" s="44"/>
      <c r="X27" s="44">
        <f t="shared" si="6"/>
        <v>100</v>
      </c>
      <c r="Y27" s="44"/>
      <c r="Z27" s="44">
        <v>200</v>
      </c>
      <c r="AA27" s="48"/>
      <c r="AB27" s="44"/>
      <c r="AC27" s="44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/>
      <c r="F28" s="44"/>
      <c r="G28" s="44"/>
      <c r="H28" s="44">
        <f t="shared" si="8"/>
        <v>12987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/>
      <c r="P28" s="44">
        <f t="shared" si="5"/>
        <v>602.5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/>
      <c r="F29" s="44"/>
      <c r="G29" s="44"/>
      <c r="H29" s="44">
        <f t="shared" si="8"/>
        <v>6313.5</v>
      </c>
      <c r="I29" s="44"/>
      <c r="J29" s="44"/>
      <c r="K29" s="44"/>
      <c r="L29" s="44">
        <f t="shared" si="4"/>
        <v>0</v>
      </c>
      <c r="M29" s="44"/>
      <c r="N29" s="44">
        <v>139.8</v>
      </c>
      <c r="O29" s="44"/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10649</v>
      </c>
      <c r="E30" s="44">
        <f>100</f>
        <v>100</v>
      </c>
      <c r="F30" s="44"/>
      <c r="G30" s="44"/>
      <c r="H30" s="44">
        <f t="shared" si="8"/>
        <v>10749</v>
      </c>
      <c r="I30" s="44"/>
      <c r="J30" s="44">
        <v>50</v>
      </c>
      <c r="K30" s="44">
        <v>500</v>
      </c>
      <c r="L30" s="44">
        <f t="shared" si="4"/>
        <v>550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>
        <v>100</v>
      </c>
      <c r="V30" s="44">
        <f>-100</f>
        <v>-100</v>
      </c>
      <c r="W30" s="44"/>
      <c r="X30" s="44">
        <f t="shared" si="6"/>
        <v>0</v>
      </c>
      <c r="Y30" s="44"/>
      <c r="Z30" s="44">
        <v>300</v>
      </c>
      <c r="AA30" s="44">
        <f>-300+690</f>
        <v>390</v>
      </c>
      <c r="AB30" s="44"/>
      <c r="AC30" s="44">
        <f t="shared" si="7"/>
        <v>690</v>
      </c>
    </row>
    <row r="31" spans="1:29" ht="12.75">
      <c r="A31" s="36">
        <v>3315</v>
      </c>
      <c r="B31" s="4">
        <v>609</v>
      </c>
      <c r="C31" s="8" t="s">
        <v>132</v>
      </c>
      <c r="D31" s="44">
        <v>11835.7</v>
      </c>
      <c r="E31" s="44">
        <f>500+50</f>
        <v>550</v>
      </c>
      <c r="F31" s="44"/>
      <c r="G31" s="44"/>
      <c r="H31" s="44">
        <f t="shared" si="8"/>
        <v>12385.7</v>
      </c>
      <c r="I31" s="44"/>
      <c r="J31" s="44">
        <v>50</v>
      </c>
      <c r="K31" s="44"/>
      <c r="L31" s="44">
        <f t="shared" si="4"/>
        <v>50</v>
      </c>
      <c r="M31" s="44"/>
      <c r="N31" s="44">
        <v>1767.7</v>
      </c>
      <c r="O31" s="44"/>
      <c r="P31" s="44">
        <f t="shared" si="5"/>
        <v>1767.7</v>
      </c>
      <c r="Q31" s="44"/>
      <c r="R31" s="62">
        <v>3315</v>
      </c>
      <c r="S31" s="4">
        <v>609</v>
      </c>
      <c r="T31" s="47" t="s">
        <v>132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13922</v>
      </c>
      <c r="E32" s="44">
        <f>300</f>
        <v>300</v>
      </c>
      <c r="F32" s="44"/>
      <c r="G32" s="44"/>
      <c r="H32" s="44">
        <f t="shared" si="8"/>
        <v>14222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/>
      <c r="P32" s="44">
        <f t="shared" si="5"/>
        <v>393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179520</v>
      </c>
      <c r="E33" s="56">
        <f aca="true" t="shared" si="9" ref="E33:P33">SUM(E35:E58)</f>
        <v>22000</v>
      </c>
      <c r="F33" s="56">
        <f t="shared" si="9"/>
        <v>0</v>
      </c>
      <c r="G33" s="56">
        <f t="shared" si="9"/>
        <v>0</v>
      </c>
      <c r="H33" s="56">
        <f t="shared" si="9"/>
        <v>201520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2900</v>
      </c>
      <c r="V33" s="56">
        <f>SUM(V35:V58)</f>
        <v>1200</v>
      </c>
      <c r="W33" s="56">
        <f>SUM(W35:W58)</f>
        <v>0</v>
      </c>
      <c r="X33" s="56">
        <f>SUM(X35:X58)</f>
        <v>4100</v>
      </c>
      <c r="Y33" s="56"/>
      <c r="Z33" s="56">
        <f>SUM(Z35:Z58)</f>
        <v>18966.82</v>
      </c>
      <c r="AA33" s="56">
        <f>SUM(AA35:AA58)</f>
        <v>1825</v>
      </c>
      <c r="AB33" s="56">
        <f>SUM(AB35:AB58)</f>
        <v>0</v>
      </c>
      <c r="AC33" s="56">
        <f>SUM(AC35:AC58)</f>
        <v>20791.82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5257</v>
      </c>
      <c r="E35" s="44">
        <v>1142</v>
      </c>
      <c r="F35" s="44"/>
      <c r="G35" s="44"/>
      <c r="H35" s="44">
        <f>D35+E35+F35+G35</f>
        <v>6399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1380</v>
      </c>
      <c r="AA35" s="44"/>
      <c r="AB35" s="44"/>
      <c r="AC35" s="44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4">
        <v>4590</v>
      </c>
      <c r="E36" s="44">
        <v>1003</v>
      </c>
      <c r="F36" s="44"/>
      <c r="G36" s="44"/>
      <c r="H36" s="44">
        <f aca="true" t="shared" si="14" ref="H36:H58">D36+E36+F36+G36</f>
        <v>5593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>
        <v>1747.93</v>
      </c>
      <c r="AA36" s="44"/>
      <c r="AB36" s="44"/>
      <c r="AC36" s="44">
        <f t="shared" si="13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8845</v>
      </c>
      <c r="E37" s="44">
        <v>884</v>
      </c>
      <c r="F37" s="44"/>
      <c r="G37" s="44"/>
      <c r="H37" s="44">
        <f t="shared" si="14"/>
        <v>9729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>
        <v>718</v>
      </c>
      <c r="AA37" s="44"/>
      <c r="AB37" s="44"/>
      <c r="AC37" s="44">
        <f t="shared" si="13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5691</v>
      </c>
      <c r="E38" s="44">
        <v>1415</v>
      </c>
      <c r="F38" s="44"/>
      <c r="G38" s="44"/>
      <c r="H38" s="44">
        <f t="shared" si="14"/>
        <v>7106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>
        <v>1900</v>
      </c>
      <c r="V38" s="44">
        <f>700</f>
        <v>700</v>
      </c>
      <c r="W38" s="44"/>
      <c r="X38" s="44">
        <f t="shared" si="12"/>
        <v>2600</v>
      </c>
      <c r="Y38" s="44"/>
      <c r="Z38" s="44">
        <v>180</v>
      </c>
      <c r="AA38" s="44"/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128</v>
      </c>
      <c r="D39" s="44">
        <v>19678</v>
      </c>
      <c r="E39" s="44">
        <v>2016</v>
      </c>
      <c r="F39" s="44"/>
      <c r="G39" s="44"/>
      <c r="H39" s="44">
        <f t="shared" si="14"/>
        <v>21694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128</v>
      </c>
      <c r="U39" s="44"/>
      <c r="V39" s="44"/>
      <c r="W39" s="44"/>
      <c r="X39" s="44">
        <f t="shared" si="12"/>
        <v>0</v>
      </c>
      <c r="Y39" s="44"/>
      <c r="Z39" s="44">
        <v>3452.62</v>
      </c>
      <c r="AA39" s="44"/>
      <c r="AB39" s="44"/>
      <c r="AC39" s="44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2548</v>
      </c>
      <c r="E40" s="44">
        <v>388</v>
      </c>
      <c r="F40" s="44"/>
      <c r="G40" s="44"/>
      <c r="H40" s="44">
        <f t="shared" si="14"/>
        <v>2936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>
        <v>500</v>
      </c>
      <c r="W40" s="44"/>
      <c r="X40" s="44">
        <f t="shared" si="12"/>
        <v>500</v>
      </c>
      <c r="Y40" s="44"/>
      <c r="Z40" s="44">
        <v>250</v>
      </c>
      <c r="AA40" s="44"/>
      <c r="AB40" s="44"/>
      <c r="AC40" s="44">
        <f t="shared" si="13"/>
        <v>250</v>
      </c>
    </row>
    <row r="41" spans="1:29" ht="12.75">
      <c r="A41" s="36">
        <v>4357</v>
      </c>
      <c r="B41" s="4">
        <v>807</v>
      </c>
      <c r="C41" s="7" t="s">
        <v>84</v>
      </c>
      <c r="D41" s="44">
        <v>9477</v>
      </c>
      <c r="E41" s="44">
        <v>300</v>
      </c>
      <c r="F41" s="44"/>
      <c r="G41" s="48"/>
      <c r="H41" s="44">
        <f t="shared" si="14"/>
        <v>9777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2"/>
        <v>0</v>
      </c>
      <c r="Y41" s="44"/>
      <c r="Z41" s="44">
        <v>500</v>
      </c>
      <c r="AA41" s="44"/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2555</v>
      </c>
      <c r="E42" s="44">
        <v>285</v>
      </c>
      <c r="F42" s="44"/>
      <c r="G42" s="48"/>
      <c r="H42" s="44">
        <f t="shared" si="14"/>
        <v>2840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8495</v>
      </c>
      <c r="E43" s="44">
        <v>2131</v>
      </c>
      <c r="F43" s="44"/>
      <c r="G43" s="48"/>
      <c r="H43" s="44">
        <f t="shared" si="14"/>
        <v>10626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>
        <v>1500</v>
      </c>
      <c r="AA43" s="44">
        <f>1525</f>
        <v>1525</v>
      </c>
      <c r="AB43" s="44"/>
      <c r="AC43" s="44">
        <f t="shared" si="13"/>
        <v>3025</v>
      </c>
    </row>
    <row r="44" spans="1:29" ht="12.75">
      <c r="A44" s="36">
        <v>4350</v>
      </c>
      <c r="B44" s="4">
        <v>810</v>
      </c>
      <c r="C44" s="7" t="s">
        <v>82</v>
      </c>
      <c r="D44" s="44">
        <v>2984</v>
      </c>
      <c r="E44" s="44">
        <v>0</v>
      </c>
      <c r="F44" s="44"/>
      <c r="G44" s="48"/>
      <c r="H44" s="44">
        <f t="shared" si="14"/>
        <v>2984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82</v>
      </c>
      <c r="U44" s="44"/>
      <c r="V44" s="44"/>
      <c r="W44" s="44"/>
      <c r="X44" s="44">
        <f t="shared" si="12"/>
        <v>0</v>
      </c>
      <c r="Y44" s="44"/>
      <c r="Z44" s="44">
        <v>380</v>
      </c>
      <c r="AA44" s="44">
        <f>300</f>
        <v>300</v>
      </c>
      <c r="AB44" s="44"/>
      <c r="AC44" s="44">
        <f t="shared" si="13"/>
        <v>680</v>
      </c>
    </row>
    <row r="45" spans="1:29" ht="12.75">
      <c r="A45" s="36">
        <v>4350</v>
      </c>
      <c r="B45" s="4">
        <v>811</v>
      </c>
      <c r="C45" s="7" t="s">
        <v>78</v>
      </c>
      <c r="D45" s="44">
        <v>4126</v>
      </c>
      <c r="E45" s="44">
        <v>823</v>
      </c>
      <c r="F45" s="44"/>
      <c r="G45" s="48"/>
      <c r="H45" s="44">
        <f t="shared" si="14"/>
        <v>4949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19773</v>
      </c>
      <c r="E46" s="44">
        <v>1664</v>
      </c>
      <c r="F46" s="44"/>
      <c r="G46" s="48"/>
      <c r="H46" s="44">
        <f t="shared" si="14"/>
        <v>21437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2258.27</v>
      </c>
      <c r="AA46" s="44"/>
      <c r="AB46" s="44"/>
      <c r="AC46" s="44">
        <f t="shared" si="13"/>
        <v>2258.27</v>
      </c>
    </row>
    <row r="47" spans="1:29" ht="12.75">
      <c r="A47" s="36">
        <v>4357</v>
      </c>
      <c r="B47" s="4">
        <v>814</v>
      </c>
      <c r="C47" s="40" t="s">
        <v>130</v>
      </c>
      <c r="D47" s="44">
        <v>8176</v>
      </c>
      <c r="E47" s="44">
        <v>822</v>
      </c>
      <c r="F47" s="44"/>
      <c r="G47" s="48"/>
      <c r="H47" s="44">
        <f t="shared" si="14"/>
        <v>8998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130</v>
      </c>
      <c r="U47" s="44">
        <v>1000</v>
      </c>
      <c r="V47" s="44"/>
      <c r="W47" s="44"/>
      <c r="X47" s="44">
        <f t="shared" si="12"/>
        <v>1000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40" t="s">
        <v>129</v>
      </c>
      <c r="D48" s="44">
        <v>6340</v>
      </c>
      <c r="E48" s="48">
        <v>659</v>
      </c>
      <c r="F48" s="44"/>
      <c r="G48" s="48"/>
      <c r="H48" s="44">
        <f t="shared" si="14"/>
        <v>6999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129</v>
      </c>
      <c r="U48" s="44"/>
      <c r="V48" s="44"/>
      <c r="W48" s="44"/>
      <c r="X48" s="44">
        <f t="shared" si="12"/>
        <v>0</v>
      </c>
      <c r="Y48" s="44"/>
      <c r="Z48" s="44">
        <v>2400</v>
      </c>
      <c r="AA48" s="44"/>
      <c r="AB48" s="44"/>
      <c r="AC48" s="44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9063</v>
      </c>
      <c r="E49" s="48">
        <v>1147</v>
      </c>
      <c r="F49" s="44"/>
      <c r="G49" s="48"/>
      <c r="H49" s="44">
        <f t="shared" si="14"/>
        <v>10210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11931</v>
      </c>
      <c r="E50" s="48">
        <v>1458</v>
      </c>
      <c r="F50" s="44"/>
      <c r="G50" s="48"/>
      <c r="H50" s="44">
        <f t="shared" si="14"/>
        <v>13389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85</v>
      </c>
      <c r="D51" s="44">
        <v>8700</v>
      </c>
      <c r="E51" s="48">
        <v>1095</v>
      </c>
      <c r="F51" s="44"/>
      <c r="G51" s="48"/>
      <c r="H51" s="44">
        <f t="shared" si="14"/>
        <v>9795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8351</v>
      </c>
      <c r="E52" s="48">
        <v>1053</v>
      </c>
      <c r="F52" s="44"/>
      <c r="G52" s="48"/>
      <c r="H52" s="44">
        <f t="shared" si="14"/>
        <v>9404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7249</v>
      </c>
      <c r="E53" s="48">
        <v>760</v>
      </c>
      <c r="F53" s="44"/>
      <c r="G53" s="48"/>
      <c r="H53" s="44">
        <f t="shared" si="14"/>
        <v>8009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6856</v>
      </c>
      <c r="E54" s="44">
        <v>1136</v>
      </c>
      <c r="F54" s="44"/>
      <c r="G54" s="44"/>
      <c r="H54" s="44">
        <f t="shared" si="14"/>
        <v>7992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2"/>
        <v>0</v>
      </c>
      <c r="Y54" s="44"/>
      <c r="Z54" s="44">
        <v>500</v>
      </c>
      <c r="AA54" s="44"/>
      <c r="AB54" s="44"/>
      <c r="AC54" s="44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2685</v>
      </c>
      <c r="E55" s="44">
        <v>253</v>
      </c>
      <c r="F55" s="44"/>
      <c r="G55" s="44"/>
      <c r="H55" s="44">
        <f t="shared" si="14"/>
        <v>2938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1260</v>
      </c>
      <c r="AA55" s="44"/>
      <c r="AB55" s="44"/>
      <c r="AC55" s="44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6455</v>
      </c>
      <c r="E56" s="44">
        <v>318</v>
      </c>
      <c r="F56" s="44"/>
      <c r="G56" s="44"/>
      <c r="H56" s="44">
        <f t="shared" si="14"/>
        <v>6773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1220</v>
      </c>
      <c r="AA56" s="44"/>
      <c r="AB56" s="44"/>
      <c r="AC56" s="44">
        <f t="shared" si="13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3254</v>
      </c>
      <c r="E57" s="44">
        <v>623</v>
      </c>
      <c r="F57" s="44"/>
      <c r="G57" s="44"/>
      <c r="H57" s="44">
        <f t="shared" si="14"/>
        <v>3877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>
        <v>650</v>
      </c>
      <c r="AA57" s="44"/>
      <c r="AB57" s="44"/>
      <c r="AC57" s="44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6441</v>
      </c>
      <c r="E58" s="44">
        <v>625</v>
      </c>
      <c r="F58" s="44"/>
      <c r="G58" s="44"/>
      <c r="H58" s="44">
        <f t="shared" si="14"/>
        <v>7066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>SUM(D61:D132)</f>
        <v>386014.5</v>
      </c>
      <c r="E59" s="56">
        <f aca="true" t="shared" si="15" ref="E59:P59">SUM(E61:E132)</f>
        <v>2685.13</v>
      </c>
      <c r="F59" s="56">
        <f t="shared" si="15"/>
        <v>0</v>
      </c>
      <c r="G59" s="56">
        <f t="shared" si="15"/>
        <v>0</v>
      </c>
      <c r="H59" s="56">
        <f t="shared" si="15"/>
        <v>388699.63000000006</v>
      </c>
      <c r="I59" s="56">
        <f t="shared" si="15"/>
        <v>0</v>
      </c>
      <c r="J59" s="56">
        <f t="shared" si="15"/>
        <v>48839.829999999994</v>
      </c>
      <c r="K59" s="56">
        <f t="shared" si="15"/>
        <v>155.49</v>
      </c>
      <c r="L59" s="56">
        <f t="shared" si="15"/>
        <v>48995.31999999999</v>
      </c>
      <c r="M59" s="56">
        <f t="shared" si="15"/>
        <v>0</v>
      </c>
      <c r="N59" s="56">
        <f t="shared" si="15"/>
        <v>42789.24</v>
      </c>
      <c r="O59" s="56">
        <f t="shared" si="15"/>
        <v>350.13</v>
      </c>
      <c r="P59" s="56">
        <f t="shared" si="15"/>
        <v>43139.37</v>
      </c>
      <c r="Q59" s="56"/>
      <c r="R59" s="62"/>
      <c r="S59" s="63"/>
      <c r="T59" s="56" t="s">
        <v>74</v>
      </c>
      <c r="U59" s="56">
        <f aca="true" t="shared" si="16" ref="U59:AC59">SUM(U61:U132)</f>
        <v>30911</v>
      </c>
      <c r="V59" s="56">
        <f t="shared" si="16"/>
        <v>340</v>
      </c>
      <c r="W59" s="56">
        <f t="shared" si="16"/>
        <v>0</v>
      </c>
      <c r="X59" s="56">
        <f t="shared" si="16"/>
        <v>31251</v>
      </c>
      <c r="Y59" s="56">
        <f t="shared" si="16"/>
        <v>0</v>
      </c>
      <c r="Z59" s="56">
        <f t="shared" si="16"/>
        <v>94068.25</v>
      </c>
      <c r="AA59" s="56">
        <f t="shared" si="16"/>
        <v>3104</v>
      </c>
      <c r="AB59" s="56">
        <f t="shared" si="16"/>
        <v>0</v>
      </c>
      <c r="AC59" s="56">
        <f t="shared" si="16"/>
        <v>97172.25</v>
      </c>
    </row>
    <row r="60" spans="1:29" ht="27.75" customHeight="1">
      <c r="A60" s="36"/>
      <c r="B60" s="4"/>
      <c r="C60" s="29" t="s">
        <v>219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152</v>
      </c>
      <c r="D61" s="44">
        <v>4656.35</v>
      </c>
      <c r="E61" s="44"/>
      <c r="F61" s="44"/>
      <c r="G61" s="48"/>
      <c r="H61" s="44">
        <f aca="true" t="shared" si="17" ref="H61:H124">D61+E61+F61+G61</f>
        <v>4656.35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/>
      <c r="P61" s="44">
        <f aca="true" t="shared" si="19" ref="P61:P124">N61+O61</f>
        <v>429.32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153</v>
      </c>
      <c r="D62" s="44">
        <v>6686.1900000000005</v>
      </c>
      <c r="E62" s="44">
        <f>9.32</f>
        <v>9.32</v>
      </c>
      <c r="F62" s="44"/>
      <c r="G62" s="48"/>
      <c r="H62" s="44">
        <f t="shared" si="17"/>
        <v>6695.51</v>
      </c>
      <c r="I62" s="44"/>
      <c r="J62" s="44"/>
      <c r="K62" s="44"/>
      <c r="L62" s="44">
        <f t="shared" si="18"/>
        <v>0</v>
      </c>
      <c r="M62" s="44"/>
      <c r="N62" s="44">
        <v>383.25</v>
      </c>
      <c r="O62" s="44">
        <v>-0.68</v>
      </c>
      <c r="P62" s="44">
        <f t="shared" si="19"/>
        <v>382.57</v>
      </c>
      <c r="Q62" s="44"/>
      <c r="R62" s="36">
        <v>3121</v>
      </c>
      <c r="S62" s="4">
        <v>302</v>
      </c>
      <c r="T62" s="37" t="s">
        <v>92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/>
      <c r="AB62" s="44"/>
      <c r="AC62" s="44">
        <f t="shared" si="21"/>
        <v>800</v>
      </c>
    </row>
    <row r="63" spans="1:29" ht="12.75">
      <c r="A63" s="36">
        <v>3121</v>
      </c>
      <c r="B63" s="4">
        <v>303</v>
      </c>
      <c r="C63" s="77" t="s">
        <v>154</v>
      </c>
      <c r="D63" s="44">
        <v>3757.5899999999997</v>
      </c>
      <c r="E63" s="44"/>
      <c r="F63" s="44"/>
      <c r="G63" s="48"/>
      <c r="H63" s="44">
        <f t="shared" si="17"/>
        <v>3757.5899999999997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/>
      <c r="P63" s="44">
        <f t="shared" si="19"/>
        <v>396.31</v>
      </c>
      <c r="Q63" s="44"/>
      <c r="R63" s="36">
        <v>3121</v>
      </c>
      <c r="S63" s="4">
        <v>303</v>
      </c>
      <c r="T63" s="37" t="s">
        <v>133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68" t="s">
        <v>217</v>
      </c>
      <c r="D64" s="44">
        <v>6302.86</v>
      </c>
      <c r="E64" s="44"/>
      <c r="F64" s="44"/>
      <c r="G64" s="48"/>
      <c r="H64" s="44">
        <f t="shared" si="17"/>
        <v>6302.86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/>
      <c r="P64" s="44">
        <f t="shared" si="19"/>
        <v>1071.93</v>
      </c>
      <c r="Q64" s="44"/>
      <c r="R64" s="36">
        <v>3122</v>
      </c>
      <c r="S64" s="4">
        <v>305</v>
      </c>
      <c r="T64" s="3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155</v>
      </c>
      <c r="D65" s="44">
        <v>5004.76</v>
      </c>
      <c r="E65" s="44">
        <f>50.4</f>
        <v>50.4</v>
      </c>
      <c r="F65" s="44"/>
      <c r="G65" s="48"/>
      <c r="H65" s="44">
        <f t="shared" si="17"/>
        <v>5055.16</v>
      </c>
      <c r="I65" s="44"/>
      <c r="J65" s="44">
        <v>200</v>
      </c>
      <c r="K65" s="44"/>
      <c r="L65" s="44">
        <f t="shared" si="18"/>
        <v>200</v>
      </c>
      <c r="M65" s="44"/>
      <c r="N65" s="44">
        <v>910.8</v>
      </c>
      <c r="O65" s="44"/>
      <c r="P65" s="44">
        <f t="shared" si="19"/>
        <v>910.8</v>
      </c>
      <c r="Q65" s="44"/>
      <c r="R65" s="36">
        <v>3122</v>
      </c>
      <c r="S65" s="4">
        <v>307</v>
      </c>
      <c r="T65" s="37" t="s">
        <v>94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156</v>
      </c>
      <c r="D66" s="44">
        <v>16113.88</v>
      </c>
      <c r="E66" s="44">
        <f>34.3</f>
        <v>34.3</v>
      </c>
      <c r="F66" s="44"/>
      <c r="G66" s="48"/>
      <c r="H66" s="44">
        <f t="shared" si="17"/>
        <v>16148.179999999998</v>
      </c>
      <c r="I66" s="44"/>
      <c r="J66" s="44"/>
      <c r="K66" s="44"/>
      <c r="L66" s="44">
        <f t="shared" si="18"/>
        <v>0</v>
      </c>
      <c r="M66" s="44"/>
      <c r="N66" s="44">
        <v>508.87</v>
      </c>
      <c r="O66" s="44">
        <v>34.3</v>
      </c>
      <c r="P66" s="44">
        <f t="shared" si="19"/>
        <v>543.17</v>
      </c>
      <c r="Q66" s="44"/>
      <c r="R66" s="36">
        <v>3127</v>
      </c>
      <c r="S66" s="4">
        <v>308</v>
      </c>
      <c r="T66" s="37" t="s">
        <v>95</v>
      </c>
      <c r="U66" s="44">
        <v>150</v>
      </c>
      <c r="V66" s="44">
        <f>320</f>
        <v>320</v>
      </c>
      <c r="W66" s="44"/>
      <c r="X66" s="44">
        <f t="shared" si="20"/>
        <v>470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221</v>
      </c>
      <c r="D67" s="44">
        <v>8883.51</v>
      </c>
      <c r="E67" s="44"/>
      <c r="F67" s="44"/>
      <c r="G67" s="48"/>
      <c r="H67" s="44">
        <f t="shared" si="17"/>
        <v>8883.51</v>
      </c>
      <c r="I67" s="44"/>
      <c r="J67" s="44"/>
      <c r="K67" s="44">
        <f>155.49</f>
        <v>155.49</v>
      </c>
      <c r="L67" s="44">
        <f t="shared" si="18"/>
        <v>155.49</v>
      </c>
      <c r="M67" s="44"/>
      <c r="N67" s="44">
        <v>1363.41</v>
      </c>
      <c r="O67" s="44"/>
      <c r="P67" s="44">
        <f t="shared" si="19"/>
        <v>1363.41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5960</v>
      </c>
      <c r="AA67" s="44">
        <f>350</f>
        <v>350</v>
      </c>
      <c r="AB67" s="44"/>
      <c r="AC67" s="44">
        <f t="shared" si="21"/>
        <v>6310</v>
      </c>
    </row>
    <row r="68" spans="1:29" ht="12.75">
      <c r="A68" s="36">
        <v>3122</v>
      </c>
      <c r="B68" s="4">
        <v>312</v>
      </c>
      <c r="C68" s="77" t="s">
        <v>157</v>
      </c>
      <c r="D68" s="44">
        <v>6577.349999999999</v>
      </c>
      <c r="E68" s="44">
        <f>37.97</f>
        <v>37.97</v>
      </c>
      <c r="F68" s="44"/>
      <c r="G68" s="48"/>
      <c r="H68" s="44">
        <f t="shared" si="17"/>
        <v>6615.32</v>
      </c>
      <c r="I68" s="44"/>
      <c r="J68" s="44"/>
      <c r="K68" s="44"/>
      <c r="L68" s="44">
        <f t="shared" si="18"/>
        <v>0</v>
      </c>
      <c r="M68" s="44"/>
      <c r="N68" s="44">
        <v>1244.03</v>
      </c>
      <c r="O68" s="44">
        <v>27.97</v>
      </c>
      <c r="P68" s="44">
        <f t="shared" si="19"/>
        <v>1272</v>
      </c>
      <c r="Q68" s="44"/>
      <c r="R68" s="36">
        <v>3122</v>
      </c>
      <c r="S68" s="4">
        <v>312</v>
      </c>
      <c r="T68" s="3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158</v>
      </c>
      <c r="D69" s="44">
        <v>6773.29</v>
      </c>
      <c r="E69" s="44">
        <f>81.27</f>
        <v>81.27</v>
      </c>
      <c r="F69" s="44"/>
      <c r="G69" s="48"/>
      <c r="H69" s="44">
        <f t="shared" si="17"/>
        <v>6854.56</v>
      </c>
      <c r="I69" s="44"/>
      <c r="J69" s="44"/>
      <c r="K69" s="44"/>
      <c r="L69" s="44">
        <f t="shared" si="18"/>
        <v>0</v>
      </c>
      <c r="M69" s="44"/>
      <c r="N69" s="44">
        <v>642.13</v>
      </c>
      <c r="O69" s="44">
        <v>81.27</v>
      </c>
      <c r="P69" s="44">
        <f t="shared" si="19"/>
        <v>723.4</v>
      </c>
      <c r="Q69" s="44"/>
      <c r="R69" s="36">
        <v>3122</v>
      </c>
      <c r="S69" s="4">
        <v>314</v>
      </c>
      <c r="T69" s="37" t="s">
        <v>97</v>
      </c>
      <c r="U69" s="44"/>
      <c r="V69" s="44"/>
      <c r="W69" s="44"/>
      <c r="X69" s="44">
        <f t="shared" si="20"/>
        <v>0</v>
      </c>
      <c r="Y69" s="44"/>
      <c r="Z69" s="44">
        <v>4591</v>
      </c>
      <c r="AA69" s="44">
        <v>-500</v>
      </c>
      <c r="AB69" s="44"/>
      <c r="AC69" s="44">
        <f t="shared" si="21"/>
        <v>4091</v>
      </c>
    </row>
    <row r="70" spans="1:29" ht="12.75">
      <c r="A70" s="36">
        <v>3127</v>
      </c>
      <c r="B70" s="5">
        <v>317</v>
      </c>
      <c r="C70" s="64" t="s">
        <v>159</v>
      </c>
      <c r="D70" s="44">
        <v>7066.83</v>
      </c>
      <c r="E70" s="49"/>
      <c r="F70" s="49"/>
      <c r="G70" s="58"/>
      <c r="H70" s="44">
        <f t="shared" si="17"/>
        <v>7066.83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/>
      <c r="P70" s="44">
        <f t="shared" si="19"/>
        <v>1171.23</v>
      </c>
      <c r="Q70" s="49"/>
      <c r="R70" s="36">
        <v>3127</v>
      </c>
      <c r="S70" s="5">
        <v>317</v>
      </c>
      <c r="T70" s="64" t="s">
        <v>98</v>
      </c>
      <c r="U70" s="49">
        <v>1400</v>
      </c>
      <c r="V70" s="49"/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160</v>
      </c>
      <c r="D71" s="44">
        <v>10655.29</v>
      </c>
      <c r="E71" s="44">
        <f>76.34</f>
        <v>76.34</v>
      </c>
      <c r="F71" s="44"/>
      <c r="G71" s="48"/>
      <c r="H71" s="44">
        <f t="shared" si="17"/>
        <v>10731.630000000001</v>
      </c>
      <c r="I71" s="44"/>
      <c r="J71" s="44"/>
      <c r="K71" s="44"/>
      <c r="L71" s="44">
        <f t="shared" si="18"/>
        <v>0</v>
      </c>
      <c r="M71" s="44"/>
      <c r="N71" s="44">
        <v>590.23</v>
      </c>
      <c r="O71" s="44">
        <v>76.34</v>
      </c>
      <c r="P71" s="44">
        <f t="shared" si="19"/>
        <v>666.57</v>
      </c>
      <c r="Q71" s="44"/>
      <c r="R71" s="36">
        <v>3127</v>
      </c>
      <c r="S71" s="4">
        <v>318</v>
      </c>
      <c r="T71" s="3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161</v>
      </c>
      <c r="D72" s="44">
        <v>6561.92</v>
      </c>
      <c r="E72" s="44"/>
      <c r="F72" s="44"/>
      <c r="G72" s="48"/>
      <c r="H72" s="44">
        <f t="shared" si="17"/>
        <v>6561.92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/>
      <c r="P72" s="44">
        <f t="shared" si="19"/>
        <v>1226.92</v>
      </c>
      <c r="Q72" s="44"/>
      <c r="R72" s="36">
        <v>3124</v>
      </c>
      <c r="S72" s="4">
        <v>319</v>
      </c>
      <c r="T72" s="37" t="s">
        <v>100</v>
      </c>
      <c r="U72" s="44"/>
      <c r="V72" s="44"/>
      <c r="W72" s="44"/>
      <c r="X72" s="44">
        <f t="shared" si="20"/>
        <v>0</v>
      </c>
      <c r="Y72" s="44"/>
      <c r="Z72" s="44"/>
      <c r="AA72" s="44">
        <f>160</f>
        <v>160</v>
      </c>
      <c r="AB72" s="44"/>
      <c r="AC72" s="44">
        <f t="shared" si="21"/>
        <v>160</v>
      </c>
    </row>
    <row r="73" spans="1:29" ht="12.75">
      <c r="A73" s="36">
        <v>3114</v>
      </c>
      <c r="B73" s="4">
        <v>320</v>
      </c>
      <c r="C73" s="77" t="s">
        <v>162</v>
      </c>
      <c r="D73" s="44">
        <v>4996.080000000001</v>
      </c>
      <c r="E73" s="44"/>
      <c r="F73" s="44"/>
      <c r="G73" s="48"/>
      <c r="H73" s="44">
        <f t="shared" si="17"/>
        <v>4996.080000000001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101</v>
      </c>
      <c r="U73" s="44">
        <v>1000</v>
      </c>
      <c r="V73" s="44">
        <f>-780</f>
        <v>-780</v>
      </c>
      <c r="W73" s="44"/>
      <c r="X73" s="44">
        <f t="shared" si="20"/>
        <v>220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163</v>
      </c>
      <c r="D74" s="44">
        <v>7984.4400000000005</v>
      </c>
      <c r="E74" s="44">
        <f>6.27</f>
        <v>6.27</v>
      </c>
      <c r="F74" s="44"/>
      <c r="G74" s="48"/>
      <c r="H74" s="44">
        <f t="shared" si="17"/>
        <v>7990.710000000001</v>
      </c>
      <c r="I74" s="44"/>
      <c r="J74" s="44"/>
      <c r="K74" s="44"/>
      <c r="L74" s="44">
        <f t="shared" si="18"/>
        <v>0</v>
      </c>
      <c r="M74" s="44"/>
      <c r="N74" s="44">
        <v>709.3399999999999</v>
      </c>
      <c r="O74" s="44">
        <v>6.27</v>
      </c>
      <c r="P74" s="44">
        <f t="shared" si="19"/>
        <v>715.6099999999999</v>
      </c>
      <c r="Q74" s="44"/>
      <c r="R74" s="36">
        <v>3114</v>
      </c>
      <c r="S74" s="4">
        <v>321</v>
      </c>
      <c r="T74" s="37" t="s">
        <v>90</v>
      </c>
      <c r="U74" s="44"/>
      <c r="V74" s="44"/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164</v>
      </c>
      <c r="D75" s="44">
        <v>3581.3</v>
      </c>
      <c r="E75" s="44"/>
      <c r="F75" s="44"/>
      <c r="G75" s="48"/>
      <c r="H75" s="44">
        <f t="shared" si="17"/>
        <v>3581.3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/>
      <c r="P75" s="44">
        <f t="shared" si="19"/>
        <v>180.7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165</v>
      </c>
      <c r="D76" s="44">
        <v>1236.23</v>
      </c>
      <c r="E76" s="44"/>
      <c r="F76" s="44"/>
      <c r="G76" s="48"/>
      <c r="H76" s="44">
        <f t="shared" si="17"/>
        <v>1236.23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68" t="s">
        <v>218</v>
      </c>
      <c r="D77" s="44">
        <v>423.20000000000005</v>
      </c>
      <c r="E77" s="44"/>
      <c r="F77" s="44"/>
      <c r="G77" s="48"/>
      <c r="H77" s="44">
        <f t="shared" si="17"/>
        <v>423.20000000000005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166</v>
      </c>
      <c r="D78" s="44">
        <v>4281.66</v>
      </c>
      <c r="E78" s="44"/>
      <c r="F78" s="44"/>
      <c r="G78" s="65"/>
      <c r="H78" s="44">
        <f t="shared" si="17"/>
        <v>4281.66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/>
      <c r="W78" s="44"/>
      <c r="X78" s="44">
        <f t="shared" si="20"/>
        <v>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167</v>
      </c>
      <c r="D80" s="44">
        <v>2790.43</v>
      </c>
      <c r="E80" s="44"/>
      <c r="F80" s="44"/>
      <c r="G80" s="48"/>
      <c r="H80" s="44">
        <f t="shared" si="17"/>
        <v>2790.43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1650</v>
      </c>
      <c r="AA80" s="44"/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104</v>
      </c>
      <c r="D81" s="44">
        <v>3219.33</v>
      </c>
      <c r="E81" s="44"/>
      <c r="F81" s="44"/>
      <c r="G81" s="48"/>
      <c r="H81" s="44">
        <f t="shared" si="17"/>
        <v>3219.33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104</v>
      </c>
      <c r="U81" s="44"/>
      <c r="V81" s="48"/>
      <c r="W81" s="44"/>
      <c r="X81" s="44">
        <f t="shared" si="20"/>
        <v>0</v>
      </c>
      <c r="Y81" s="44"/>
      <c r="Z81" s="44">
        <v>2000</v>
      </c>
      <c r="AA81" s="44">
        <f>-2000</f>
        <v>-2000</v>
      </c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37" t="s">
        <v>168</v>
      </c>
      <c r="D82" s="44">
        <v>4266.98</v>
      </c>
      <c r="E82" s="44"/>
      <c r="F82" s="44"/>
      <c r="G82" s="48"/>
      <c r="H82" s="44">
        <f t="shared" si="17"/>
        <v>4266.98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700</v>
      </c>
      <c r="V82" s="48">
        <f>-600</f>
        <v>-600</v>
      </c>
      <c r="W82" s="44"/>
      <c r="X82" s="44">
        <f t="shared" si="20"/>
        <v>100</v>
      </c>
      <c r="Y82" s="44"/>
      <c r="Z82" s="44"/>
      <c r="AA82" s="44">
        <f>900</f>
        <v>900</v>
      </c>
      <c r="AB82" s="44"/>
      <c r="AC82" s="44">
        <f t="shared" si="21"/>
        <v>900</v>
      </c>
    </row>
    <row r="83" spans="1:29" ht="26.25">
      <c r="A83" s="36">
        <v>3124</v>
      </c>
      <c r="B83" s="4">
        <v>345</v>
      </c>
      <c r="C83" s="64" t="s">
        <v>169</v>
      </c>
      <c r="D83" s="44">
        <v>17788.16</v>
      </c>
      <c r="E83" s="44"/>
      <c r="F83" s="44"/>
      <c r="G83" s="48"/>
      <c r="H83" s="44">
        <f t="shared" si="17"/>
        <v>17788.16</v>
      </c>
      <c r="I83" s="44"/>
      <c r="J83" s="44">
        <v>5249.49</v>
      </c>
      <c r="K83" s="44"/>
      <c r="L83" s="44">
        <f t="shared" si="18"/>
        <v>5249.49</v>
      </c>
      <c r="M83" s="44"/>
      <c r="N83" s="44">
        <v>2020.07</v>
      </c>
      <c r="O83" s="44"/>
      <c r="P83" s="44">
        <f t="shared" si="19"/>
        <v>2020.07</v>
      </c>
      <c r="Q83" s="44"/>
      <c r="R83" s="36">
        <v>3124</v>
      </c>
      <c r="S83" s="4">
        <v>345</v>
      </c>
      <c r="T83" s="37" t="s">
        <v>134</v>
      </c>
      <c r="U83" s="44"/>
      <c r="V83" s="44"/>
      <c r="W83" s="44"/>
      <c r="X83" s="44">
        <f t="shared" si="20"/>
        <v>0</v>
      </c>
      <c r="Y83" s="44"/>
      <c r="Z83" s="44">
        <v>3435</v>
      </c>
      <c r="AA83" s="44">
        <f>-1000-420</f>
        <v>-1420</v>
      </c>
      <c r="AB83" s="44"/>
      <c r="AC83" s="44">
        <f t="shared" si="21"/>
        <v>2015</v>
      </c>
    </row>
    <row r="84" spans="1:29" ht="12.75">
      <c r="A84" s="36">
        <v>3114</v>
      </c>
      <c r="B84" s="4">
        <v>346</v>
      </c>
      <c r="C84" s="77" t="s">
        <v>170</v>
      </c>
      <c r="D84" s="44">
        <v>2967.92</v>
      </c>
      <c r="E84" s="44"/>
      <c r="F84" s="44"/>
      <c r="G84" s="48"/>
      <c r="H84" s="44">
        <f t="shared" si="17"/>
        <v>2967.92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105</v>
      </c>
      <c r="U84" s="44">
        <v>400</v>
      </c>
      <c r="V84" s="44"/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171</v>
      </c>
      <c r="D85" s="44">
        <v>1715.6</v>
      </c>
      <c r="E85" s="44"/>
      <c r="F85" s="44"/>
      <c r="G85" s="48"/>
      <c r="H85" s="44">
        <f t="shared" si="17"/>
        <v>1715.6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>
        <f>-300-300</f>
        <v>-600</v>
      </c>
      <c r="AB86" s="44"/>
      <c r="AC86" s="44">
        <f t="shared" si="21"/>
        <v>0</v>
      </c>
    </row>
    <row r="87" spans="1:29" ht="12.75">
      <c r="A87" s="36">
        <v>3294</v>
      </c>
      <c r="B87" s="1">
        <v>352</v>
      </c>
      <c r="C87" s="37" t="s">
        <v>145</v>
      </c>
      <c r="D87" s="44">
        <v>5133.6</v>
      </c>
      <c r="E87" s="44">
        <f>260.8</f>
        <v>260.8</v>
      </c>
      <c r="F87" s="44"/>
      <c r="G87" s="48"/>
      <c r="H87" s="44">
        <f t="shared" si="17"/>
        <v>5394.400000000001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142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172</v>
      </c>
      <c r="D88" s="44">
        <v>1084.94</v>
      </c>
      <c r="E88" s="44"/>
      <c r="F88" s="44"/>
      <c r="G88" s="48"/>
      <c r="H88" s="44">
        <f t="shared" si="17"/>
        <v>1084.94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/>
      <c r="P88" s="44">
        <f t="shared" si="19"/>
        <v>101.49</v>
      </c>
      <c r="Q88" s="44"/>
      <c r="R88" s="36">
        <v>3114</v>
      </c>
      <c r="S88" s="4">
        <v>358</v>
      </c>
      <c r="T88" s="37" t="s">
        <v>135</v>
      </c>
      <c r="U88" s="44">
        <v>150</v>
      </c>
      <c r="V88" s="44"/>
      <c r="W88" s="44"/>
      <c r="X88" s="44">
        <f t="shared" si="20"/>
        <v>150</v>
      </c>
      <c r="Y88" s="44"/>
      <c r="Z88" s="44"/>
      <c r="AA88" s="44">
        <f>80</f>
        <v>80</v>
      </c>
      <c r="AB88" s="44"/>
      <c r="AC88" s="44">
        <f t="shared" si="21"/>
        <v>80</v>
      </c>
    </row>
    <row r="89" spans="1:29" ht="12.75">
      <c r="A89" s="36">
        <v>3114</v>
      </c>
      <c r="B89" s="4">
        <v>363</v>
      </c>
      <c r="C89" s="77" t="s">
        <v>173</v>
      </c>
      <c r="D89" s="44">
        <v>2534.92</v>
      </c>
      <c r="E89" s="44"/>
      <c r="F89" s="44"/>
      <c r="G89" s="48"/>
      <c r="H89" s="44">
        <f t="shared" si="17"/>
        <v>2534.92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8" t="s">
        <v>174</v>
      </c>
      <c r="D90" s="44">
        <v>4607.48</v>
      </c>
      <c r="E90" s="44"/>
      <c r="F90" s="44"/>
      <c r="G90" s="48"/>
      <c r="H90" s="44">
        <f t="shared" si="17"/>
        <v>4607.48</v>
      </c>
      <c r="I90" s="44"/>
      <c r="J90" s="44">
        <v>270</v>
      </c>
      <c r="K90" s="44"/>
      <c r="L90" s="44">
        <f t="shared" si="18"/>
        <v>270</v>
      </c>
      <c r="M90" s="44"/>
      <c r="N90" s="44">
        <v>395.97999999999996</v>
      </c>
      <c r="O90" s="44"/>
      <c r="P90" s="44">
        <f t="shared" si="19"/>
        <v>395.97999999999996</v>
      </c>
      <c r="Q90" s="44"/>
      <c r="R90" s="36">
        <v>3121</v>
      </c>
      <c r="S90" s="4">
        <v>367</v>
      </c>
      <c r="T90" s="64" t="s">
        <v>108</v>
      </c>
      <c r="U90" s="44">
        <v>3500</v>
      </c>
      <c r="V90" s="44"/>
      <c r="W90" s="44"/>
      <c r="X90" s="44">
        <f t="shared" si="20"/>
        <v>3500</v>
      </c>
      <c r="Y90" s="44"/>
      <c r="Z90" s="44"/>
      <c r="AA90" s="44"/>
      <c r="AB90" s="44"/>
      <c r="AC90" s="44">
        <f t="shared" si="21"/>
        <v>0</v>
      </c>
    </row>
    <row r="91" spans="1:29" ht="26.25">
      <c r="A91" s="36">
        <v>3121</v>
      </c>
      <c r="B91" s="4">
        <v>368</v>
      </c>
      <c r="C91" s="64" t="s">
        <v>175</v>
      </c>
      <c r="D91" s="44">
        <v>2842.6200000000003</v>
      </c>
      <c r="E91" s="49"/>
      <c r="F91" s="49"/>
      <c r="G91" s="58"/>
      <c r="H91" s="44">
        <f t="shared" si="17"/>
        <v>2842.6200000000003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8" t="s">
        <v>176</v>
      </c>
      <c r="D92" s="44">
        <v>3501.41</v>
      </c>
      <c r="E92" s="44">
        <f>42.32</f>
        <v>42.32</v>
      </c>
      <c r="F92" s="44"/>
      <c r="G92" s="48"/>
      <c r="H92" s="44">
        <f t="shared" si="17"/>
        <v>3543.73</v>
      </c>
      <c r="I92" s="44"/>
      <c r="J92" s="44">
        <v>105</v>
      </c>
      <c r="K92" s="44"/>
      <c r="L92" s="44">
        <f t="shared" si="18"/>
        <v>105</v>
      </c>
      <c r="M92" s="44"/>
      <c r="N92" s="44">
        <v>278.66999999999996</v>
      </c>
      <c r="O92" s="44">
        <v>42.32</v>
      </c>
      <c r="P92" s="44">
        <f t="shared" si="19"/>
        <v>320.98999999999995</v>
      </c>
      <c r="Q92" s="44"/>
      <c r="R92" s="36">
        <v>3122</v>
      </c>
      <c r="S92" s="5">
        <v>370</v>
      </c>
      <c r="T92" s="64" t="s">
        <v>109</v>
      </c>
      <c r="U92" s="44">
        <v>466</v>
      </c>
      <c r="V92" s="44"/>
      <c r="W92" s="44"/>
      <c r="X92" s="44">
        <f t="shared" si="20"/>
        <v>466</v>
      </c>
      <c r="Y92" s="44"/>
      <c r="Z92" s="44">
        <v>300</v>
      </c>
      <c r="AA92" s="44"/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177</v>
      </c>
      <c r="D93" s="44">
        <v>3670.72</v>
      </c>
      <c r="E93" s="44"/>
      <c r="F93" s="44"/>
      <c r="G93" s="48"/>
      <c r="H93" s="44">
        <f t="shared" si="17"/>
        <v>3670.72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110</v>
      </c>
      <c r="U93" s="44"/>
      <c r="V93" s="55"/>
      <c r="W93" s="44"/>
      <c r="X93" s="44">
        <f t="shared" si="20"/>
        <v>0</v>
      </c>
      <c r="Y93" s="44"/>
      <c r="Z93" s="44">
        <v>1000</v>
      </c>
      <c r="AA93" s="48">
        <f>500</f>
        <v>500</v>
      </c>
      <c r="AB93" s="48"/>
      <c r="AC93" s="44">
        <f t="shared" si="21"/>
        <v>1500</v>
      </c>
    </row>
    <row r="94" spans="1:29" ht="12.75">
      <c r="A94" s="36">
        <v>3127</v>
      </c>
      <c r="B94" s="4">
        <v>372</v>
      </c>
      <c r="C94" s="64" t="s">
        <v>178</v>
      </c>
      <c r="D94" s="44">
        <v>7021.589999999999</v>
      </c>
      <c r="E94" s="44">
        <f>200</f>
        <v>200</v>
      </c>
      <c r="F94" s="44"/>
      <c r="G94" s="48"/>
      <c r="H94" s="44">
        <f t="shared" si="17"/>
        <v>7221.589999999999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/>
      <c r="P94" s="44">
        <f t="shared" si="19"/>
        <v>844.03</v>
      </c>
      <c r="Q94" s="44"/>
      <c r="R94" s="36">
        <v>3127</v>
      </c>
      <c r="S94" s="4">
        <v>372</v>
      </c>
      <c r="T94" s="64" t="s">
        <v>136</v>
      </c>
      <c r="U94" s="44">
        <v>400</v>
      </c>
      <c r="V94" s="44">
        <f>400</f>
        <v>400</v>
      </c>
      <c r="W94" s="44"/>
      <c r="X94" s="44">
        <f t="shared" si="20"/>
        <v>800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179</v>
      </c>
      <c r="D96" s="44">
        <v>655.4</v>
      </c>
      <c r="E96" s="44"/>
      <c r="F96" s="44"/>
      <c r="G96" s="48"/>
      <c r="H96" s="44">
        <f t="shared" si="17"/>
        <v>655.4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/>
      <c r="P96" s="44">
        <f t="shared" si="19"/>
        <v>28.4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>
        <v>250</v>
      </c>
      <c r="AA96" s="44">
        <f>150</f>
        <v>150</v>
      </c>
      <c r="AB96" s="44"/>
      <c r="AC96" s="44">
        <f t="shared" si="21"/>
        <v>400</v>
      </c>
    </row>
    <row r="97" spans="1:29" ht="12.75">
      <c r="A97" s="36">
        <v>3133</v>
      </c>
      <c r="B97" s="4">
        <v>380</v>
      </c>
      <c r="C97" s="37" t="s">
        <v>180</v>
      </c>
      <c r="D97" s="44">
        <v>2999.5</v>
      </c>
      <c r="E97" s="44"/>
      <c r="F97" s="44"/>
      <c r="G97" s="48"/>
      <c r="H97" s="44">
        <f t="shared" si="17"/>
        <v>2999.5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/>
      <c r="AB97" s="44"/>
      <c r="AC97" s="44">
        <f t="shared" si="21"/>
        <v>150</v>
      </c>
    </row>
    <row r="98" spans="1:29" ht="12.75">
      <c r="A98" s="36">
        <v>3114</v>
      </c>
      <c r="B98" s="4">
        <v>381</v>
      </c>
      <c r="C98" s="77" t="s">
        <v>181</v>
      </c>
      <c r="D98" s="44">
        <v>2350.02</v>
      </c>
      <c r="E98" s="44">
        <f>-300</f>
        <v>-300</v>
      </c>
      <c r="F98" s="44"/>
      <c r="G98" s="48"/>
      <c r="H98" s="44">
        <f t="shared" si="17"/>
        <v>2050.02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111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182</v>
      </c>
      <c r="D99" s="44">
        <v>3151.7200000000003</v>
      </c>
      <c r="E99" s="44">
        <f>10</f>
        <v>10</v>
      </c>
      <c r="F99" s="44"/>
      <c r="G99" s="48"/>
      <c r="H99" s="44">
        <f t="shared" si="17"/>
        <v>3161.7200000000003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6777.25</v>
      </c>
      <c r="AA99" s="44"/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183</v>
      </c>
      <c r="D100" s="44">
        <v>3797.24</v>
      </c>
      <c r="E100" s="44">
        <f>10</f>
        <v>10</v>
      </c>
      <c r="F100" s="44"/>
      <c r="G100" s="48"/>
      <c r="H100" s="44">
        <f t="shared" si="17"/>
        <v>3807.24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/>
      <c r="P100" s="44">
        <f t="shared" si="19"/>
        <v>866.38</v>
      </c>
      <c r="Q100" s="44"/>
      <c r="R100" s="36">
        <v>3127</v>
      </c>
      <c r="S100" s="4">
        <v>392</v>
      </c>
      <c r="T100" s="64" t="s">
        <v>112</v>
      </c>
      <c r="U100" s="44"/>
      <c r="V100" s="44"/>
      <c r="W100" s="44"/>
      <c r="X100" s="44">
        <f t="shared" si="20"/>
        <v>0</v>
      </c>
      <c r="Y100" s="44"/>
      <c r="Z100" s="44">
        <v>3585</v>
      </c>
      <c r="AA100" s="44"/>
      <c r="AB100" s="44"/>
      <c r="AC100" s="44">
        <f t="shared" si="21"/>
        <v>3585</v>
      </c>
    </row>
    <row r="101" spans="1:29" ht="12.75">
      <c r="A101" s="36">
        <v>3122</v>
      </c>
      <c r="B101" s="4">
        <v>393</v>
      </c>
      <c r="C101" s="37" t="s">
        <v>184</v>
      </c>
      <c r="D101" s="44">
        <v>2220.55</v>
      </c>
      <c r="E101" s="44">
        <f>10</f>
        <v>10</v>
      </c>
      <c r="F101" s="44"/>
      <c r="G101" s="48"/>
      <c r="H101" s="44">
        <f t="shared" si="17"/>
        <v>2230.55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/>
      <c r="P101" s="44">
        <f t="shared" si="19"/>
        <v>366.08</v>
      </c>
      <c r="Q101" s="44"/>
      <c r="R101" s="36">
        <v>3122</v>
      </c>
      <c r="S101" s="4">
        <v>393</v>
      </c>
      <c r="T101" s="37" t="s">
        <v>10</v>
      </c>
      <c r="U101" s="44">
        <v>370</v>
      </c>
      <c r="V101" s="44"/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185</v>
      </c>
      <c r="D102" s="44">
        <v>7094.05</v>
      </c>
      <c r="E102" s="44"/>
      <c r="F102" s="44"/>
      <c r="G102" s="48"/>
      <c r="H102" s="44">
        <f t="shared" si="17"/>
        <v>7094.05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/>
      <c r="P102" s="44">
        <f t="shared" si="19"/>
        <v>897.15</v>
      </c>
      <c r="Q102" s="44"/>
      <c r="R102" s="36">
        <v>3127</v>
      </c>
      <c r="S102" s="4">
        <v>394</v>
      </c>
      <c r="T102" s="37" t="s">
        <v>137</v>
      </c>
      <c r="U102" s="44"/>
      <c r="V102" s="44"/>
      <c r="W102" s="44"/>
      <c r="X102" s="44">
        <f t="shared" si="20"/>
        <v>0</v>
      </c>
      <c r="Y102" s="44"/>
      <c r="Z102" s="44">
        <v>5000</v>
      </c>
      <c r="AA102" s="44"/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186</v>
      </c>
      <c r="D103" s="44">
        <v>3686.72</v>
      </c>
      <c r="E103" s="44"/>
      <c r="F103" s="44"/>
      <c r="G103" s="48"/>
      <c r="H103" s="44">
        <f t="shared" si="17"/>
        <v>3686.72</v>
      </c>
      <c r="I103" s="44"/>
      <c r="J103" s="44"/>
      <c r="K103" s="44"/>
      <c r="L103" s="44">
        <f t="shared" si="18"/>
        <v>0</v>
      </c>
      <c r="M103" s="44"/>
      <c r="N103" s="44">
        <v>371.82</v>
      </c>
      <c r="O103" s="44"/>
      <c r="P103" s="44">
        <f t="shared" si="19"/>
        <v>371.82</v>
      </c>
      <c r="Q103" s="44"/>
      <c r="R103" s="36">
        <v>3122</v>
      </c>
      <c r="S103" s="4">
        <v>395</v>
      </c>
      <c r="T103" s="37" t="s">
        <v>47</v>
      </c>
      <c r="U103" s="44">
        <v>1350</v>
      </c>
      <c r="V103" s="44">
        <f>300</f>
        <v>300</v>
      </c>
      <c r="W103" s="44"/>
      <c r="X103" s="44">
        <f t="shared" si="20"/>
        <v>1650</v>
      </c>
      <c r="Y103" s="44"/>
      <c r="Z103" s="44">
        <v>1300</v>
      </c>
      <c r="AA103" s="44">
        <f>350</f>
        <v>350</v>
      </c>
      <c r="AB103" s="44"/>
      <c r="AC103" s="44">
        <f t="shared" si="21"/>
        <v>1650</v>
      </c>
    </row>
    <row r="104" spans="1:29" ht="12.75">
      <c r="A104" s="36">
        <v>3127</v>
      </c>
      <c r="B104" s="4">
        <v>397</v>
      </c>
      <c r="C104" s="68" t="s">
        <v>187</v>
      </c>
      <c r="D104" s="44">
        <v>5731.33</v>
      </c>
      <c r="E104" s="44"/>
      <c r="F104" s="44"/>
      <c r="G104" s="48"/>
      <c r="H104" s="44">
        <f t="shared" si="17"/>
        <v>5731.33</v>
      </c>
      <c r="I104" s="44"/>
      <c r="J104" s="44"/>
      <c r="K104" s="44"/>
      <c r="L104" s="44">
        <f t="shared" si="18"/>
        <v>0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113</v>
      </c>
      <c r="U104" s="44">
        <v>3100</v>
      </c>
      <c r="V104" s="44"/>
      <c r="W104" s="44"/>
      <c r="X104" s="44">
        <f t="shared" si="20"/>
        <v>3100</v>
      </c>
      <c r="Y104" s="44"/>
      <c r="Z104" s="44">
        <v>500</v>
      </c>
      <c r="AA104" s="44"/>
      <c r="AB104" s="44"/>
      <c r="AC104" s="44">
        <f t="shared" si="21"/>
        <v>500</v>
      </c>
    </row>
    <row r="105" spans="1:29" ht="12.75" customHeight="1">
      <c r="A105" s="36">
        <v>3127</v>
      </c>
      <c r="B105" s="4">
        <v>400</v>
      </c>
      <c r="C105" s="64" t="s">
        <v>188</v>
      </c>
      <c r="D105" s="44">
        <v>4280.03</v>
      </c>
      <c r="E105" s="44"/>
      <c r="F105" s="44"/>
      <c r="G105" s="48"/>
      <c r="H105" s="44">
        <f t="shared" si="17"/>
        <v>4280.03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/>
      <c r="P105" s="44">
        <f t="shared" si="19"/>
        <v>704.1</v>
      </c>
      <c r="Q105" s="44"/>
      <c r="R105" s="36">
        <v>3127</v>
      </c>
      <c r="S105" s="4">
        <v>400</v>
      </c>
      <c r="T105" s="64" t="s">
        <v>114</v>
      </c>
      <c r="U105" s="44"/>
      <c r="V105" s="44"/>
      <c r="W105" s="44"/>
      <c r="X105" s="44">
        <f t="shared" si="20"/>
        <v>0</v>
      </c>
      <c r="Y105" s="44"/>
      <c r="Z105" s="44">
        <v>400</v>
      </c>
      <c r="AA105" s="44">
        <f>250</f>
        <v>250</v>
      </c>
      <c r="AB105" s="44"/>
      <c r="AC105" s="44">
        <f t="shared" si="21"/>
        <v>650</v>
      </c>
    </row>
    <row r="106" spans="1:29" ht="12.75">
      <c r="A106" s="36">
        <v>3124</v>
      </c>
      <c r="B106" s="4">
        <v>401</v>
      </c>
      <c r="C106" s="37" t="s">
        <v>189</v>
      </c>
      <c r="D106" s="44">
        <v>3497.1</v>
      </c>
      <c r="E106" s="44"/>
      <c r="F106" s="44"/>
      <c r="G106" s="48"/>
      <c r="H106" s="44">
        <f t="shared" si="17"/>
        <v>3497.1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/>
      <c r="P106" s="44">
        <f t="shared" si="19"/>
        <v>141.2</v>
      </c>
      <c r="Q106" s="44"/>
      <c r="R106" s="36">
        <v>3124</v>
      </c>
      <c r="S106" s="4">
        <v>401</v>
      </c>
      <c r="T106" s="37" t="s">
        <v>115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190</v>
      </c>
      <c r="D107" s="44">
        <v>2758.62</v>
      </c>
      <c r="E107" s="44">
        <f>10</f>
        <v>10</v>
      </c>
      <c r="F107" s="44"/>
      <c r="G107" s="48"/>
      <c r="H107" s="44">
        <f t="shared" si="17"/>
        <v>2768.62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6.25">
      <c r="A108" s="36">
        <v>3121</v>
      </c>
      <c r="B108" s="4">
        <v>410</v>
      </c>
      <c r="C108" s="64" t="s">
        <v>191</v>
      </c>
      <c r="D108" s="44">
        <v>7083.74</v>
      </c>
      <c r="E108" s="44"/>
      <c r="F108" s="44"/>
      <c r="G108" s="48"/>
      <c r="H108" s="44">
        <f t="shared" si="17"/>
        <v>7083.74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/>
      <c r="P108" s="44">
        <f t="shared" si="19"/>
        <v>1117.73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192</v>
      </c>
      <c r="D109" s="44">
        <v>7195.66</v>
      </c>
      <c r="E109" s="44"/>
      <c r="F109" s="44"/>
      <c r="G109" s="48"/>
      <c r="H109" s="44">
        <f t="shared" si="17"/>
        <v>7195.66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/>
      <c r="P109" s="44">
        <f t="shared" si="19"/>
        <v>618.97</v>
      </c>
      <c r="Q109" s="44"/>
      <c r="R109" s="36">
        <v>3121</v>
      </c>
      <c r="S109" s="4">
        <v>413</v>
      </c>
      <c r="T109" s="37" t="s">
        <v>138</v>
      </c>
      <c r="U109" s="44">
        <v>2180</v>
      </c>
      <c r="V109" s="44"/>
      <c r="W109" s="44"/>
      <c r="X109" s="44">
        <f t="shared" si="20"/>
        <v>2180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3.25">
      <c r="A110" s="36">
        <v>3122</v>
      </c>
      <c r="B110" s="4">
        <v>415</v>
      </c>
      <c r="C110" s="68" t="s">
        <v>210</v>
      </c>
      <c r="D110" s="44">
        <v>6029.46</v>
      </c>
      <c r="E110" s="44"/>
      <c r="F110" s="44"/>
      <c r="G110" s="48"/>
      <c r="H110" s="44">
        <f t="shared" si="17"/>
        <v>6029.46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/>
      <c r="P110" s="44">
        <f t="shared" si="19"/>
        <v>473.22999999999996</v>
      </c>
      <c r="Q110" s="44"/>
      <c r="R110" s="36">
        <v>3122</v>
      </c>
      <c r="S110" s="4">
        <v>415</v>
      </c>
      <c r="T110" s="64" t="s">
        <v>139</v>
      </c>
      <c r="U110" s="44">
        <v>1000</v>
      </c>
      <c r="V110" s="44">
        <f>200+600</f>
        <v>800</v>
      </c>
      <c r="W110" s="44"/>
      <c r="X110" s="44">
        <f t="shared" si="20"/>
        <v>1800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416</v>
      </c>
      <c r="C111" s="77" t="s">
        <v>193</v>
      </c>
      <c r="D111" s="44">
        <v>14335.14</v>
      </c>
      <c r="E111" s="44"/>
      <c r="F111" s="44"/>
      <c r="G111" s="48"/>
      <c r="H111" s="44">
        <f t="shared" si="17"/>
        <v>14335.14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2481.14</v>
      </c>
      <c r="O111" s="44"/>
      <c r="P111" s="44">
        <f t="shared" si="19"/>
        <v>2481.14</v>
      </c>
      <c r="Q111" s="44"/>
      <c r="R111" s="36">
        <v>3127</v>
      </c>
      <c r="S111" s="4">
        <v>416</v>
      </c>
      <c r="T111" s="37" t="s">
        <v>116</v>
      </c>
      <c r="U111" s="44"/>
      <c r="V111" s="44"/>
      <c r="W111" s="44"/>
      <c r="X111" s="44">
        <f t="shared" si="20"/>
        <v>0</v>
      </c>
      <c r="Y111" s="44"/>
      <c r="Z111" s="44">
        <v>1600</v>
      </c>
      <c r="AA111" s="48"/>
      <c r="AB111" s="48"/>
      <c r="AC111" s="44">
        <f t="shared" si="21"/>
        <v>1600</v>
      </c>
    </row>
    <row r="112" spans="1:29" ht="12.75">
      <c r="A112" s="36">
        <v>3127</v>
      </c>
      <c r="B112" s="4">
        <v>418</v>
      </c>
      <c r="C112" s="68" t="s">
        <v>194</v>
      </c>
      <c r="D112" s="44">
        <v>7929.99</v>
      </c>
      <c r="E112" s="44">
        <f>185</f>
        <v>185</v>
      </c>
      <c r="F112" s="44"/>
      <c r="G112" s="48"/>
      <c r="H112" s="44">
        <f t="shared" si="17"/>
        <v>8114.99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/>
      <c r="P112" s="44">
        <f t="shared" si="19"/>
        <v>704.95</v>
      </c>
      <c r="Q112" s="44"/>
      <c r="R112" s="36">
        <v>3127</v>
      </c>
      <c r="S112" s="4">
        <v>418</v>
      </c>
      <c r="T112" s="64" t="s">
        <v>117</v>
      </c>
      <c r="U112" s="44">
        <v>220</v>
      </c>
      <c r="V112" s="48"/>
      <c r="W112" s="48"/>
      <c r="X112" s="44">
        <f t="shared" si="20"/>
        <v>220</v>
      </c>
      <c r="Y112" s="44"/>
      <c r="Z112" s="44">
        <v>6250</v>
      </c>
      <c r="AA112" s="44">
        <f>140</f>
        <v>140</v>
      </c>
      <c r="AB112" s="44"/>
      <c r="AC112" s="44">
        <f t="shared" si="21"/>
        <v>6390</v>
      </c>
    </row>
    <row r="113" spans="1:29" ht="12.75">
      <c r="A113" s="36">
        <v>3127</v>
      </c>
      <c r="B113" s="4">
        <v>419</v>
      </c>
      <c r="C113" s="37" t="s">
        <v>195</v>
      </c>
      <c r="D113" s="44">
        <v>9615.210000000001</v>
      </c>
      <c r="E113" s="44"/>
      <c r="F113" s="44"/>
      <c r="G113" s="48"/>
      <c r="H113" s="44">
        <f t="shared" si="17"/>
        <v>9615.210000000001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/>
      <c r="P113" s="44">
        <f t="shared" si="19"/>
        <v>1440.02</v>
      </c>
      <c r="Q113" s="44"/>
      <c r="R113" s="36">
        <v>3127</v>
      </c>
      <c r="S113" s="4">
        <v>419</v>
      </c>
      <c r="T113" s="37" t="s">
        <v>48</v>
      </c>
      <c r="U113" s="44">
        <v>163</v>
      </c>
      <c r="V113" s="44">
        <f>110</f>
        <v>110</v>
      </c>
      <c r="W113" s="44"/>
      <c r="X113" s="44">
        <f t="shared" si="20"/>
        <v>273</v>
      </c>
      <c r="Y113" s="44"/>
      <c r="Z113" s="44">
        <v>3591</v>
      </c>
      <c r="AA113" s="44">
        <f>-110</f>
        <v>-110</v>
      </c>
      <c r="AB113" s="44"/>
      <c r="AC113" s="44">
        <f t="shared" si="21"/>
        <v>3481</v>
      </c>
    </row>
    <row r="114" spans="1:29" ht="12.75">
      <c r="A114" s="36">
        <v>3124</v>
      </c>
      <c r="B114" s="4">
        <v>423</v>
      </c>
      <c r="C114" s="37" t="s">
        <v>196</v>
      </c>
      <c r="D114" s="44">
        <v>4009.26</v>
      </c>
      <c r="E114" s="44"/>
      <c r="F114" s="44"/>
      <c r="G114" s="48"/>
      <c r="H114" s="44">
        <f t="shared" si="17"/>
        <v>4009.26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118</v>
      </c>
      <c r="U114" s="44"/>
      <c r="V114" s="44">
        <v>1040</v>
      </c>
      <c r="W114" s="44"/>
      <c r="X114" s="44">
        <f t="shared" si="20"/>
        <v>1040</v>
      </c>
      <c r="Y114" s="44"/>
      <c r="Z114" s="44">
        <v>1040</v>
      </c>
      <c r="AA114" s="44">
        <v>-1040</v>
      </c>
      <c r="AB114" s="44"/>
      <c r="AC114" s="44">
        <f t="shared" si="21"/>
        <v>0</v>
      </c>
    </row>
    <row r="115" spans="1:29" ht="12.75">
      <c r="A115" s="36">
        <v>3112</v>
      </c>
      <c r="B115" s="4">
        <v>425</v>
      </c>
      <c r="C115" s="37" t="s">
        <v>119</v>
      </c>
      <c r="D115" s="44">
        <v>1299.0500000000002</v>
      </c>
      <c r="E115" s="44">
        <f>92.6</f>
        <v>92.6</v>
      </c>
      <c r="F115" s="44"/>
      <c r="G115" s="48"/>
      <c r="H115" s="44">
        <f t="shared" si="17"/>
        <v>1391.65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119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197</v>
      </c>
      <c r="D116" s="44">
        <v>907.7900000000001</v>
      </c>
      <c r="E116" s="44"/>
      <c r="F116" s="44"/>
      <c r="G116" s="48"/>
      <c r="H116" s="44">
        <f t="shared" si="17"/>
        <v>907.7900000000001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198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199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120</v>
      </c>
      <c r="U118" s="44"/>
      <c r="V118" s="44">
        <f>160</f>
        <v>160</v>
      </c>
      <c r="W118" s="44"/>
      <c r="X118" s="44">
        <f t="shared" si="20"/>
        <v>160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3114</v>
      </c>
      <c r="B119" s="4">
        <v>431</v>
      </c>
      <c r="C119" s="68" t="s">
        <v>200</v>
      </c>
      <c r="D119" s="44">
        <v>1610.84</v>
      </c>
      <c r="E119" s="44"/>
      <c r="F119" s="44"/>
      <c r="G119" s="48"/>
      <c r="H119" s="44">
        <f t="shared" si="17"/>
        <v>1610.84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121</v>
      </c>
      <c r="U119" s="44">
        <v>200</v>
      </c>
      <c r="V119" s="44"/>
      <c r="W119" s="44"/>
      <c r="X119" s="44">
        <f t="shared" si="20"/>
        <v>200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122</v>
      </c>
      <c r="D120" s="44">
        <v>2427</v>
      </c>
      <c r="E120" s="44"/>
      <c r="F120" s="44"/>
      <c r="G120" s="48"/>
      <c r="H120" s="44">
        <f t="shared" si="17"/>
        <v>2427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122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201</v>
      </c>
      <c r="D121" s="44">
        <v>699.6</v>
      </c>
      <c r="E121" s="44"/>
      <c r="F121" s="44"/>
      <c r="G121" s="48"/>
      <c r="H121" s="44">
        <f t="shared" si="17"/>
        <v>699.6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123</v>
      </c>
      <c r="D122" s="44">
        <v>2110.2</v>
      </c>
      <c r="E122" s="44"/>
      <c r="F122" s="44"/>
      <c r="G122" s="48"/>
      <c r="H122" s="44">
        <f t="shared" si="17"/>
        <v>2110.2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123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8" t="s">
        <v>202</v>
      </c>
      <c r="D123" s="44">
        <v>9377.310000000001</v>
      </c>
      <c r="E123" s="44">
        <f>30.82</f>
        <v>30.82</v>
      </c>
      <c r="F123" s="44"/>
      <c r="G123" s="48"/>
      <c r="H123" s="44">
        <f t="shared" si="17"/>
        <v>9408.130000000001</v>
      </c>
      <c r="I123" s="44"/>
      <c r="J123" s="44"/>
      <c r="K123" s="44"/>
      <c r="L123" s="44">
        <f t="shared" si="18"/>
        <v>0</v>
      </c>
      <c r="M123" s="44"/>
      <c r="N123" s="44">
        <v>971.4</v>
      </c>
      <c r="O123" s="44">
        <v>30.82</v>
      </c>
      <c r="P123" s="44">
        <f t="shared" si="19"/>
        <v>1002.22</v>
      </c>
      <c r="Q123" s="44"/>
      <c r="R123" s="36">
        <v>3127</v>
      </c>
      <c r="S123" s="4">
        <v>445</v>
      </c>
      <c r="T123" s="64" t="s">
        <v>124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203</v>
      </c>
      <c r="D124" s="44">
        <v>3994.8999999999996</v>
      </c>
      <c r="E124" s="59"/>
      <c r="F124" s="59"/>
      <c r="G124" s="59"/>
      <c r="H124" s="44">
        <f t="shared" si="17"/>
        <v>3994.8999999999996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/>
      <c r="P124" s="44">
        <f t="shared" si="19"/>
        <v>458.22</v>
      </c>
      <c r="Q124" s="59"/>
      <c r="R124" s="36">
        <v>3127</v>
      </c>
      <c r="S124" s="4">
        <v>447</v>
      </c>
      <c r="T124" s="37" t="s">
        <v>52</v>
      </c>
      <c r="U124" s="59">
        <v>2910</v>
      </c>
      <c r="V124" s="59">
        <f>-2410</f>
        <v>-2410</v>
      </c>
      <c r="W124" s="59"/>
      <c r="X124" s="44">
        <f t="shared" si="20"/>
        <v>500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204</v>
      </c>
      <c r="D125" s="44">
        <v>1817.0600000000002</v>
      </c>
      <c r="E125" s="44"/>
      <c r="F125" s="44"/>
      <c r="G125" s="44"/>
      <c r="H125" s="44">
        <f aca="true" t="shared" si="22" ref="H125:H132">D125+E125+F125+G125</f>
        <v>1817.0600000000002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/>
      <c r="P125" s="44">
        <f aca="true" t="shared" si="24" ref="P125:P132">N125+O125</f>
        <v>18.93</v>
      </c>
      <c r="Q125" s="44"/>
      <c r="R125" s="36">
        <v>3114</v>
      </c>
      <c r="S125" s="4">
        <v>452</v>
      </c>
      <c r="T125" s="37" t="s">
        <v>125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205</v>
      </c>
      <c r="D126" s="44">
        <v>13541.470000000001</v>
      </c>
      <c r="E126" s="44">
        <f>51.52</f>
        <v>51.52</v>
      </c>
      <c r="F126" s="44"/>
      <c r="G126" s="44"/>
      <c r="H126" s="44">
        <f t="shared" si="22"/>
        <v>13592.990000000002</v>
      </c>
      <c r="I126" s="44"/>
      <c r="J126" s="44"/>
      <c r="K126" s="44"/>
      <c r="L126" s="44">
        <f t="shared" si="23"/>
        <v>0</v>
      </c>
      <c r="M126" s="44"/>
      <c r="N126" s="44">
        <v>3827.27</v>
      </c>
      <c r="O126" s="44">
        <v>51.52</v>
      </c>
      <c r="P126" s="44">
        <f t="shared" si="24"/>
        <v>3878.79</v>
      </c>
      <c r="Q126" s="44"/>
      <c r="R126" s="36">
        <v>3127</v>
      </c>
      <c r="S126" s="4">
        <v>454</v>
      </c>
      <c r="T126" s="37" t="s">
        <v>126</v>
      </c>
      <c r="U126" s="44">
        <v>1300</v>
      </c>
      <c r="V126" s="44">
        <f>300-100</f>
        <v>200</v>
      </c>
      <c r="W126" s="44"/>
      <c r="X126" s="44">
        <f t="shared" si="25"/>
        <v>1500</v>
      </c>
      <c r="Y126" s="44"/>
      <c r="Z126" s="44">
        <v>9578</v>
      </c>
      <c r="AA126" s="44">
        <f>-300+100</f>
        <v>-200</v>
      </c>
      <c r="AB126" s="44"/>
      <c r="AC126" s="44">
        <f t="shared" si="26"/>
        <v>9378</v>
      </c>
    </row>
    <row r="127" spans="1:29" ht="12.75">
      <c r="A127" s="35">
        <v>3146</v>
      </c>
      <c r="B127" s="2">
        <v>455</v>
      </c>
      <c r="C127" s="79" t="s">
        <v>206</v>
      </c>
      <c r="D127" s="44">
        <v>5656.5199999999995</v>
      </c>
      <c r="E127" s="70">
        <f>170</f>
        <v>170</v>
      </c>
      <c r="F127" s="70"/>
      <c r="G127" s="70"/>
      <c r="H127" s="44">
        <f t="shared" si="22"/>
        <v>5826.5199999999995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/>
      <c r="P127" s="44">
        <f t="shared" si="24"/>
        <v>190.76</v>
      </c>
      <c r="Q127" s="70"/>
      <c r="R127" s="35">
        <v>3146</v>
      </c>
      <c r="S127" s="2">
        <v>455</v>
      </c>
      <c r="T127" s="69" t="s">
        <v>127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6.25">
      <c r="A128" s="36">
        <v>3127</v>
      </c>
      <c r="B128" s="4">
        <v>456</v>
      </c>
      <c r="C128" s="64" t="s">
        <v>207</v>
      </c>
      <c r="D128" s="44">
        <v>15238.52</v>
      </c>
      <c r="E128" s="44">
        <f>1000</f>
        <v>1000</v>
      </c>
      <c r="F128" s="44"/>
      <c r="G128" s="44"/>
      <c r="H128" s="44">
        <f t="shared" si="22"/>
        <v>16238.52</v>
      </c>
      <c r="I128" s="44"/>
      <c r="J128" s="44">
        <v>434</v>
      </c>
      <c r="K128" s="44"/>
      <c r="L128" s="44">
        <f t="shared" si="23"/>
        <v>434</v>
      </c>
      <c r="M128" s="44"/>
      <c r="N128" s="44">
        <v>1718.21</v>
      </c>
      <c r="O128" s="44"/>
      <c r="P128" s="44">
        <f t="shared" si="24"/>
        <v>1718.21</v>
      </c>
      <c r="Q128" s="44"/>
      <c r="R128" s="36">
        <v>3127</v>
      </c>
      <c r="S128" s="4">
        <v>456</v>
      </c>
      <c r="T128" s="64" t="s">
        <v>146</v>
      </c>
      <c r="U128" s="44">
        <v>443</v>
      </c>
      <c r="V128" s="44">
        <f>150</f>
        <v>150</v>
      </c>
      <c r="W128" s="44"/>
      <c r="X128" s="44">
        <f t="shared" si="25"/>
        <v>593</v>
      </c>
      <c r="Y128" s="44"/>
      <c r="Z128" s="44">
        <v>1056</v>
      </c>
      <c r="AA128" s="44">
        <f>544</f>
        <v>544</v>
      </c>
      <c r="AB128" s="44"/>
      <c r="AC128" s="44">
        <f t="shared" si="26"/>
        <v>1600</v>
      </c>
    </row>
    <row r="129" spans="1:29" ht="12.75">
      <c r="A129" s="36">
        <v>3127</v>
      </c>
      <c r="B129" s="4">
        <v>457</v>
      </c>
      <c r="C129" s="64" t="s">
        <v>140</v>
      </c>
      <c r="D129" s="44">
        <v>6137.95</v>
      </c>
      <c r="E129" s="44">
        <f>336.2</f>
        <v>336.2</v>
      </c>
      <c r="F129" s="44"/>
      <c r="G129" s="44"/>
      <c r="H129" s="44">
        <f t="shared" si="22"/>
        <v>6474.15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/>
      <c r="P129" s="44">
        <f t="shared" si="24"/>
        <v>415.65</v>
      </c>
      <c r="Q129" s="44"/>
      <c r="R129" s="36">
        <v>3127</v>
      </c>
      <c r="S129" s="4">
        <v>457</v>
      </c>
      <c r="T129" s="64" t="s">
        <v>140</v>
      </c>
      <c r="U129" s="44"/>
      <c r="V129" s="44"/>
      <c r="W129" s="44"/>
      <c r="X129" s="44">
        <f t="shared" si="25"/>
        <v>0</v>
      </c>
      <c r="Y129" s="44"/>
      <c r="Z129" s="44">
        <v>200</v>
      </c>
      <c r="AA129" s="44"/>
      <c r="AB129" s="44"/>
      <c r="AC129" s="44">
        <f t="shared" si="26"/>
        <v>200</v>
      </c>
    </row>
    <row r="130" spans="1:29" ht="26.25">
      <c r="A130" s="36">
        <v>3127</v>
      </c>
      <c r="B130" s="4">
        <v>458</v>
      </c>
      <c r="C130" s="64" t="s">
        <v>220</v>
      </c>
      <c r="D130" s="44">
        <v>12327.34</v>
      </c>
      <c r="E130" s="44">
        <f>280</f>
        <v>280</v>
      </c>
      <c r="F130" s="44"/>
      <c r="G130" s="44"/>
      <c r="H130" s="44">
        <f t="shared" si="22"/>
        <v>12607.34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/>
      <c r="P130" s="44">
        <f t="shared" si="24"/>
        <v>1852.03</v>
      </c>
      <c r="Q130" s="44"/>
      <c r="R130" s="36">
        <v>3127</v>
      </c>
      <c r="S130" s="4">
        <v>458</v>
      </c>
      <c r="T130" s="64" t="s">
        <v>211</v>
      </c>
      <c r="U130" s="44">
        <v>523</v>
      </c>
      <c r="V130" s="44">
        <f>650</f>
        <v>650</v>
      </c>
      <c r="W130" s="44"/>
      <c r="X130" s="44">
        <f t="shared" si="25"/>
        <v>1173</v>
      </c>
      <c r="Y130" s="44"/>
      <c r="Z130" s="44">
        <v>13737</v>
      </c>
      <c r="AA130" s="44">
        <f>4500-50</f>
        <v>4450</v>
      </c>
      <c r="AB130" s="44"/>
      <c r="AC130" s="44">
        <f t="shared" si="26"/>
        <v>18187</v>
      </c>
    </row>
    <row r="131" spans="1:29" ht="26.25">
      <c r="A131" s="36">
        <v>3127</v>
      </c>
      <c r="B131" s="4">
        <v>459</v>
      </c>
      <c r="C131" s="64" t="s">
        <v>208</v>
      </c>
      <c r="D131" s="44">
        <v>9572.05</v>
      </c>
      <c r="E131" s="44"/>
      <c r="F131" s="44"/>
      <c r="G131" s="44"/>
      <c r="H131" s="44">
        <f t="shared" si="22"/>
        <v>9572.05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/>
      <c r="P131" s="44">
        <f t="shared" si="24"/>
        <v>1424.2199999999998</v>
      </c>
      <c r="Q131" s="44"/>
      <c r="R131" s="36">
        <v>3127</v>
      </c>
      <c r="S131" s="4">
        <v>459</v>
      </c>
      <c r="T131" s="64" t="s">
        <v>147</v>
      </c>
      <c r="U131" s="44"/>
      <c r="V131" s="44"/>
      <c r="W131" s="44"/>
      <c r="X131" s="44">
        <f t="shared" si="25"/>
        <v>0</v>
      </c>
      <c r="Y131" s="44"/>
      <c r="Z131" s="44">
        <v>3500</v>
      </c>
      <c r="AA131" s="44">
        <f>1100</f>
        <v>1100</v>
      </c>
      <c r="AB131" s="44"/>
      <c r="AC131" s="44">
        <f t="shared" si="26"/>
        <v>4600</v>
      </c>
    </row>
    <row r="132" spans="1:29" ht="13.5" thickBot="1">
      <c r="A132" s="72">
        <v>3127</v>
      </c>
      <c r="B132" s="73">
        <v>460</v>
      </c>
      <c r="C132" s="78" t="s">
        <v>209</v>
      </c>
      <c r="D132" s="74">
        <v>10405.19</v>
      </c>
      <c r="E132" s="74"/>
      <c r="F132" s="74"/>
      <c r="G132" s="74"/>
      <c r="H132" s="74">
        <f t="shared" si="22"/>
        <v>10405.19</v>
      </c>
      <c r="I132" s="74"/>
      <c r="J132" s="74"/>
      <c r="K132" s="74"/>
      <c r="L132" s="74">
        <f t="shared" si="23"/>
        <v>0</v>
      </c>
      <c r="M132" s="74"/>
      <c r="N132" s="74">
        <v>875.6</v>
      </c>
      <c r="O132" s="74"/>
      <c r="P132" s="74">
        <f t="shared" si="24"/>
        <v>875.6</v>
      </c>
      <c r="Q132" s="74"/>
      <c r="R132" s="72">
        <v>3127</v>
      </c>
      <c r="S132" s="73">
        <v>460</v>
      </c>
      <c r="T132" s="71" t="s">
        <v>141</v>
      </c>
      <c r="U132" s="74"/>
      <c r="V132" s="74"/>
      <c r="W132" s="74"/>
      <c r="X132" s="74">
        <f t="shared" si="25"/>
        <v>0</v>
      </c>
      <c r="Y132" s="74"/>
      <c r="Z132" s="74"/>
      <c r="AA132" s="74"/>
      <c r="AB132" s="74"/>
      <c r="AC132" s="74">
        <f t="shared" si="26"/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4" sqref="F5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1" t="s">
        <v>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3" t="s">
        <v>13</v>
      </c>
      <c r="B4" s="85" t="s">
        <v>33</v>
      </c>
      <c r="C4" s="87" t="s">
        <v>0</v>
      </c>
      <c r="D4" s="95" t="s">
        <v>54</v>
      </c>
      <c r="E4" s="89"/>
      <c r="F4" s="89"/>
      <c r="G4" s="89"/>
      <c r="H4" s="90"/>
      <c r="I4" s="14"/>
      <c r="J4" s="95" t="s">
        <v>144</v>
      </c>
      <c r="K4" s="89"/>
      <c r="L4" s="90"/>
      <c r="M4" s="15"/>
      <c r="N4" s="80" t="s">
        <v>88</v>
      </c>
      <c r="O4" s="81"/>
      <c r="P4" s="82"/>
      <c r="Q4" s="30"/>
      <c r="R4" s="83" t="s">
        <v>13</v>
      </c>
      <c r="S4" s="85" t="s">
        <v>33</v>
      </c>
      <c r="T4" s="87" t="s">
        <v>0</v>
      </c>
      <c r="U4" s="80" t="s">
        <v>75</v>
      </c>
      <c r="V4" s="89"/>
      <c r="W4" s="89"/>
      <c r="X4" s="89"/>
      <c r="Y4" s="89"/>
      <c r="Z4" s="89"/>
      <c r="AA4" s="89"/>
      <c r="AB4" s="89"/>
      <c r="AC4" s="90"/>
    </row>
    <row r="5" spans="1:29" ht="75.75" customHeight="1" thickBot="1">
      <c r="A5" s="93"/>
      <c r="B5" s="93"/>
      <c r="C5" s="94"/>
      <c r="D5" s="16" t="s">
        <v>148</v>
      </c>
      <c r="E5" s="16" t="s">
        <v>57</v>
      </c>
      <c r="F5" s="16" t="s">
        <v>60</v>
      </c>
      <c r="G5" s="17" t="s">
        <v>55</v>
      </c>
      <c r="H5" s="16" t="s">
        <v>212</v>
      </c>
      <c r="I5" s="16"/>
      <c r="J5" s="18" t="s">
        <v>149</v>
      </c>
      <c r="K5" s="18" t="s">
        <v>61</v>
      </c>
      <c r="L5" s="18" t="s">
        <v>213</v>
      </c>
      <c r="M5" s="18"/>
      <c r="N5" s="19" t="s">
        <v>148</v>
      </c>
      <c r="O5" s="16" t="s">
        <v>57</v>
      </c>
      <c r="P5" s="19" t="s">
        <v>212</v>
      </c>
      <c r="Q5" s="19"/>
      <c r="R5" s="84"/>
      <c r="S5" s="86"/>
      <c r="T5" s="88"/>
      <c r="U5" s="27" t="s">
        <v>150</v>
      </c>
      <c r="V5" s="27" t="s">
        <v>56</v>
      </c>
      <c r="W5" s="27" t="s">
        <v>60</v>
      </c>
      <c r="X5" s="27" t="s">
        <v>214</v>
      </c>
      <c r="Y5" s="18"/>
      <c r="Z5" s="27" t="s">
        <v>151</v>
      </c>
      <c r="AA5" s="27" t="s">
        <v>56</v>
      </c>
      <c r="AB5" s="27" t="s">
        <v>60</v>
      </c>
      <c r="AC5" s="27" t="s">
        <v>215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27045.96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27045.96</v>
      </c>
      <c r="E9" s="44"/>
      <c r="F9" s="45"/>
      <c r="G9" s="44"/>
      <c r="H9" s="44">
        <f>D9+E9+F9+G9</f>
        <v>27045.96</v>
      </c>
      <c r="I9" s="44"/>
      <c r="J9" s="44"/>
      <c r="K9" s="44"/>
      <c r="L9" s="44">
        <f>J9+K9</f>
        <v>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51929.619999999995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0</v>
      </c>
      <c r="H10" s="42">
        <f t="shared" si="1"/>
        <v>51929.619999999995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33" customHeight="1">
      <c r="A13" s="36">
        <v>3639</v>
      </c>
      <c r="B13" s="4">
        <v>902</v>
      </c>
      <c r="C13" s="64" t="s">
        <v>216</v>
      </c>
      <c r="D13" s="55">
        <v>17710.78</v>
      </c>
      <c r="E13" s="48"/>
      <c r="F13" s="44"/>
      <c r="G13" s="44"/>
      <c r="H13" s="44">
        <f>D13+E13+F13+G13</f>
        <v>17710.78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280242.68</v>
      </c>
      <c r="E14" s="51">
        <f aca="true" t="shared" si="2" ref="E14:P14">SUM(E16:E20)</f>
        <v>7500</v>
      </c>
      <c r="F14" s="51">
        <f t="shared" si="2"/>
        <v>0</v>
      </c>
      <c r="G14" s="51">
        <f t="shared" si="2"/>
        <v>0</v>
      </c>
      <c r="H14" s="51">
        <f t="shared" si="2"/>
        <v>287742.68</v>
      </c>
      <c r="I14" s="51">
        <f t="shared" si="2"/>
        <v>0</v>
      </c>
      <c r="J14" s="51">
        <f t="shared" si="2"/>
        <v>2000</v>
      </c>
      <c r="K14" s="51">
        <f t="shared" si="2"/>
        <v>4000</v>
      </c>
      <c r="L14" s="51">
        <f t="shared" si="2"/>
        <v>6000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222</v>
      </c>
      <c r="D16" s="44">
        <v>39574.98</v>
      </c>
      <c r="E16" s="44">
        <v>7500</v>
      </c>
      <c r="F16" s="44"/>
      <c r="G16" s="44"/>
      <c r="H16" s="44">
        <f>D16+E16+F16+G16</f>
        <v>47074.98</v>
      </c>
      <c r="I16" s="44"/>
      <c r="J16" s="44"/>
      <c r="K16" s="48">
        <f>4000</f>
        <v>4000</v>
      </c>
      <c r="L16" s="44">
        <f>J16+K16</f>
        <v>4000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4">
        <v>9954.5</v>
      </c>
      <c r="E17" s="44"/>
      <c r="F17" s="44"/>
      <c r="G17" s="44"/>
      <c r="H17" s="44">
        <f>D17+E17+F17+G17</f>
        <v>9954.5</v>
      </c>
      <c r="I17" s="44"/>
      <c r="J17" s="53"/>
      <c r="K17" s="53"/>
      <c r="L17" s="55">
        <f>J17+K17</f>
        <v>0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44"/>
      <c r="F18" s="44"/>
      <c r="G18" s="44"/>
      <c r="H18" s="44">
        <f>D18+E18+F18+G18</f>
        <v>3151.8</v>
      </c>
      <c r="I18" s="44"/>
      <c r="J18" s="44"/>
      <c r="K18" s="54"/>
      <c r="L18" s="44">
        <f>J18+K18</f>
        <v>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218061.4</v>
      </c>
      <c r="E19" s="44"/>
      <c r="F19" s="44"/>
      <c r="G19" s="44"/>
      <c r="H19" s="44">
        <f>D19+E19+F19+G19</f>
        <v>218061.4</v>
      </c>
      <c r="I19" s="44"/>
      <c r="J19" s="44">
        <v>2000</v>
      </c>
      <c r="K19" s="44"/>
      <c r="L19" s="44">
        <f>J19+K19</f>
        <v>2000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9500</v>
      </c>
      <c r="E20" s="44"/>
      <c r="F20" s="44"/>
      <c r="G20" s="44"/>
      <c r="H20" s="44">
        <f>D20+E20+F20+G20</f>
        <v>9500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190449.15</v>
      </c>
      <c r="E21" s="42">
        <f aca="true" t="shared" si="3" ref="E21:P21">SUM(E23:E32)</f>
        <v>1536.3</v>
      </c>
      <c r="F21" s="42">
        <f t="shared" si="3"/>
        <v>0</v>
      </c>
      <c r="G21" s="42">
        <f t="shared" si="3"/>
        <v>0</v>
      </c>
      <c r="H21" s="42">
        <f t="shared" si="3"/>
        <v>191985.45</v>
      </c>
      <c r="I21" s="42">
        <f t="shared" si="3"/>
        <v>0</v>
      </c>
      <c r="J21" s="42">
        <f t="shared" si="3"/>
        <v>4429</v>
      </c>
      <c r="K21" s="42">
        <f t="shared" si="3"/>
        <v>500</v>
      </c>
      <c r="L21" s="42">
        <f t="shared" si="3"/>
        <v>4929</v>
      </c>
      <c r="M21" s="42">
        <f t="shared" si="3"/>
        <v>0</v>
      </c>
      <c r="N21" s="42">
        <f t="shared" si="3"/>
        <v>9794.500000000002</v>
      </c>
      <c r="O21" s="43">
        <f t="shared" si="3"/>
        <v>0</v>
      </c>
      <c r="P21" s="42">
        <f t="shared" si="3"/>
        <v>9794.500000000002</v>
      </c>
      <c r="Q21" s="42"/>
      <c r="R21" s="60"/>
      <c r="S21" s="61"/>
      <c r="T21" s="42" t="s">
        <v>72</v>
      </c>
      <c r="U21" s="42">
        <f>SUM(U23:U32)</f>
        <v>739.9200000000001</v>
      </c>
      <c r="V21" s="42">
        <f>SUM(V23:V32)</f>
        <v>-100</v>
      </c>
      <c r="W21" s="42">
        <f>SUM(W23:W32)</f>
        <v>0</v>
      </c>
      <c r="X21" s="42">
        <f>SUM(X23:X32)</f>
        <v>639.9200000000001</v>
      </c>
      <c r="Y21" s="42"/>
      <c r="Z21" s="42">
        <f>SUM(Z23:Z32)</f>
        <v>2818.35</v>
      </c>
      <c r="AA21" s="76">
        <f>SUM(AA23:AA32)</f>
        <v>390</v>
      </c>
      <c r="AB21" s="42">
        <f>SUM(AB23:AB32)</f>
        <v>0</v>
      </c>
      <c r="AC21" s="42">
        <f>SUM(AC23:AC32)</f>
        <v>3208.35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/>
      <c r="F23" s="44"/>
      <c r="G23" s="44"/>
      <c r="H23" s="44">
        <f>D23+E23+F23+G23</f>
        <v>13672.4</v>
      </c>
      <c r="I23" s="44"/>
      <c r="J23" s="44">
        <v>1600</v>
      </c>
      <c r="K23" s="44"/>
      <c r="L23" s="44">
        <f aca="true" t="shared" si="4" ref="L23:L32">J23+K23</f>
        <v>1600</v>
      </c>
      <c r="M23" s="44"/>
      <c r="N23" s="44">
        <v>790</v>
      </c>
      <c r="O23" s="44"/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7523.3</v>
      </c>
      <c r="E24" s="44"/>
      <c r="F24" s="44"/>
      <c r="G24" s="44"/>
      <c r="H24" s="44">
        <f aca="true" t="shared" si="8" ref="H24:H32">D24+E24+F24+G24</f>
        <v>7523.3</v>
      </c>
      <c r="I24" s="44"/>
      <c r="J24" s="44">
        <v>400</v>
      </c>
      <c r="K24" s="44"/>
      <c r="L24" s="44">
        <f t="shared" si="4"/>
        <v>400</v>
      </c>
      <c r="M24" s="44"/>
      <c r="N24" s="44">
        <v>168.4</v>
      </c>
      <c r="O24" s="44"/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80</v>
      </c>
      <c r="D25" s="44">
        <v>45813.5</v>
      </c>
      <c r="E25" s="44">
        <f>36.3+550</f>
        <v>586.3</v>
      </c>
      <c r="F25" s="44"/>
      <c r="G25" s="44"/>
      <c r="H25" s="44">
        <f t="shared" si="8"/>
        <v>46399.8</v>
      </c>
      <c r="I25" s="44"/>
      <c r="J25" s="44">
        <v>2000</v>
      </c>
      <c r="K25" s="44"/>
      <c r="L25" s="44">
        <f t="shared" si="4"/>
        <v>2000</v>
      </c>
      <c r="M25" s="44"/>
      <c r="N25" s="44">
        <v>1328</v>
      </c>
      <c r="O25" s="44"/>
      <c r="P25" s="44">
        <f t="shared" si="5"/>
        <v>1328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61794.6</v>
      </c>
      <c r="E26" s="44"/>
      <c r="F26" s="44"/>
      <c r="G26" s="44"/>
      <c r="H26" s="44">
        <f t="shared" si="8"/>
        <v>61794.6</v>
      </c>
      <c r="I26" s="44"/>
      <c r="J26" s="44"/>
      <c r="K26" s="44"/>
      <c r="L26" s="44">
        <f t="shared" si="4"/>
        <v>0</v>
      </c>
      <c r="M26" s="44"/>
      <c r="N26" s="44">
        <v>4387.8</v>
      </c>
      <c r="O26" s="44"/>
      <c r="P26" s="44">
        <f t="shared" si="5"/>
        <v>4387.8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/>
      <c r="AB26" s="44"/>
      <c r="AC26" s="44">
        <f t="shared" si="7"/>
        <v>500</v>
      </c>
    </row>
    <row r="27" spans="1:29" ht="12.75">
      <c r="A27" s="36">
        <v>3319</v>
      </c>
      <c r="B27" s="4">
        <v>605</v>
      </c>
      <c r="C27" s="8" t="s">
        <v>143</v>
      </c>
      <c r="D27" s="44">
        <v>5938.15</v>
      </c>
      <c r="E27" s="44"/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66.6</v>
      </c>
      <c r="O27" s="44"/>
      <c r="P27" s="44">
        <f t="shared" si="5"/>
        <v>66.6</v>
      </c>
      <c r="Q27" s="44"/>
      <c r="R27" s="62">
        <v>3319</v>
      </c>
      <c r="S27" s="4">
        <v>605</v>
      </c>
      <c r="T27" s="47" t="s">
        <v>143</v>
      </c>
      <c r="U27" s="44">
        <v>100</v>
      </c>
      <c r="V27" s="44"/>
      <c r="W27" s="44"/>
      <c r="X27" s="44">
        <f t="shared" si="6"/>
        <v>100</v>
      </c>
      <c r="Y27" s="44"/>
      <c r="Z27" s="44">
        <v>200</v>
      </c>
      <c r="AA27" s="48"/>
      <c r="AB27" s="44"/>
      <c r="AC27" s="44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/>
      <c r="F28" s="44"/>
      <c r="G28" s="44"/>
      <c r="H28" s="44">
        <f t="shared" si="8"/>
        <v>12987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/>
      <c r="P28" s="44">
        <f t="shared" si="5"/>
        <v>602.5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/>
      <c r="F29" s="44"/>
      <c r="G29" s="44"/>
      <c r="H29" s="44">
        <f t="shared" si="8"/>
        <v>6313.5</v>
      </c>
      <c r="I29" s="44"/>
      <c r="J29" s="44"/>
      <c r="K29" s="44"/>
      <c r="L29" s="44">
        <f t="shared" si="4"/>
        <v>0</v>
      </c>
      <c r="M29" s="44"/>
      <c r="N29" s="44">
        <v>139.8</v>
      </c>
      <c r="O29" s="44"/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10649</v>
      </c>
      <c r="E30" s="44">
        <f>100</f>
        <v>100</v>
      </c>
      <c r="F30" s="44"/>
      <c r="G30" s="44"/>
      <c r="H30" s="44">
        <f t="shared" si="8"/>
        <v>10749</v>
      </c>
      <c r="I30" s="44"/>
      <c r="J30" s="44">
        <v>50</v>
      </c>
      <c r="K30" s="44">
        <v>500</v>
      </c>
      <c r="L30" s="44">
        <f t="shared" si="4"/>
        <v>550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>
        <v>100</v>
      </c>
      <c r="V30" s="44">
        <f>-100</f>
        <v>-100</v>
      </c>
      <c r="W30" s="44"/>
      <c r="X30" s="44">
        <f t="shared" si="6"/>
        <v>0</v>
      </c>
      <c r="Y30" s="44"/>
      <c r="Z30" s="44">
        <v>300</v>
      </c>
      <c r="AA30" s="44">
        <f>-300+690</f>
        <v>390</v>
      </c>
      <c r="AB30" s="44"/>
      <c r="AC30" s="44">
        <f t="shared" si="7"/>
        <v>690</v>
      </c>
    </row>
    <row r="31" spans="1:29" ht="12.75">
      <c r="A31" s="36">
        <v>3315</v>
      </c>
      <c r="B31" s="4">
        <v>609</v>
      </c>
      <c r="C31" s="8" t="s">
        <v>132</v>
      </c>
      <c r="D31" s="44">
        <v>11835.7</v>
      </c>
      <c r="E31" s="44">
        <f>500+50</f>
        <v>550</v>
      </c>
      <c r="F31" s="44"/>
      <c r="G31" s="44"/>
      <c r="H31" s="44">
        <f t="shared" si="8"/>
        <v>12385.7</v>
      </c>
      <c r="I31" s="44"/>
      <c r="J31" s="44">
        <v>50</v>
      </c>
      <c r="K31" s="44"/>
      <c r="L31" s="44">
        <f t="shared" si="4"/>
        <v>50</v>
      </c>
      <c r="M31" s="44"/>
      <c r="N31" s="44">
        <v>1767.7</v>
      </c>
      <c r="O31" s="44"/>
      <c r="P31" s="44">
        <f t="shared" si="5"/>
        <v>1767.7</v>
      </c>
      <c r="Q31" s="44"/>
      <c r="R31" s="62">
        <v>3315</v>
      </c>
      <c r="S31" s="4">
        <v>609</v>
      </c>
      <c r="T31" s="47" t="s">
        <v>132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13922</v>
      </c>
      <c r="E32" s="44">
        <f>300</f>
        <v>300</v>
      </c>
      <c r="F32" s="44"/>
      <c r="G32" s="44"/>
      <c r="H32" s="44">
        <f t="shared" si="8"/>
        <v>14222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/>
      <c r="P32" s="44">
        <f t="shared" si="5"/>
        <v>393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179520</v>
      </c>
      <c r="E33" s="56">
        <f aca="true" t="shared" si="9" ref="E33:P33">SUM(E35:E58)</f>
        <v>22000</v>
      </c>
      <c r="F33" s="56">
        <f t="shared" si="9"/>
        <v>350</v>
      </c>
      <c r="G33" s="56">
        <f t="shared" si="9"/>
        <v>0</v>
      </c>
      <c r="H33" s="56">
        <f t="shared" si="9"/>
        <v>201870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2900</v>
      </c>
      <c r="V33" s="56">
        <f>SUM(V35:V58)</f>
        <v>1200</v>
      </c>
      <c r="W33" s="56">
        <f>SUM(W35:W58)</f>
        <v>0</v>
      </c>
      <c r="X33" s="56">
        <f>SUM(X35:X58)</f>
        <v>4100</v>
      </c>
      <c r="Y33" s="56"/>
      <c r="Z33" s="56">
        <f>SUM(Z35:Z58)</f>
        <v>18966.82</v>
      </c>
      <c r="AA33" s="56">
        <f>SUM(AA35:AA58)</f>
        <v>1825</v>
      </c>
      <c r="AB33" s="56">
        <f>SUM(AB35:AB58)</f>
        <v>0</v>
      </c>
      <c r="AC33" s="56">
        <f>SUM(AC35:AC58)</f>
        <v>20791.82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5257</v>
      </c>
      <c r="E35" s="44">
        <v>1142</v>
      </c>
      <c r="F35" s="44"/>
      <c r="G35" s="44"/>
      <c r="H35" s="44">
        <f>D35+E35+F35+G35</f>
        <v>6399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1380</v>
      </c>
      <c r="AA35" s="44"/>
      <c r="AB35" s="44"/>
      <c r="AC35" s="44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4">
        <v>4590</v>
      </c>
      <c r="E36" s="44">
        <v>1003</v>
      </c>
      <c r="F36" s="44"/>
      <c r="G36" s="44"/>
      <c r="H36" s="44">
        <f aca="true" t="shared" si="14" ref="H36:H58">D36+E36+F36+G36</f>
        <v>5593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>
        <v>1747.93</v>
      </c>
      <c r="AA36" s="44"/>
      <c r="AB36" s="44"/>
      <c r="AC36" s="44">
        <f t="shared" si="13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8845</v>
      </c>
      <c r="E37" s="44">
        <v>884</v>
      </c>
      <c r="F37" s="44"/>
      <c r="G37" s="44"/>
      <c r="H37" s="44">
        <f t="shared" si="14"/>
        <v>9729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>
        <v>718</v>
      </c>
      <c r="AA37" s="44"/>
      <c r="AB37" s="44"/>
      <c r="AC37" s="44">
        <f t="shared" si="13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5691</v>
      </c>
      <c r="E38" s="44">
        <v>1415</v>
      </c>
      <c r="F38" s="44"/>
      <c r="G38" s="44"/>
      <c r="H38" s="44">
        <f t="shared" si="14"/>
        <v>7106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>
        <v>1900</v>
      </c>
      <c r="V38" s="44">
        <f>700</f>
        <v>700</v>
      </c>
      <c r="W38" s="44"/>
      <c r="X38" s="44">
        <f t="shared" si="12"/>
        <v>2600</v>
      </c>
      <c r="Y38" s="44"/>
      <c r="Z38" s="44">
        <v>180</v>
      </c>
      <c r="AA38" s="44"/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128</v>
      </c>
      <c r="D39" s="44">
        <v>19678</v>
      </c>
      <c r="E39" s="44">
        <v>2016</v>
      </c>
      <c r="F39" s="44"/>
      <c r="G39" s="44"/>
      <c r="H39" s="44">
        <f t="shared" si="14"/>
        <v>21694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128</v>
      </c>
      <c r="U39" s="44"/>
      <c r="V39" s="44"/>
      <c r="W39" s="44"/>
      <c r="X39" s="44">
        <f t="shared" si="12"/>
        <v>0</v>
      </c>
      <c r="Y39" s="44"/>
      <c r="Z39" s="44">
        <v>3452.62</v>
      </c>
      <c r="AA39" s="44"/>
      <c r="AB39" s="44"/>
      <c r="AC39" s="44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2548</v>
      </c>
      <c r="E40" s="44">
        <v>388</v>
      </c>
      <c r="F40" s="44"/>
      <c r="G40" s="44"/>
      <c r="H40" s="44">
        <f t="shared" si="14"/>
        <v>2936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>
        <v>500</v>
      </c>
      <c r="W40" s="44"/>
      <c r="X40" s="44">
        <f t="shared" si="12"/>
        <v>500</v>
      </c>
      <c r="Y40" s="44"/>
      <c r="Z40" s="44">
        <v>250</v>
      </c>
      <c r="AA40" s="44"/>
      <c r="AB40" s="44"/>
      <c r="AC40" s="44">
        <f t="shared" si="13"/>
        <v>250</v>
      </c>
    </row>
    <row r="41" spans="1:29" ht="12.75">
      <c r="A41" s="36">
        <v>4357</v>
      </c>
      <c r="B41" s="4">
        <v>807</v>
      </c>
      <c r="C41" s="7" t="s">
        <v>84</v>
      </c>
      <c r="D41" s="44">
        <v>9477</v>
      </c>
      <c r="E41" s="44">
        <v>300</v>
      </c>
      <c r="F41" s="44"/>
      <c r="G41" s="48"/>
      <c r="H41" s="44">
        <f t="shared" si="14"/>
        <v>9777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2"/>
        <v>0</v>
      </c>
      <c r="Y41" s="44"/>
      <c r="Z41" s="44">
        <v>500</v>
      </c>
      <c r="AA41" s="44"/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2555</v>
      </c>
      <c r="E42" s="44">
        <v>285</v>
      </c>
      <c r="F42" s="44"/>
      <c r="G42" s="48"/>
      <c r="H42" s="44">
        <f t="shared" si="14"/>
        <v>2840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8495</v>
      </c>
      <c r="E43" s="44">
        <v>2131</v>
      </c>
      <c r="F43" s="44"/>
      <c r="G43" s="48"/>
      <c r="H43" s="44">
        <f t="shared" si="14"/>
        <v>10626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>
        <v>1500</v>
      </c>
      <c r="AA43" s="44">
        <f>1525</f>
        <v>1525</v>
      </c>
      <c r="AB43" s="44"/>
      <c r="AC43" s="44">
        <f t="shared" si="13"/>
        <v>3025</v>
      </c>
    </row>
    <row r="44" spans="1:29" ht="12.75">
      <c r="A44" s="36">
        <v>4350</v>
      </c>
      <c r="B44" s="4">
        <v>810</v>
      </c>
      <c r="C44" s="7" t="s">
        <v>82</v>
      </c>
      <c r="D44" s="44">
        <v>2984</v>
      </c>
      <c r="E44" s="44">
        <v>0</v>
      </c>
      <c r="F44" s="44"/>
      <c r="G44" s="48"/>
      <c r="H44" s="44">
        <f t="shared" si="14"/>
        <v>2984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82</v>
      </c>
      <c r="U44" s="44"/>
      <c r="V44" s="44"/>
      <c r="W44" s="44"/>
      <c r="X44" s="44">
        <f t="shared" si="12"/>
        <v>0</v>
      </c>
      <c r="Y44" s="44"/>
      <c r="Z44" s="44">
        <v>380</v>
      </c>
      <c r="AA44" s="44">
        <f>300</f>
        <v>300</v>
      </c>
      <c r="AB44" s="44"/>
      <c r="AC44" s="44">
        <f t="shared" si="13"/>
        <v>680</v>
      </c>
    </row>
    <row r="45" spans="1:29" ht="12.75">
      <c r="A45" s="36">
        <v>4350</v>
      </c>
      <c r="B45" s="4">
        <v>811</v>
      </c>
      <c r="C45" s="7" t="s">
        <v>78</v>
      </c>
      <c r="D45" s="44">
        <v>4126</v>
      </c>
      <c r="E45" s="44">
        <v>823</v>
      </c>
      <c r="F45" s="44"/>
      <c r="G45" s="48"/>
      <c r="H45" s="44">
        <f t="shared" si="14"/>
        <v>4949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19773</v>
      </c>
      <c r="E46" s="44">
        <v>1664</v>
      </c>
      <c r="F46" s="44"/>
      <c r="G46" s="48"/>
      <c r="H46" s="44">
        <f t="shared" si="14"/>
        <v>21437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2258.27</v>
      </c>
      <c r="AA46" s="44"/>
      <c r="AB46" s="44"/>
      <c r="AC46" s="44">
        <f t="shared" si="13"/>
        <v>2258.27</v>
      </c>
    </row>
    <row r="47" spans="1:29" ht="12.75">
      <c r="A47" s="36">
        <v>4357</v>
      </c>
      <c r="B47" s="4">
        <v>814</v>
      </c>
      <c r="C47" s="40" t="s">
        <v>130</v>
      </c>
      <c r="D47" s="44">
        <v>8176</v>
      </c>
      <c r="E47" s="44">
        <v>822</v>
      </c>
      <c r="F47" s="44"/>
      <c r="G47" s="48"/>
      <c r="H47" s="44">
        <f t="shared" si="14"/>
        <v>8998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130</v>
      </c>
      <c r="U47" s="44">
        <v>1000</v>
      </c>
      <c r="V47" s="44"/>
      <c r="W47" s="44"/>
      <c r="X47" s="44">
        <f t="shared" si="12"/>
        <v>1000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40" t="s">
        <v>129</v>
      </c>
      <c r="D48" s="44">
        <v>6340</v>
      </c>
      <c r="E48" s="48">
        <v>659</v>
      </c>
      <c r="F48" s="44"/>
      <c r="G48" s="48"/>
      <c r="H48" s="44">
        <f t="shared" si="14"/>
        <v>6999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129</v>
      </c>
      <c r="U48" s="44"/>
      <c r="V48" s="44"/>
      <c r="W48" s="44"/>
      <c r="X48" s="44">
        <f t="shared" si="12"/>
        <v>0</v>
      </c>
      <c r="Y48" s="44"/>
      <c r="Z48" s="44">
        <v>2400</v>
      </c>
      <c r="AA48" s="44"/>
      <c r="AB48" s="44"/>
      <c r="AC48" s="44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9063</v>
      </c>
      <c r="E49" s="48">
        <v>1147</v>
      </c>
      <c r="F49" s="44"/>
      <c r="G49" s="48"/>
      <c r="H49" s="44">
        <f t="shared" si="14"/>
        <v>10210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11931</v>
      </c>
      <c r="E50" s="48">
        <v>1458</v>
      </c>
      <c r="F50" s="44"/>
      <c r="G50" s="48"/>
      <c r="H50" s="44">
        <f t="shared" si="14"/>
        <v>13389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85</v>
      </c>
      <c r="D51" s="44">
        <v>8700</v>
      </c>
      <c r="E51" s="48">
        <v>1095</v>
      </c>
      <c r="F51" s="44"/>
      <c r="G51" s="48"/>
      <c r="H51" s="44">
        <f t="shared" si="14"/>
        <v>9795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8351</v>
      </c>
      <c r="E52" s="48">
        <v>1053</v>
      </c>
      <c r="F52" s="44"/>
      <c r="G52" s="48"/>
      <c r="H52" s="44">
        <f t="shared" si="14"/>
        <v>9404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7249</v>
      </c>
      <c r="E53" s="48">
        <v>760</v>
      </c>
      <c r="F53" s="44">
        <v>350</v>
      </c>
      <c r="G53" s="48"/>
      <c r="H53" s="44">
        <f t="shared" si="14"/>
        <v>8359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6856</v>
      </c>
      <c r="E54" s="44">
        <v>1136</v>
      </c>
      <c r="F54" s="44"/>
      <c r="G54" s="44"/>
      <c r="H54" s="44">
        <f t="shared" si="14"/>
        <v>7992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2"/>
        <v>0</v>
      </c>
      <c r="Y54" s="44"/>
      <c r="Z54" s="44">
        <v>500</v>
      </c>
      <c r="AA54" s="44"/>
      <c r="AB54" s="44"/>
      <c r="AC54" s="44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2685</v>
      </c>
      <c r="E55" s="44">
        <v>253</v>
      </c>
      <c r="F55" s="44"/>
      <c r="G55" s="44"/>
      <c r="H55" s="44">
        <f t="shared" si="14"/>
        <v>2938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1260</v>
      </c>
      <c r="AA55" s="44"/>
      <c r="AB55" s="44"/>
      <c r="AC55" s="44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6455</v>
      </c>
      <c r="E56" s="44">
        <v>318</v>
      </c>
      <c r="F56" s="44"/>
      <c r="G56" s="44"/>
      <c r="H56" s="44">
        <f t="shared" si="14"/>
        <v>6773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1220</v>
      </c>
      <c r="AA56" s="44"/>
      <c r="AB56" s="44"/>
      <c r="AC56" s="44">
        <f t="shared" si="13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3254</v>
      </c>
      <c r="E57" s="44">
        <v>623</v>
      </c>
      <c r="F57" s="44"/>
      <c r="G57" s="44"/>
      <c r="H57" s="44">
        <f t="shared" si="14"/>
        <v>3877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>
        <v>650</v>
      </c>
      <c r="AA57" s="44"/>
      <c r="AB57" s="44"/>
      <c r="AC57" s="44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6441</v>
      </c>
      <c r="E58" s="44">
        <v>625</v>
      </c>
      <c r="F58" s="44"/>
      <c r="G58" s="44"/>
      <c r="H58" s="44">
        <f t="shared" si="14"/>
        <v>7066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>SUM(D61:D132)</f>
        <v>386014.5</v>
      </c>
      <c r="E59" s="56">
        <f aca="true" t="shared" si="15" ref="E59:P59">SUM(E61:E132)</f>
        <v>2685.13</v>
      </c>
      <c r="F59" s="56">
        <f t="shared" si="15"/>
        <v>0</v>
      </c>
      <c r="G59" s="56">
        <f t="shared" si="15"/>
        <v>0</v>
      </c>
      <c r="H59" s="56">
        <f t="shared" si="15"/>
        <v>388699.63000000006</v>
      </c>
      <c r="I59" s="56">
        <f t="shared" si="15"/>
        <v>0</v>
      </c>
      <c r="J59" s="56">
        <f t="shared" si="15"/>
        <v>48839.829999999994</v>
      </c>
      <c r="K59" s="56">
        <f t="shared" si="15"/>
        <v>155.49</v>
      </c>
      <c r="L59" s="56">
        <f t="shared" si="15"/>
        <v>48995.31999999999</v>
      </c>
      <c r="M59" s="56">
        <f t="shared" si="15"/>
        <v>0</v>
      </c>
      <c r="N59" s="56">
        <f t="shared" si="15"/>
        <v>42789.24</v>
      </c>
      <c r="O59" s="56">
        <f t="shared" si="15"/>
        <v>350.13</v>
      </c>
      <c r="P59" s="56">
        <f t="shared" si="15"/>
        <v>43139.37</v>
      </c>
      <c r="Q59" s="56"/>
      <c r="R59" s="62"/>
      <c r="S59" s="63"/>
      <c r="T59" s="56" t="s">
        <v>74</v>
      </c>
      <c r="U59" s="56">
        <f aca="true" t="shared" si="16" ref="U59:AC59">SUM(U61:U132)</f>
        <v>30911</v>
      </c>
      <c r="V59" s="56">
        <f t="shared" si="16"/>
        <v>340</v>
      </c>
      <c r="W59" s="56">
        <f t="shared" si="16"/>
        <v>0</v>
      </c>
      <c r="X59" s="56">
        <f t="shared" si="16"/>
        <v>31251</v>
      </c>
      <c r="Y59" s="56">
        <f t="shared" si="16"/>
        <v>0</v>
      </c>
      <c r="Z59" s="56">
        <f t="shared" si="16"/>
        <v>94068.25</v>
      </c>
      <c r="AA59" s="56">
        <f t="shared" si="16"/>
        <v>3104</v>
      </c>
      <c r="AB59" s="56">
        <f t="shared" si="16"/>
        <v>0</v>
      </c>
      <c r="AC59" s="56">
        <f t="shared" si="16"/>
        <v>97172.25</v>
      </c>
    </row>
    <row r="60" spans="1:29" ht="27.75" customHeight="1">
      <c r="A60" s="36"/>
      <c r="B60" s="4"/>
      <c r="C60" s="29" t="s">
        <v>219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152</v>
      </c>
      <c r="D61" s="44">
        <v>4656.35</v>
      </c>
      <c r="E61" s="44"/>
      <c r="F61" s="44"/>
      <c r="G61" s="48"/>
      <c r="H61" s="44">
        <f aca="true" t="shared" si="17" ref="H61:H124">D61+E61+F61+G61</f>
        <v>4656.35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/>
      <c r="P61" s="44">
        <f aca="true" t="shared" si="19" ref="P61:P124">N61+O61</f>
        <v>429.32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153</v>
      </c>
      <c r="D62" s="44">
        <v>6686.1900000000005</v>
      </c>
      <c r="E62" s="44">
        <f>9.32</f>
        <v>9.32</v>
      </c>
      <c r="F62" s="44"/>
      <c r="G62" s="48"/>
      <c r="H62" s="44">
        <f t="shared" si="17"/>
        <v>6695.51</v>
      </c>
      <c r="I62" s="44"/>
      <c r="J62" s="44"/>
      <c r="K62" s="44"/>
      <c r="L62" s="44">
        <f t="shared" si="18"/>
        <v>0</v>
      </c>
      <c r="M62" s="44"/>
      <c r="N62" s="44">
        <v>383.25</v>
      </c>
      <c r="O62" s="44">
        <v>-0.68</v>
      </c>
      <c r="P62" s="44">
        <f t="shared" si="19"/>
        <v>382.57</v>
      </c>
      <c r="Q62" s="44"/>
      <c r="R62" s="36">
        <v>3121</v>
      </c>
      <c r="S62" s="4">
        <v>302</v>
      </c>
      <c r="T62" s="37" t="s">
        <v>92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/>
      <c r="AB62" s="44"/>
      <c r="AC62" s="44">
        <f t="shared" si="21"/>
        <v>800</v>
      </c>
    </row>
    <row r="63" spans="1:29" ht="12.75">
      <c r="A63" s="36">
        <v>3121</v>
      </c>
      <c r="B63" s="4">
        <v>303</v>
      </c>
      <c r="C63" s="77" t="s">
        <v>154</v>
      </c>
      <c r="D63" s="44">
        <v>3757.5899999999997</v>
      </c>
      <c r="E63" s="44"/>
      <c r="F63" s="44"/>
      <c r="G63" s="48"/>
      <c r="H63" s="44">
        <f t="shared" si="17"/>
        <v>3757.5899999999997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/>
      <c r="P63" s="44">
        <f t="shared" si="19"/>
        <v>396.31</v>
      </c>
      <c r="Q63" s="44"/>
      <c r="R63" s="36">
        <v>3121</v>
      </c>
      <c r="S63" s="4">
        <v>303</v>
      </c>
      <c r="T63" s="37" t="s">
        <v>133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68" t="s">
        <v>217</v>
      </c>
      <c r="D64" s="44">
        <v>6302.86</v>
      </c>
      <c r="E64" s="44"/>
      <c r="F64" s="44"/>
      <c r="G64" s="48"/>
      <c r="H64" s="44">
        <f t="shared" si="17"/>
        <v>6302.86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/>
      <c r="P64" s="44">
        <f t="shared" si="19"/>
        <v>1071.93</v>
      </c>
      <c r="Q64" s="44"/>
      <c r="R64" s="36">
        <v>3122</v>
      </c>
      <c r="S64" s="4">
        <v>305</v>
      </c>
      <c r="T64" s="3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155</v>
      </c>
      <c r="D65" s="44">
        <v>5004.76</v>
      </c>
      <c r="E65" s="44">
        <f>50.4</f>
        <v>50.4</v>
      </c>
      <c r="F65" s="44"/>
      <c r="G65" s="48"/>
      <c r="H65" s="44">
        <f t="shared" si="17"/>
        <v>5055.16</v>
      </c>
      <c r="I65" s="44"/>
      <c r="J65" s="44">
        <v>200</v>
      </c>
      <c r="K65" s="44"/>
      <c r="L65" s="44">
        <f t="shared" si="18"/>
        <v>200</v>
      </c>
      <c r="M65" s="44"/>
      <c r="N65" s="44">
        <v>910.8</v>
      </c>
      <c r="O65" s="44"/>
      <c r="P65" s="44">
        <f t="shared" si="19"/>
        <v>910.8</v>
      </c>
      <c r="Q65" s="44"/>
      <c r="R65" s="36">
        <v>3122</v>
      </c>
      <c r="S65" s="4">
        <v>307</v>
      </c>
      <c r="T65" s="37" t="s">
        <v>94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156</v>
      </c>
      <c r="D66" s="44">
        <v>16113.88</v>
      </c>
      <c r="E66" s="44">
        <f>34.3</f>
        <v>34.3</v>
      </c>
      <c r="F66" s="44"/>
      <c r="G66" s="48"/>
      <c r="H66" s="44">
        <f t="shared" si="17"/>
        <v>16148.179999999998</v>
      </c>
      <c r="I66" s="44"/>
      <c r="J66" s="44"/>
      <c r="K66" s="44"/>
      <c r="L66" s="44">
        <f t="shared" si="18"/>
        <v>0</v>
      </c>
      <c r="M66" s="44"/>
      <c r="N66" s="44">
        <v>508.87</v>
      </c>
      <c r="O66" s="44">
        <v>34.3</v>
      </c>
      <c r="P66" s="44">
        <f t="shared" si="19"/>
        <v>543.17</v>
      </c>
      <c r="Q66" s="44"/>
      <c r="R66" s="36">
        <v>3127</v>
      </c>
      <c r="S66" s="4">
        <v>308</v>
      </c>
      <c r="T66" s="37" t="s">
        <v>95</v>
      </c>
      <c r="U66" s="44">
        <v>150</v>
      </c>
      <c r="V66" s="44">
        <f>320</f>
        <v>320</v>
      </c>
      <c r="W66" s="44"/>
      <c r="X66" s="44">
        <f t="shared" si="20"/>
        <v>470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221</v>
      </c>
      <c r="D67" s="44">
        <v>8883.51</v>
      </c>
      <c r="E67" s="44"/>
      <c r="F67" s="44"/>
      <c r="G67" s="48"/>
      <c r="H67" s="44">
        <f t="shared" si="17"/>
        <v>8883.51</v>
      </c>
      <c r="I67" s="44"/>
      <c r="J67" s="44"/>
      <c r="K67" s="44">
        <f>155.49</f>
        <v>155.49</v>
      </c>
      <c r="L67" s="44">
        <f t="shared" si="18"/>
        <v>155.49</v>
      </c>
      <c r="M67" s="44"/>
      <c r="N67" s="44">
        <v>1363.41</v>
      </c>
      <c r="O67" s="44"/>
      <c r="P67" s="44">
        <f t="shared" si="19"/>
        <v>1363.41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5960</v>
      </c>
      <c r="AA67" s="44">
        <f>350</f>
        <v>350</v>
      </c>
      <c r="AB67" s="44"/>
      <c r="AC67" s="44">
        <f t="shared" si="21"/>
        <v>6310</v>
      </c>
    </row>
    <row r="68" spans="1:29" ht="12.75">
      <c r="A68" s="36">
        <v>3122</v>
      </c>
      <c r="B68" s="4">
        <v>312</v>
      </c>
      <c r="C68" s="77" t="s">
        <v>157</v>
      </c>
      <c r="D68" s="44">
        <v>6577.349999999999</v>
      </c>
      <c r="E68" s="44">
        <f>37.97</f>
        <v>37.97</v>
      </c>
      <c r="F68" s="44"/>
      <c r="G68" s="48"/>
      <c r="H68" s="44">
        <f t="shared" si="17"/>
        <v>6615.32</v>
      </c>
      <c r="I68" s="44"/>
      <c r="J68" s="44"/>
      <c r="K68" s="44"/>
      <c r="L68" s="44">
        <f t="shared" si="18"/>
        <v>0</v>
      </c>
      <c r="M68" s="44"/>
      <c r="N68" s="44">
        <v>1244.03</v>
      </c>
      <c r="O68" s="44">
        <v>27.97</v>
      </c>
      <c r="P68" s="44">
        <f t="shared" si="19"/>
        <v>1272</v>
      </c>
      <c r="Q68" s="44"/>
      <c r="R68" s="36">
        <v>3122</v>
      </c>
      <c r="S68" s="4">
        <v>312</v>
      </c>
      <c r="T68" s="3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158</v>
      </c>
      <c r="D69" s="44">
        <v>6773.29</v>
      </c>
      <c r="E69" s="44">
        <f>81.27</f>
        <v>81.27</v>
      </c>
      <c r="F69" s="44"/>
      <c r="G69" s="48"/>
      <c r="H69" s="44">
        <f t="shared" si="17"/>
        <v>6854.56</v>
      </c>
      <c r="I69" s="44"/>
      <c r="J69" s="44"/>
      <c r="K69" s="44"/>
      <c r="L69" s="44">
        <f t="shared" si="18"/>
        <v>0</v>
      </c>
      <c r="M69" s="44"/>
      <c r="N69" s="44">
        <v>642.13</v>
      </c>
      <c r="O69" s="44">
        <v>81.27</v>
      </c>
      <c r="P69" s="44">
        <f t="shared" si="19"/>
        <v>723.4</v>
      </c>
      <c r="Q69" s="44"/>
      <c r="R69" s="36">
        <v>3122</v>
      </c>
      <c r="S69" s="4">
        <v>314</v>
      </c>
      <c r="T69" s="37" t="s">
        <v>97</v>
      </c>
      <c r="U69" s="44"/>
      <c r="V69" s="44"/>
      <c r="W69" s="44"/>
      <c r="X69" s="44">
        <f t="shared" si="20"/>
        <v>0</v>
      </c>
      <c r="Y69" s="44"/>
      <c r="Z69" s="44">
        <v>4591</v>
      </c>
      <c r="AA69" s="44">
        <v>-500</v>
      </c>
      <c r="AB69" s="44"/>
      <c r="AC69" s="44">
        <f t="shared" si="21"/>
        <v>4091</v>
      </c>
    </row>
    <row r="70" spans="1:29" ht="12.75">
      <c r="A70" s="36">
        <v>3127</v>
      </c>
      <c r="B70" s="5">
        <v>317</v>
      </c>
      <c r="C70" s="64" t="s">
        <v>159</v>
      </c>
      <c r="D70" s="44">
        <v>7066.83</v>
      </c>
      <c r="E70" s="49"/>
      <c r="F70" s="49"/>
      <c r="G70" s="58"/>
      <c r="H70" s="44">
        <f t="shared" si="17"/>
        <v>7066.83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/>
      <c r="P70" s="44">
        <f t="shared" si="19"/>
        <v>1171.23</v>
      </c>
      <c r="Q70" s="49"/>
      <c r="R70" s="36">
        <v>3127</v>
      </c>
      <c r="S70" s="5">
        <v>317</v>
      </c>
      <c r="T70" s="64" t="s">
        <v>98</v>
      </c>
      <c r="U70" s="49">
        <v>1400</v>
      </c>
      <c r="V70" s="49"/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160</v>
      </c>
      <c r="D71" s="44">
        <v>10655.29</v>
      </c>
      <c r="E71" s="44">
        <f>76.34</f>
        <v>76.34</v>
      </c>
      <c r="F71" s="44"/>
      <c r="G71" s="48"/>
      <c r="H71" s="44">
        <f t="shared" si="17"/>
        <v>10731.630000000001</v>
      </c>
      <c r="I71" s="44"/>
      <c r="J71" s="44"/>
      <c r="K71" s="44"/>
      <c r="L71" s="44">
        <f t="shared" si="18"/>
        <v>0</v>
      </c>
      <c r="M71" s="44"/>
      <c r="N71" s="44">
        <v>590.23</v>
      </c>
      <c r="O71" s="44">
        <v>76.34</v>
      </c>
      <c r="P71" s="44">
        <f t="shared" si="19"/>
        <v>666.57</v>
      </c>
      <c r="Q71" s="44"/>
      <c r="R71" s="36">
        <v>3127</v>
      </c>
      <c r="S71" s="4">
        <v>318</v>
      </c>
      <c r="T71" s="3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161</v>
      </c>
      <c r="D72" s="44">
        <v>6561.92</v>
      </c>
      <c r="E72" s="44"/>
      <c r="F72" s="44"/>
      <c r="G72" s="48"/>
      <c r="H72" s="44">
        <f t="shared" si="17"/>
        <v>6561.92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/>
      <c r="P72" s="44">
        <f t="shared" si="19"/>
        <v>1226.92</v>
      </c>
      <c r="Q72" s="44"/>
      <c r="R72" s="36">
        <v>3124</v>
      </c>
      <c r="S72" s="4">
        <v>319</v>
      </c>
      <c r="T72" s="37" t="s">
        <v>100</v>
      </c>
      <c r="U72" s="44"/>
      <c r="V72" s="44"/>
      <c r="W72" s="44"/>
      <c r="X72" s="44">
        <f t="shared" si="20"/>
        <v>0</v>
      </c>
      <c r="Y72" s="44"/>
      <c r="Z72" s="44"/>
      <c r="AA72" s="44">
        <f>160</f>
        <v>160</v>
      </c>
      <c r="AB72" s="44"/>
      <c r="AC72" s="44">
        <f t="shared" si="21"/>
        <v>160</v>
      </c>
    </row>
    <row r="73" spans="1:29" ht="12.75">
      <c r="A73" s="36">
        <v>3114</v>
      </c>
      <c r="B73" s="4">
        <v>320</v>
      </c>
      <c r="C73" s="77" t="s">
        <v>162</v>
      </c>
      <c r="D73" s="44">
        <v>4996.080000000001</v>
      </c>
      <c r="E73" s="44"/>
      <c r="F73" s="44"/>
      <c r="G73" s="48"/>
      <c r="H73" s="44">
        <f t="shared" si="17"/>
        <v>4996.080000000001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101</v>
      </c>
      <c r="U73" s="44">
        <v>1000</v>
      </c>
      <c r="V73" s="44">
        <f>-780</f>
        <v>-780</v>
      </c>
      <c r="W73" s="44"/>
      <c r="X73" s="44">
        <f t="shared" si="20"/>
        <v>220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163</v>
      </c>
      <c r="D74" s="44">
        <v>7984.4400000000005</v>
      </c>
      <c r="E74" s="44">
        <f>6.27</f>
        <v>6.27</v>
      </c>
      <c r="F74" s="44"/>
      <c r="G74" s="48"/>
      <c r="H74" s="44">
        <f t="shared" si="17"/>
        <v>7990.710000000001</v>
      </c>
      <c r="I74" s="44"/>
      <c r="J74" s="44"/>
      <c r="K74" s="44"/>
      <c r="L74" s="44">
        <f t="shared" si="18"/>
        <v>0</v>
      </c>
      <c r="M74" s="44"/>
      <c r="N74" s="44">
        <v>709.3399999999999</v>
      </c>
      <c r="O74" s="44">
        <v>6.27</v>
      </c>
      <c r="P74" s="44">
        <f t="shared" si="19"/>
        <v>715.6099999999999</v>
      </c>
      <c r="Q74" s="44"/>
      <c r="R74" s="36">
        <v>3114</v>
      </c>
      <c r="S74" s="4">
        <v>321</v>
      </c>
      <c r="T74" s="37" t="s">
        <v>90</v>
      </c>
      <c r="U74" s="44"/>
      <c r="V74" s="44"/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164</v>
      </c>
      <c r="D75" s="44">
        <v>3581.3</v>
      </c>
      <c r="E75" s="44"/>
      <c r="F75" s="44"/>
      <c r="G75" s="48"/>
      <c r="H75" s="44">
        <f t="shared" si="17"/>
        <v>3581.3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/>
      <c r="P75" s="44">
        <f t="shared" si="19"/>
        <v>180.7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165</v>
      </c>
      <c r="D76" s="44">
        <v>1236.23</v>
      </c>
      <c r="E76" s="44"/>
      <c r="F76" s="44"/>
      <c r="G76" s="48"/>
      <c r="H76" s="44">
        <f t="shared" si="17"/>
        <v>1236.23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68" t="s">
        <v>218</v>
      </c>
      <c r="D77" s="44">
        <v>423.20000000000005</v>
      </c>
      <c r="E77" s="44"/>
      <c r="F77" s="44"/>
      <c r="G77" s="48"/>
      <c r="H77" s="44">
        <f t="shared" si="17"/>
        <v>423.20000000000005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166</v>
      </c>
      <c r="D78" s="44">
        <v>4281.66</v>
      </c>
      <c r="E78" s="44"/>
      <c r="F78" s="44"/>
      <c r="G78" s="65"/>
      <c r="H78" s="44">
        <f t="shared" si="17"/>
        <v>4281.66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/>
      <c r="W78" s="44"/>
      <c r="X78" s="44">
        <f t="shared" si="20"/>
        <v>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167</v>
      </c>
      <c r="D80" s="44">
        <v>2790.43</v>
      </c>
      <c r="E80" s="44"/>
      <c r="F80" s="44"/>
      <c r="G80" s="48"/>
      <c r="H80" s="44">
        <f t="shared" si="17"/>
        <v>2790.43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1650</v>
      </c>
      <c r="AA80" s="44"/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104</v>
      </c>
      <c r="D81" s="44">
        <v>3219.33</v>
      </c>
      <c r="E81" s="44"/>
      <c r="F81" s="44"/>
      <c r="G81" s="48"/>
      <c r="H81" s="44">
        <f t="shared" si="17"/>
        <v>3219.33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104</v>
      </c>
      <c r="U81" s="44"/>
      <c r="V81" s="48"/>
      <c r="W81" s="44"/>
      <c r="X81" s="44">
        <f t="shared" si="20"/>
        <v>0</v>
      </c>
      <c r="Y81" s="44"/>
      <c r="Z81" s="44">
        <v>2000</v>
      </c>
      <c r="AA81" s="44">
        <f>-2000</f>
        <v>-2000</v>
      </c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37" t="s">
        <v>168</v>
      </c>
      <c r="D82" s="44">
        <v>4266.98</v>
      </c>
      <c r="E82" s="44"/>
      <c r="F82" s="44"/>
      <c r="G82" s="48"/>
      <c r="H82" s="44">
        <f t="shared" si="17"/>
        <v>4266.98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700</v>
      </c>
      <c r="V82" s="48">
        <f>-600</f>
        <v>-600</v>
      </c>
      <c r="W82" s="44"/>
      <c r="X82" s="44">
        <f t="shared" si="20"/>
        <v>100</v>
      </c>
      <c r="Y82" s="44"/>
      <c r="Z82" s="44"/>
      <c r="AA82" s="44">
        <f>900</f>
        <v>900</v>
      </c>
      <c r="AB82" s="44"/>
      <c r="AC82" s="44">
        <f t="shared" si="21"/>
        <v>900</v>
      </c>
    </row>
    <row r="83" spans="1:29" ht="26.25">
      <c r="A83" s="36">
        <v>3124</v>
      </c>
      <c r="B83" s="4">
        <v>345</v>
      </c>
      <c r="C83" s="64" t="s">
        <v>169</v>
      </c>
      <c r="D83" s="44">
        <v>17788.16</v>
      </c>
      <c r="E83" s="44"/>
      <c r="F83" s="44"/>
      <c r="G83" s="48"/>
      <c r="H83" s="44">
        <f t="shared" si="17"/>
        <v>17788.16</v>
      </c>
      <c r="I83" s="44"/>
      <c r="J83" s="44">
        <v>5249.49</v>
      </c>
      <c r="K83" s="44"/>
      <c r="L83" s="44">
        <f t="shared" si="18"/>
        <v>5249.49</v>
      </c>
      <c r="M83" s="44"/>
      <c r="N83" s="44">
        <v>2020.07</v>
      </c>
      <c r="O83" s="44"/>
      <c r="P83" s="44">
        <f t="shared" si="19"/>
        <v>2020.07</v>
      </c>
      <c r="Q83" s="44"/>
      <c r="R83" s="36">
        <v>3124</v>
      </c>
      <c r="S83" s="4">
        <v>345</v>
      </c>
      <c r="T83" s="37" t="s">
        <v>134</v>
      </c>
      <c r="U83" s="44"/>
      <c r="V83" s="44"/>
      <c r="W83" s="44"/>
      <c r="X83" s="44">
        <f t="shared" si="20"/>
        <v>0</v>
      </c>
      <c r="Y83" s="44"/>
      <c r="Z83" s="44">
        <v>3435</v>
      </c>
      <c r="AA83" s="44">
        <f>-1000-420</f>
        <v>-1420</v>
      </c>
      <c r="AB83" s="44"/>
      <c r="AC83" s="44">
        <f t="shared" si="21"/>
        <v>2015</v>
      </c>
    </row>
    <row r="84" spans="1:29" ht="12.75">
      <c r="A84" s="36">
        <v>3114</v>
      </c>
      <c r="B84" s="4">
        <v>346</v>
      </c>
      <c r="C84" s="77" t="s">
        <v>170</v>
      </c>
      <c r="D84" s="44">
        <v>2967.92</v>
      </c>
      <c r="E84" s="44"/>
      <c r="F84" s="44"/>
      <c r="G84" s="48"/>
      <c r="H84" s="44">
        <f t="shared" si="17"/>
        <v>2967.92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105</v>
      </c>
      <c r="U84" s="44">
        <v>400</v>
      </c>
      <c r="V84" s="44"/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171</v>
      </c>
      <c r="D85" s="44">
        <v>1715.6</v>
      </c>
      <c r="E85" s="44"/>
      <c r="F85" s="44"/>
      <c r="G85" s="48"/>
      <c r="H85" s="44">
        <f t="shared" si="17"/>
        <v>1715.6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>
        <f>-300-300</f>
        <v>-600</v>
      </c>
      <c r="AB86" s="44"/>
      <c r="AC86" s="44">
        <f t="shared" si="21"/>
        <v>0</v>
      </c>
    </row>
    <row r="87" spans="1:29" ht="12.75">
      <c r="A87" s="36">
        <v>3294</v>
      </c>
      <c r="B87" s="1">
        <v>352</v>
      </c>
      <c r="C87" s="37" t="s">
        <v>145</v>
      </c>
      <c r="D87" s="44">
        <v>5133.6</v>
      </c>
      <c r="E87" s="44">
        <f>260.8</f>
        <v>260.8</v>
      </c>
      <c r="F87" s="44"/>
      <c r="G87" s="48"/>
      <c r="H87" s="44">
        <f t="shared" si="17"/>
        <v>5394.400000000001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142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172</v>
      </c>
      <c r="D88" s="44">
        <v>1084.94</v>
      </c>
      <c r="E88" s="44"/>
      <c r="F88" s="44"/>
      <c r="G88" s="48"/>
      <c r="H88" s="44">
        <f t="shared" si="17"/>
        <v>1084.94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/>
      <c r="P88" s="44">
        <f t="shared" si="19"/>
        <v>101.49</v>
      </c>
      <c r="Q88" s="44"/>
      <c r="R88" s="36">
        <v>3114</v>
      </c>
      <c r="S88" s="4">
        <v>358</v>
      </c>
      <c r="T88" s="37" t="s">
        <v>135</v>
      </c>
      <c r="U88" s="44">
        <v>150</v>
      </c>
      <c r="V88" s="44"/>
      <c r="W88" s="44"/>
      <c r="X88" s="44">
        <f t="shared" si="20"/>
        <v>150</v>
      </c>
      <c r="Y88" s="44"/>
      <c r="Z88" s="44"/>
      <c r="AA88" s="44">
        <f>80</f>
        <v>80</v>
      </c>
      <c r="AB88" s="44"/>
      <c r="AC88" s="44">
        <f t="shared" si="21"/>
        <v>80</v>
      </c>
    </row>
    <row r="89" spans="1:29" ht="12.75">
      <c r="A89" s="36">
        <v>3114</v>
      </c>
      <c r="B89" s="4">
        <v>363</v>
      </c>
      <c r="C89" s="77" t="s">
        <v>173</v>
      </c>
      <c r="D89" s="44">
        <v>2534.92</v>
      </c>
      <c r="E89" s="44"/>
      <c r="F89" s="44"/>
      <c r="G89" s="48"/>
      <c r="H89" s="44">
        <f t="shared" si="17"/>
        <v>2534.92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8" t="s">
        <v>174</v>
      </c>
      <c r="D90" s="44">
        <v>4607.48</v>
      </c>
      <c r="E90" s="44"/>
      <c r="F90" s="44"/>
      <c r="G90" s="48"/>
      <c r="H90" s="44">
        <f t="shared" si="17"/>
        <v>4607.48</v>
      </c>
      <c r="I90" s="44"/>
      <c r="J90" s="44">
        <v>270</v>
      </c>
      <c r="K90" s="44"/>
      <c r="L90" s="44">
        <f t="shared" si="18"/>
        <v>270</v>
      </c>
      <c r="M90" s="44"/>
      <c r="N90" s="44">
        <v>395.97999999999996</v>
      </c>
      <c r="O90" s="44"/>
      <c r="P90" s="44">
        <f t="shared" si="19"/>
        <v>395.97999999999996</v>
      </c>
      <c r="Q90" s="44"/>
      <c r="R90" s="36">
        <v>3121</v>
      </c>
      <c r="S90" s="4">
        <v>367</v>
      </c>
      <c r="T90" s="64" t="s">
        <v>108</v>
      </c>
      <c r="U90" s="44">
        <v>3500</v>
      </c>
      <c r="V90" s="44"/>
      <c r="W90" s="44"/>
      <c r="X90" s="44">
        <f t="shared" si="20"/>
        <v>3500</v>
      </c>
      <c r="Y90" s="44"/>
      <c r="Z90" s="44"/>
      <c r="AA90" s="44"/>
      <c r="AB90" s="44"/>
      <c r="AC90" s="44">
        <f t="shared" si="21"/>
        <v>0</v>
      </c>
    </row>
    <row r="91" spans="1:29" ht="26.25">
      <c r="A91" s="36">
        <v>3121</v>
      </c>
      <c r="B91" s="4">
        <v>368</v>
      </c>
      <c r="C91" s="64" t="s">
        <v>175</v>
      </c>
      <c r="D91" s="44">
        <v>2842.6200000000003</v>
      </c>
      <c r="E91" s="49"/>
      <c r="F91" s="49"/>
      <c r="G91" s="58"/>
      <c r="H91" s="44">
        <f t="shared" si="17"/>
        <v>2842.6200000000003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8" t="s">
        <v>176</v>
      </c>
      <c r="D92" s="44">
        <v>3501.41</v>
      </c>
      <c r="E92" s="44">
        <f>42.32</f>
        <v>42.32</v>
      </c>
      <c r="F92" s="44"/>
      <c r="G92" s="48"/>
      <c r="H92" s="44">
        <f t="shared" si="17"/>
        <v>3543.73</v>
      </c>
      <c r="I92" s="44"/>
      <c r="J92" s="44">
        <v>105</v>
      </c>
      <c r="K92" s="44"/>
      <c r="L92" s="44">
        <f t="shared" si="18"/>
        <v>105</v>
      </c>
      <c r="M92" s="44"/>
      <c r="N92" s="44">
        <v>278.66999999999996</v>
      </c>
      <c r="O92" s="44">
        <v>42.32</v>
      </c>
      <c r="P92" s="44">
        <f t="shared" si="19"/>
        <v>320.98999999999995</v>
      </c>
      <c r="Q92" s="44"/>
      <c r="R92" s="36">
        <v>3122</v>
      </c>
      <c r="S92" s="5">
        <v>370</v>
      </c>
      <c r="T92" s="64" t="s">
        <v>109</v>
      </c>
      <c r="U92" s="44">
        <v>466</v>
      </c>
      <c r="V92" s="44"/>
      <c r="W92" s="44"/>
      <c r="X92" s="44">
        <f t="shared" si="20"/>
        <v>466</v>
      </c>
      <c r="Y92" s="44"/>
      <c r="Z92" s="44">
        <v>300</v>
      </c>
      <c r="AA92" s="44"/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177</v>
      </c>
      <c r="D93" s="44">
        <v>3670.72</v>
      </c>
      <c r="E93" s="44"/>
      <c r="F93" s="44"/>
      <c r="G93" s="48"/>
      <c r="H93" s="44">
        <f t="shared" si="17"/>
        <v>3670.72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110</v>
      </c>
      <c r="U93" s="44"/>
      <c r="V93" s="55"/>
      <c r="W93" s="44"/>
      <c r="X93" s="44">
        <f t="shared" si="20"/>
        <v>0</v>
      </c>
      <c r="Y93" s="44"/>
      <c r="Z93" s="44">
        <v>1000</v>
      </c>
      <c r="AA93" s="48">
        <f>500</f>
        <v>500</v>
      </c>
      <c r="AB93" s="48"/>
      <c r="AC93" s="44">
        <f t="shared" si="21"/>
        <v>1500</v>
      </c>
    </row>
    <row r="94" spans="1:29" ht="12.75">
      <c r="A94" s="36">
        <v>3127</v>
      </c>
      <c r="B94" s="4">
        <v>372</v>
      </c>
      <c r="C94" s="64" t="s">
        <v>178</v>
      </c>
      <c r="D94" s="44">
        <v>7021.589999999999</v>
      </c>
      <c r="E94" s="44">
        <f>200</f>
        <v>200</v>
      </c>
      <c r="F94" s="44"/>
      <c r="G94" s="48"/>
      <c r="H94" s="44">
        <f t="shared" si="17"/>
        <v>7221.589999999999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/>
      <c r="P94" s="44">
        <f t="shared" si="19"/>
        <v>844.03</v>
      </c>
      <c r="Q94" s="44"/>
      <c r="R94" s="36">
        <v>3127</v>
      </c>
      <c r="S94" s="4">
        <v>372</v>
      </c>
      <c r="T94" s="64" t="s">
        <v>136</v>
      </c>
      <c r="U94" s="44">
        <v>400</v>
      </c>
      <c r="V94" s="44">
        <f>400</f>
        <v>400</v>
      </c>
      <c r="W94" s="44"/>
      <c r="X94" s="44">
        <f t="shared" si="20"/>
        <v>800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179</v>
      </c>
      <c r="D96" s="44">
        <v>655.4</v>
      </c>
      <c r="E96" s="44"/>
      <c r="F96" s="44"/>
      <c r="G96" s="48"/>
      <c r="H96" s="44">
        <f t="shared" si="17"/>
        <v>655.4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/>
      <c r="P96" s="44">
        <f t="shared" si="19"/>
        <v>28.4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>
        <v>250</v>
      </c>
      <c r="AA96" s="44">
        <f>150</f>
        <v>150</v>
      </c>
      <c r="AB96" s="44"/>
      <c r="AC96" s="44">
        <f t="shared" si="21"/>
        <v>400</v>
      </c>
    </row>
    <row r="97" spans="1:29" ht="12.75">
      <c r="A97" s="36">
        <v>3133</v>
      </c>
      <c r="B97" s="4">
        <v>380</v>
      </c>
      <c r="C97" s="37" t="s">
        <v>180</v>
      </c>
      <c r="D97" s="44">
        <v>2999.5</v>
      </c>
      <c r="E97" s="44"/>
      <c r="F97" s="44"/>
      <c r="G97" s="48"/>
      <c r="H97" s="44">
        <f t="shared" si="17"/>
        <v>2999.5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/>
      <c r="AB97" s="44"/>
      <c r="AC97" s="44">
        <f t="shared" si="21"/>
        <v>150</v>
      </c>
    </row>
    <row r="98" spans="1:29" ht="12.75">
      <c r="A98" s="36">
        <v>3114</v>
      </c>
      <c r="B98" s="4">
        <v>381</v>
      </c>
      <c r="C98" s="77" t="s">
        <v>181</v>
      </c>
      <c r="D98" s="44">
        <v>2350.02</v>
      </c>
      <c r="E98" s="44">
        <f>-300</f>
        <v>-300</v>
      </c>
      <c r="F98" s="44"/>
      <c r="G98" s="48"/>
      <c r="H98" s="44">
        <f t="shared" si="17"/>
        <v>2050.02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111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182</v>
      </c>
      <c r="D99" s="44">
        <v>3151.7200000000003</v>
      </c>
      <c r="E99" s="44">
        <f>10</f>
        <v>10</v>
      </c>
      <c r="F99" s="44"/>
      <c r="G99" s="48"/>
      <c r="H99" s="44">
        <f t="shared" si="17"/>
        <v>3161.7200000000003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6777.25</v>
      </c>
      <c r="AA99" s="44"/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183</v>
      </c>
      <c r="D100" s="44">
        <v>3797.24</v>
      </c>
      <c r="E100" s="44">
        <f>10</f>
        <v>10</v>
      </c>
      <c r="F100" s="44"/>
      <c r="G100" s="48"/>
      <c r="H100" s="44">
        <f t="shared" si="17"/>
        <v>3807.24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/>
      <c r="P100" s="44">
        <f t="shared" si="19"/>
        <v>866.38</v>
      </c>
      <c r="Q100" s="44"/>
      <c r="R100" s="36">
        <v>3127</v>
      </c>
      <c r="S100" s="4">
        <v>392</v>
      </c>
      <c r="T100" s="64" t="s">
        <v>112</v>
      </c>
      <c r="U100" s="44"/>
      <c r="V100" s="44"/>
      <c r="W100" s="44"/>
      <c r="X100" s="44">
        <f t="shared" si="20"/>
        <v>0</v>
      </c>
      <c r="Y100" s="44"/>
      <c r="Z100" s="44">
        <v>3585</v>
      </c>
      <c r="AA100" s="44"/>
      <c r="AB100" s="44"/>
      <c r="AC100" s="44">
        <f t="shared" si="21"/>
        <v>3585</v>
      </c>
    </row>
    <row r="101" spans="1:29" ht="12.75">
      <c r="A101" s="36">
        <v>3122</v>
      </c>
      <c r="B101" s="4">
        <v>393</v>
      </c>
      <c r="C101" s="37" t="s">
        <v>184</v>
      </c>
      <c r="D101" s="44">
        <v>2220.55</v>
      </c>
      <c r="E101" s="44">
        <f>10</f>
        <v>10</v>
      </c>
      <c r="F101" s="44"/>
      <c r="G101" s="48"/>
      <c r="H101" s="44">
        <f t="shared" si="17"/>
        <v>2230.55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/>
      <c r="P101" s="44">
        <f t="shared" si="19"/>
        <v>366.08</v>
      </c>
      <c r="Q101" s="44"/>
      <c r="R101" s="36">
        <v>3122</v>
      </c>
      <c r="S101" s="4">
        <v>393</v>
      </c>
      <c r="T101" s="37" t="s">
        <v>10</v>
      </c>
      <c r="U101" s="44">
        <v>370</v>
      </c>
      <c r="V101" s="44"/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185</v>
      </c>
      <c r="D102" s="44">
        <v>7094.05</v>
      </c>
      <c r="E102" s="44"/>
      <c r="F102" s="44"/>
      <c r="G102" s="48"/>
      <c r="H102" s="44">
        <f t="shared" si="17"/>
        <v>7094.05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/>
      <c r="P102" s="44">
        <f t="shared" si="19"/>
        <v>897.15</v>
      </c>
      <c r="Q102" s="44"/>
      <c r="R102" s="36">
        <v>3127</v>
      </c>
      <c r="S102" s="4">
        <v>394</v>
      </c>
      <c r="T102" s="37" t="s">
        <v>137</v>
      </c>
      <c r="U102" s="44"/>
      <c r="V102" s="44"/>
      <c r="W102" s="44"/>
      <c r="X102" s="44">
        <f t="shared" si="20"/>
        <v>0</v>
      </c>
      <c r="Y102" s="44"/>
      <c r="Z102" s="44">
        <v>5000</v>
      </c>
      <c r="AA102" s="44"/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186</v>
      </c>
      <c r="D103" s="44">
        <v>3686.72</v>
      </c>
      <c r="E103" s="44"/>
      <c r="F103" s="44"/>
      <c r="G103" s="48"/>
      <c r="H103" s="44">
        <f t="shared" si="17"/>
        <v>3686.72</v>
      </c>
      <c r="I103" s="44"/>
      <c r="J103" s="44"/>
      <c r="K103" s="44"/>
      <c r="L103" s="44">
        <f t="shared" si="18"/>
        <v>0</v>
      </c>
      <c r="M103" s="44"/>
      <c r="N103" s="44">
        <v>371.82</v>
      </c>
      <c r="O103" s="44"/>
      <c r="P103" s="44">
        <f t="shared" si="19"/>
        <v>371.82</v>
      </c>
      <c r="Q103" s="44"/>
      <c r="R103" s="36">
        <v>3122</v>
      </c>
      <c r="S103" s="4">
        <v>395</v>
      </c>
      <c r="T103" s="37" t="s">
        <v>47</v>
      </c>
      <c r="U103" s="44">
        <v>1350</v>
      </c>
      <c r="V103" s="44">
        <f>300</f>
        <v>300</v>
      </c>
      <c r="W103" s="44"/>
      <c r="X103" s="44">
        <f t="shared" si="20"/>
        <v>1650</v>
      </c>
      <c r="Y103" s="44"/>
      <c r="Z103" s="44">
        <v>1300</v>
      </c>
      <c r="AA103" s="44">
        <f>350</f>
        <v>350</v>
      </c>
      <c r="AB103" s="44"/>
      <c r="AC103" s="44">
        <f t="shared" si="21"/>
        <v>1650</v>
      </c>
    </row>
    <row r="104" spans="1:29" ht="12.75">
      <c r="A104" s="36">
        <v>3127</v>
      </c>
      <c r="B104" s="4">
        <v>397</v>
      </c>
      <c r="C104" s="68" t="s">
        <v>187</v>
      </c>
      <c r="D104" s="44">
        <v>5731.33</v>
      </c>
      <c r="E104" s="44"/>
      <c r="F104" s="44"/>
      <c r="G104" s="48"/>
      <c r="H104" s="44">
        <f t="shared" si="17"/>
        <v>5731.33</v>
      </c>
      <c r="I104" s="44"/>
      <c r="J104" s="44"/>
      <c r="K104" s="44"/>
      <c r="L104" s="44">
        <f t="shared" si="18"/>
        <v>0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113</v>
      </c>
      <c r="U104" s="44">
        <v>3100</v>
      </c>
      <c r="V104" s="44"/>
      <c r="W104" s="44"/>
      <c r="X104" s="44">
        <f t="shared" si="20"/>
        <v>3100</v>
      </c>
      <c r="Y104" s="44"/>
      <c r="Z104" s="44">
        <v>500</v>
      </c>
      <c r="AA104" s="44"/>
      <c r="AB104" s="44"/>
      <c r="AC104" s="44">
        <f t="shared" si="21"/>
        <v>500</v>
      </c>
    </row>
    <row r="105" spans="1:29" ht="12.75" customHeight="1">
      <c r="A105" s="36">
        <v>3127</v>
      </c>
      <c r="B105" s="4">
        <v>400</v>
      </c>
      <c r="C105" s="64" t="s">
        <v>188</v>
      </c>
      <c r="D105" s="44">
        <v>4280.03</v>
      </c>
      <c r="E105" s="44"/>
      <c r="F105" s="44"/>
      <c r="G105" s="48"/>
      <c r="H105" s="44">
        <f t="shared" si="17"/>
        <v>4280.03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/>
      <c r="P105" s="44">
        <f t="shared" si="19"/>
        <v>704.1</v>
      </c>
      <c r="Q105" s="44"/>
      <c r="R105" s="36">
        <v>3127</v>
      </c>
      <c r="S105" s="4">
        <v>400</v>
      </c>
      <c r="T105" s="64" t="s">
        <v>114</v>
      </c>
      <c r="U105" s="44"/>
      <c r="V105" s="44"/>
      <c r="W105" s="44"/>
      <c r="X105" s="44">
        <f t="shared" si="20"/>
        <v>0</v>
      </c>
      <c r="Y105" s="44"/>
      <c r="Z105" s="44">
        <v>400</v>
      </c>
      <c r="AA105" s="44">
        <f>250</f>
        <v>250</v>
      </c>
      <c r="AB105" s="44"/>
      <c r="AC105" s="44">
        <f t="shared" si="21"/>
        <v>650</v>
      </c>
    </row>
    <row r="106" spans="1:29" ht="12.75">
      <c r="A106" s="36">
        <v>3124</v>
      </c>
      <c r="B106" s="4">
        <v>401</v>
      </c>
      <c r="C106" s="37" t="s">
        <v>189</v>
      </c>
      <c r="D106" s="44">
        <v>3497.1</v>
      </c>
      <c r="E106" s="44"/>
      <c r="F106" s="44"/>
      <c r="G106" s="48"/>
      <c r="H106" s="44">
        <f t="shared" si="17"/>
        <v>3497.1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/>
      <c r="P106" s="44">
        <f t="shared" si="19"/>
        <v>141.2</v>
      </c>
      <c r="Q106" s="44"/>
      <c r="R106" s="36">
        <v>3124</v>
      </c>
      <c r="S106" s="4">
        <v>401</v>
      </c>
      <c r="T106" s="37" t="s">
        <v>115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190</v>
      </c>
      <c r="D107" s="44">
        <v>2758.62</v>
      </c>
      <c r="E107" s="44">
        <f>10</f>
        <v>10</v>
      </c>
      <c r="F107" s="44"/>
      <c r="G107" s="48"/>
      <c r="H107" s="44">
        <f t="shared" si="17"/>
        <v>2768.62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6.25">
      <c r="A108" s="36">
        <v>3121</v>
      </c>
      <c r="B108" s="4">
        <v>410</v>
      </c>
      <c r="C108" s="64" t="s">
        <v>191</v>
      </c>
      <c r="D108" s="44">
        <v>7083.74</v>
      </c>
      <c r="E108" s="44"/>
      <c r="F108" s="44"/>
      <c r="G108" s="48"/>
      <c r="H108" s="44">
        <f t="shared" si="17"/>
        <v>7083.74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/>
      <c r="P108" s="44">
        <f t="shared" si="19"/>
        <v>1117.73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192</v>
      </c>
      <c r="D109" s="44">
        <v>7195.66</v>
      </c>
      <c r="E109" s="44"/>
      <c r="F109" s="44"/>
      <c r="G109" s="48"/>
      <c r="H109" s="44">
        <f t="shared" si="17"/>
        <v>7195.66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/>
      <c r="P109" s="44">
        <f t="shared" si="19"/>
        <v>618.97</v>
      </c>
      <c r="Q109" s="44"/>
      <c r="R109" s="36">
        <v>3121</v>
      </c>
      <c r="S109" s="4">
        <v>413</v>
      </c>
      <c r="T109" s="37" t="s">
        <v>138</v>
      </c>
      <c r="U109" s="44">
        <v>2180</v>
      </c>
      <c r="V109" s="44"/>
      <c r="W109" s="44"/>
      <c r="X109" s="44">
        <f t="shared" si="20"/>
        <v>2180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3.25">
      <c r="A110" s="36">
        <v>3122</v>
      </c>
      <c r="B110" s="4">
        <v>415</v>
      </c>
      <c r="C110" s="68" t="s">
        <v>210</v>
      </c>
      <c r="D110" s="44">
        <v>6029.46</v>
      </c>
      <c r="E110" s="44"/>
      <c r="F110" s="44"/>
      <c r="G110" s="48"/>
      <c r="H110" s="44">
        <f t="shared" si="17"/>
        <v>6029.46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/>
      <c r="P110" s="44">
        <f t="shared" si="19"/>
        <v>473.22999999999996</v>
      </c>
      <c r="Q110" s="44"/>
      <c r="R110" s="36">
        <v>3122</v>
      </c>
      <c r="S110" s="4">
        <v>415</v>
      </c>
      <c r="T110" s="64" t="s">
        <v>139</v>
      </c>
      <c r="U110" s="44">
        <v>1000</v>
      </c>
      <c r="V110" s="44">
        <f>200+600</f>
        <v>800</v>
      </c>
      <c r="W110" s="44"/>
      <c r="X110" s="44">
        <f t="shared" si="20"/>
        <v>1800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416</v>
      </c>
      <c r="C111" s="77" t="s">
        <v>193</v>
      </c>
      <c r="D111" s="44">
        <v>14335.14</v>
      </c>
      <c r="E111" s="44"/>
      <c r="F111" s="44"/>
      <c r="G111" s="48"/>
      <c r="H111" s="44">
        <f t="shared" si="17"/>
        <v>14335.14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2481.14</v>
      </c>
      <c r="O111" s="44"/>
      <c r="P111" s="44">
        <f t="shared" si="19"/>
        <v>2481.14</v>
      </c>
      <c r="Q111" s="44"/>
      <c r="R111" s="36">
        <v>3127</v>
      </c>
      <c r="S111" s="4">
        <v>416</v>
      </c>
      <c r="T111" s="37" t="s">
        <v>116</v>
      </c>
      <c r="U111" s="44"/>
      <c r="V111" s="44"/>
      <c r="W111" s="44"/>
      <c r="X111" s="44">
        <f t="shared" si="20"/>
        <v>0</v>
      </c>
      <c r="Y111" s="44"/>
      <c r="Z111" s="44">
        <v>1600</v>
      </c>
      <c r="AA111" s="48"/>
      <c r="AB111" s="48"/>
      <c r="AC111" s="44">
        <f t="shared" si="21"/>
        <v>1600</v>
      </c>
    </row>
    <row r="112" spans="1:29" ht="12.75">
      <c r="A112" s="36">
        <v>3127</v>
      </c>
      <c r="B112" s="4">
        <v>418</v>
      </c>
      <c r="C112" s="68" t="s">
        <v>194</v>
      </c>
      <c r="D112" s="44">
        <v>7929.99</v>
      </c>
      <c r="E112" s="44">
        <f>185</f>
        <v>185</v>
      </c>
      <c r="F112" s="44"/>
      <c r="G112" s="48"/>
      <c r="H112" s="44">
        <f t="shared" si="17"/>
        <v>8114.99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/>
      <c r="P112" s="44">
        <f t="shared" si="19"/>
        <v>704.95</v>
      </c>
      <c r="Q112" s="44"/>
      <c r="R112" s="36">
        <v>3127</v>
      </c>
      <c r="S112" s="4">
        <v>418</v>
      </c>
      <c r="T112" s="64" t="s">
        <v>117</v>
      </c>
      <c r="U112" s="44">
        <v>220</v>
      </c>
      <c r="V112" s="48"/>
      <c r="W112" s="48"/>
      <c r="X112" s="44">
        <f t="shared" si="20"/>
        <v>220</v>
      </c>
      <c r="Y112" s="44"/>
      <c r="Z112" s="44">
        <v>6250</v>
      </c>
      <c r="AA112" s="44">
        <f>140</f>
        <v>140</v>
      </c>
      <c r="AB112" s="44"/>
      <c r="AC112" s="44">
        <f t="shared" si="21"/>
        <v>6390</v>
      </c>
    </row>
    <row r="113" spans="1:29" ht="12.75">
      <c r="A113" s="36">
        <v>3127</v>
      </c>
      <c r="B113" s="4">
        <v>419</v>
      </c>
      <c r="C113" s="37" t="s">
        <v>195</v>
      </c>
      <c r="D113" s="44">
        <v>9615.210000000001</v>
      </c>
      <c r="E113" s="44"/>
      <c r="F113" s="44"/>
      <c r="G113" s="48"/>
      <c r="H113" s="44">
        <f t="shared" si="17"/>
        <v>9615.210000000001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/>
      <c r="P113" s="44">
        <f t="shared" si="19"/>
        <v>1440.02</v>
      </c>
      <c r="Q113" s="44"/>
      <c r="R113" s="36">
        <v>3127</v>
      </c>
      <c r="S113" s="4">
        <v>419</v>
      </c>
      <c r="T113" s="37" t="s">
        <v>48</v>
      </c>
      <c r="U113" s="44">
        <v>163</v>
      </c>
      <c r="V113" s="44">
        <f>110</f>
        <v>110</v>
      </c>
      <c r="W113" s="44"/>
      <c r="X113" s="44">
        <f t="shared" si="20"/>
        <v>273</v>
      </c>
      <c r="Y113" s="44"/>
      <c r="Z113" s="44">
        <v>3591</v>
      </c>
      <c r="AA113" s="44">
        <f>-110</f>
        <v>-110</v>
      </c>
      <c r="AB113" s="44"/>
      <c r="AC113" s="44">
        <f t="shared" si="21"/>
        <v>3481</v>
      </c>
    </row>
    <row r="114" spans="1:29" ht="12.75">
      <c r="A114" s="36">
        <v>3124</v>
      </c>
      <c r="B114" s="4">
        <v>423</v>
      </c>
      <c r="C114" s="37" t="s">
        <v>196</v>
      </c>
      <c r="D114" s="44">
        <v>4009.26</v>
      </c>
      <c r="E114" s="44"/>
      <c r="F114" s="44"/>
      <c r="G114" s="48"/>
      <c r="H114" s="44">
        <f t="shared" si="17"/>
        <v>4009.26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118</v>
      </c>
      <c r="U114" s="44"/>
      <c r="V114" s="44">
        <v>1040</v>
      </c>
      <c r="W114" s="44"/>
      <c r="X114" s="44">
        <f t="shared" si="20"/>
        <v>1040</v>
      </c>
      <c r="Y114" s="44"/>
      <c r="Z114" s="44">
        <v>1040</v>
      </c>
      <c r="AA114" s="44">
        <v>-1040</v>
      </c>
      <c r="AB114" s="44"/>
      <c r="AC114" s="44">
        <f t="shared" si="21"/>
        <v>0</v>
      </c>
    </row>
    <row r="115" spans="1:29" ht="12.75">
      <c r="A115" s="36">
        <v>3112</v>
      </c>
      <c r="B115" s="4">
        <v>425</v>
      </c>
      <c r="C115" s="37" t="s">
        <v>119</v>
      </c>
      <c r="D115" s="44">
        <v>1299.0500000000002</v>
      </c>
      <c r="E115" s="44">
        <f>92.6</f>
        <v>92.6</v>
      </c>
      <c r="F115" s="44"/>
      <c r="G115" s="48"/>
      <c r="H115" s="44">
        <f t="shared" si="17"/>
        <v>1391.65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119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197</v>
      </c>
      <c r="D116" s="44">
        <v>907.7900000000001</v>
      </c>
      <c r="E116" s="44"/>
      <c r="F116" s="44"/>
      <c r="G116" s="48"/>
      <c r="H116" s="44">
        <f t="shared" si="17"/>
        <v>907.7900000000001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198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199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120</v>
      </c>
      <c r="U118" s="44"/>
      <c r="V118" s="44">
        <f>160</f>
        <v>160</v>
      </c>
      <c r="W118" s="44"/>
      <c r="X118" s="44">
        <f t="shared" si="20"/>
        <v>160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3114</v>
      </c>
      <c r="B119" s="4">
        <v>431</v>
      </c>
      <c r="C119" s="68" t="s">
        <v>200</v>
      </c>
      <c r="D119" s="44">
        <v>1610.84</v>
      </c>
      <c r="E119" s="44"/>
      <c r="F119" s="44"/>
      <c r="G119" s="48"/>
      <c r="H119" s="44">
        <f t="shared" si="17"/>
        <v>1610.84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121</v>
      </c>
      <c r="U119" s="44">
        <v>200</v>
      </c>
      <c r="V119" s="44"/>
      <c r="W119" s="44"/>
      <c r="X119" s="44">
        <f t="shared" si="20"/>
        <v>200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122</v>
      </c>
      <c r="D120" s="44">
        <v>2427</v>
      </c>
      <c r="E120" s="44"/>
      <c r="F120" s="44"/>
      <c r="G120" s="48"/>
      <c r="H120" s="44">
        <f t="shared" si="17"/>
        <v>2427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122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201</v>
      </c>
      <c r="D121" s="44">
        <v>699.6</v>
      </c>
      <c r="E121" s="44"/>
      <c r="F121" s="44"/>
      <c r="G121" s="48"/>
      <c r="H121" s="44">
        <f t="shared" si="17"/>
        <v>699.6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123</v>
      </c>
      <c r="D122" s="44">
        <v>2110.2</v>
      </c>
      <c r="E122" s="44"/>
      <c r="F122" s="44"/>
      <c r="G122" s="48"/>
      <c r="H122" s="44">
        <f t="shared" si="17"/>
        <v>2110.2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123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8" t="s">
        <v>202</v>
      </c>
      <c r="D123" s="44">
        <v>9377.310000000001</v>
      </c>
      <c r="E123" s="44">
        <f>30.82</f>
        <v>30.82</v>
      </c>
      <c r="F123" s="44"/>
      <c r="G123" s="48"/>
      <c r="H123" s="44">
        <f t="shared" si="17"/>
        <v>9408.130000000001</v>
      </c>
      <c r="I123" s="44"/>
      <c r="J123" s="44"/>
      <c r="K123" s="44"/>
      <c r="L123" s="44">
        <f t="shared" si="18"/>
        <v>0</v>
      </c>
      <c r="M123" s="44"/>
      <c r="N123" s="44">
        <v>971.4</v>
      </c>
      <c r="O123" s="44">
        <v>30.82</v>
      </c>
      <c r="P123" s="44">
        <f t="shared" si="19"/>
        <v>1002.22</v>
      </c>
      <c r="Q123" s="44"/>
      <c r="R123" s="36">
        <v>3127</v>
      </c>
      <c r="S123" s="4">
        <v>445</v>
      </c>
      <c r="T123" s="64" t="s">
        <v>124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203</v>
      </c>
      <c r="D124" s="44">
        <v>3994.8999999999996</v>
      </c>
      <c r="E124" s="59"/>
      <c r="F124" s="59"/>
      <c r="G124" s="59"/>
      <c r="H124" s="44">
        <f t="shared" si="17"/>
        <v>3994.8999999999996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/>
      <c r="P124" s="44">
        <f t="shared" si="19"/>
        <v>458.22</v>
      </c>
      <c r="Q124" s="59"/>
      <c r="R124" s="36">
        <v>3127</v>
      </c>
      <c r="S124" s="4">
        <v>447</v>
      </c>
      <c r="T124" s="37" t="s">
        <v>52</v>
      </c>
      <c r="U124" s="59">
        <v>2910</v>
      </c>
      <c r="V124" s="59">
        <f>-2410</f>
        <v>-2410</v>
      </c>
      <c r="W124" s="59"/>
      <c r="X124" s="44">
        <f t="shared" si="20"/>
        <v>500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204</v>
      </c>
      <c r="D125" s="44">
        <v>1817.0600000000002</v>
      </c>
      <c r="E125" s="44"/>
      <c r="F125" s="44"/>
      <c r="G125" s="44"/>
      <c r="H125" s="44">
        <f aca="true" t="shared" si="22" ref="H125:H132">D125+E125+F125+G125</f>
        <v>1817.0600000000002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/>
      <c r="P125" s="44">
        <f aca="true" t="shared" si="24" ref="P125:P132">N125+O125</f>
        <v>18.93</v>
      </c>
      <c r="Q125" s="44"/>
      <c r="R125" s="36">
        <v>3114</v>
      </c>
      <c r="S125" s="4">
        <v>452</v>
      </c>
      <c r="T125" s="37" t="s">
        <v>125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205</v>
      </c>
      <c r="D126" s="44">
        <v>13541.470000000001</v>
      </c>
      <c r="E126" s="44">
        <f>51.52</f>
        <v>51.52</v>
      </c>
      <c r="F126" s="44"/>
      <c r="G126" s="44"/>
      <c r="H126" s="44">
        <f t="shared" si="22"/>
        <v>13592.990000000002</v>
      </c>
      <c r="I126" s="44"/>
      <c r="J126" s="44"/>
      <c r="K126" s="44"/>
      <c r="L126" s="44">
        <f t="shared" si="23"/>
        <v>0</v>
      </c>
      <c r="M126" s="44"/>
      <c r="N126" s="44">
        <v>3827.27</v>
      </c>
      <c r="O126" s="44">
        <v>51.52</v>
      </c>
      <c r="P126" s="44">
        <f t="shared" si="24"/>
        <v>3878.79</v>
      </c>
      <c r="Q126" s="44"/>
      <c r="R126" s="36">
        <v>3127</v>
      </c>
      <c r="S126" s="4">
        <v>454</v>
      </c>
      <c r="T126" s="37" t="s">
        <v>126</v>
      </c>
      <c r="U126" s="44">
        <v>1300</v>
      </c>
      <c r="V126" s="44">
        <f>300-100</f>
        <v>200</v>
      </c>
      <c r="W126" s="44"/>
      <c r="X126" s="44">
        <f t="shared" si="25"/>
        <v>1500</v>
      </c>
      <c r="Y126" s="44"/>
      <c r="Z126" s="44">
        <v>9578</v>
      </c>
      <c r="AA126" s="44">
        <f>-300+100</f>
        <v>-200</v>
      </c>
      <c r="AB126" s="44"/>
      <c r="AC126" s="44">
        <f t="shared" si="26"/>
        <v>9378</v>
      </c>
    </row>
    <row r="127" spans="1:29" ht="12.75">
      <c r="A127" s="35">
        <v>3146</v>
      </c>
      <c r="B127" s="2">
        <v>455</v>
      </c>
      <c r="C127" s="79" t="s">
        <v>206</v>
      </c>
      <c r="D127" s="44">
        <v>5656.5199999999995</v>
      </c>
      <c r="E127" s="70">
        <f>170</f>
        <v>170</v>
      </c>
      <c r="F127" s="70"/>
      <c r="G127" s="70"/>
      <c r="H127" s="44">
        <f t="shared" si="22"/>
        <v>5826.5199999999995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/>
      <c r="P127" s="44">
        <f t="shared" si="24"/>
        <v>190.76</v>
      </c>
      <c r="Q127" s="70"/>
      <c r="R127" s="35">
        <v>3146</v>
      </c>
      <c r="S127" s="2">
        <v>455</v>
      </c>
      <c r="T127" s="69" t="s">
        <v>127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6.25">
      <c r="A128" s="36">
        <v>3127</v>
      </c>
      <c r="B128" s="4">
        <v>456</v>
      </c>
      <c r="C128" s="64" t="s">
        <v>207</v>
      </c>
      <c r="D128" s="44">
        <v>15238.52</v>
      </c>
      <c r="E128" s="44">
        <f>1000</f>
        <v>1000</v>
      </c>
      <c r="F128" s="44"/>
      <c r="G128" s="44"/>
      <c r="H128" s="44">
        <f t="shared" si="22"/>
        <v>16238.52</v>
      </c>
      <c r="I128" s="44"/>
      <c r="J128" s="44">
        <v>434</v>
      </c>
      <c r="K128" s="44"/>
      <c r="L128" s="44">
        <f t="shared" si="23"/>
        <v>434</v>
      </c>
      <c r="M128" s="44"/>
      <c r="N128" s="44">
        <v>1718.21</v>
      </c>
      <c r="O128" s="44"/>
      <c r="P128" s="44">
        <f t="shared" si="24"/>
        <v>1718.21</v>
      </c>
      <c r="Q128" s="44"/>
      <c r="R128" s="36">
        <v>3127</v>
      </c>
      <c r="S128" s="4">
        <v>456</v>
      </c>
      <c r="T128" s="64" t="s">
        <v>146</v>
      </c>
      <c r="U128" s="44">
        <v>443</v>
      </c>
      <c r="V128" s="44">
        <f>150</f>
        <v>150</v>
      </c>
      <c r="W128" s="44"/>
      <c r="X128" s="44">
        <f t="shared" si="25"/>
        <v>593</v>
      </c>
      <c r="Y128" s="44"/>
      <c r="Z128" s="44">
        <v>1056</v>
      </c>
      <c r="AA128" s="44">
        <f>544</f>
        <v>544</v>
      </c>
      <c r="AB128" s="44"/>
      <c r="AC128" s="44">
        <f t="shared" si="26"/>
        <v>1600</v>
      </c>
    </row>
    <row r="129" spans="1:29" ht="12.75">
      <c r="A129" s="36">
        <v>3127</v>
      </c>
      <c r="B129" s="4">
        <v>457</v>
      </c>
      <c r="C129" s="64" t="s">
        <v>140</v>
      </c>
      <c r="D129" s="44">
        <v>6137.95</v>
      </c>
      <c r="E129" s="44">
        <f>336.2</f>
        <v>336.2</v>
      </c>
      <c r="F129" s="44"/>
      <c r="G129" s="44"/>
      <c r="H129" s="44">
        <f t="shared" si="22"/>
        <v>6474.15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/>
      <c r="P129" s="44">
        <f t="shared" si="24"/>
        <v>415.65</v>
      </c>
      <c r="Q129" s="44"/>
      <c r="R129" s="36">
        <v>3127</v>
      </c>
      <c r="S129" s="4">
        <v>457</v>
      </c>
      <c r="T129" s="64" t="s">
        <v>140</v>
      </c>
      <c r="U129" s="44"/>
      <c r="V129" s="44"/>
      <c r="W129" s="44"/>
      <c r="X129" s="44">
        <f t="shared" si="25"/>
        <v>0</v>
      </c>
      <c r="Y129" s="44"/>
      <c r="Z129" s="44">
        <v>200</v>
      </c>
      <c r="AA129" s="44"/>
      <c r="AB129" s="44"/>
      <c r="AC129" s="44">
        <f t="shared" si="26"/>
        <v>200</v>
      </c>
    </row>
    <row r="130" spans="1:29" ht="26.25">
      <c r="A130" s="36">
        <v>3127</v>
      </c>
      <c r="B130" s="4">
        <v>458</v>
      </c>
      <c r="C130" s="64" t="s">
        <v>220</v>
      </c>
      <c r="D130" s="44">
        <v>12327.34</v>
      </c>
      <c r="E130" s="44">
        <f>280</f>
        <v>280</v>
      </c>
      <c r="F130" s="44"/>
      <c r="G130" s="44"/>
      <c r="H130" s="44">
        <f t="shared" si="22"/>
        <v>12607.34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/>
      <c r="P130" s="44">
        <f t="shared" si="24"/>
        <v>1852.03</v>
      </c>
      <c r="Q130" s="44"/>
      <c r="R130" s="36">
        <v>3127</v>
      </c>
      <c r="S130" s="4">
        <v>458</v>
      </c>
      <c r="T130" s="64" t="s">
        <v>211</v>
      </c>
      <c r="U130" s="44">
        <v>523</v>
      </c>
      <c r="V130" s="44">
        <f>650</f>
        <v>650</v>
      </c>
      <c r="W130" s="44"/>
      <c r="X130" s="44">
        <f t="shared" si="25"/>
        <v>1173</v>
      </c>
      <c r="Y130" s="44"/>
      <c r="Z130" s="44">
        <v>13737</v>
      </c>
      <c r="AA130" s="44">
        <f>4500-50</f>
        <v>4450</v>
      </c>
      <c r="AB130" s="44"/>
      <c r="AC130" s="44">
        <f t="shared" si="26"/>
        <v>18187</v>
      </c>
    </row>
    <row r="131" spans="1:29" ht="26.25">
      <c r="A131" s="36">
        <v>3127</v>
      </c>
      <c r="B131" s="4">
        <v>459</v>
      </c>
      <c r="C131" s="64" t="s">
        <v>208</v>
      </c>
      <c r="D131" s="44">
        <v>9572.05</v>
      </c>
      <c r="E131" s="44"/>
      <c r="F131" s="44"/>
      <c r="G131" s="44"/>
      <c r="H131" s="44">
        <f t="shared" si="22"/>
        <v>9572.05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/>
      <c r="P131" s="44">
        <f t="shared" si="24"/>
        <v>1424.2199999999998</v>
      </c>
      <c r="Q131" s="44"/>
      <c r="R131" s="36">
        <v>3127</v>
      </c>
      <c r="S131" s="4">
        <v>459</v>
      </c>
      <c r="T131" s="64" t="s">
        <v>147</v>
      </c>
      <c r="U131" s="44"/>
      <c r="V131" s="44"/>
      <c r="W131" s="44"/>
      <c r="X131" s="44">
        <f t="shared" si="25"/>
        <v>0</v>
      </c>
      <c r="Y131" s="44"/>
      <c r="Z131" s="44">
        <v>3500</v>
      </c>
      <c r="AA131" s="44">
        <f>1100</f>
        <v>1100</v>
      </c>
      <c r="AB131" s="44"/>
      <c r="AC131" s="44">
        <f t="shared" si="26"/>
        <v>4600</v>
      </c>
    </row>
    <row r="132" spans="1:29" ht="13.5" thickBot="1">
      <c r="A132" s="72">
        <v>3127</v>
      </c>
      <c r="B132" s="73">
        <v>460</v>
      </c>
      <c r="C132" s="78" t="s">
        <v>209</v>
      </c>
      <c r="D132" s="74">
        <v>10405.19</v>
      </c>
      <c r="E132" s="74"/>
      <c r="F132" s="74"/>
      <c r="G132" s="74"/>
      <c r="H132" s="74">
        <f t="shared" si="22"/>
        <v>10405.19</v>
      </c>
      <c r="I132" s="74"/>
      <c r="J132" s="74"/>
      <c r="K132" s="74"/>
      <c r="L132" s="74">
        <f t="shared" si="23"/>
        <v>0</v>
      </c>
      <c r="M132" s="74"/>
      <c r="N132" s="74">
        <v>875.6</v>
      </c>
      <c r="O132" s="74"/>
      <c r="P132" s="74">
        <f t="shared" si="24"/>
        <v>875.6</v>
      </c>
      <c r="Q132" s="74"/>
      <c r="R132" s="72">
        <v>3127</v>
      </c>
      <c r="S132" s="73">
        <v>460</v>
      </c>
      <c r="T132" s="71" t="s">
        <v>141</v>
      </c>
      <c r="U132" s="74"/>
      <c r="V132" s="74"/>
      <c r="W132" s="74"/>
      <c r="X132" s="74">
        <f t="shared" si="25"/>
        <v>0</v>
      </c>
      <c r="Y132" s="74"/>
      <c r="Z132" s="74"/>
      <c r="AA132" s="74"/>
      <c r="AB132" s="74"/>
      <c r="AC132" s="74">
        <f t="shared" si="26"/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2019-08-19T06:27:51Z</cp:lastPrinted>
  <dcterms:created xsi:type="dcterms:W3CDTF">2002-08-26T10:16:33Z</dcterms:created>
  <dcterms:modified xsi:type="dcterms:W3CDTF">2019-09-04T10:43:38Z</dcterms:modified>
  <cp:category/>
  <cp:version/>
  <cp:contentType/>
  <cp:contentStatus/>
</cp:coreProperties>
</file>