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8412" activeTab="0"/>
  </bookViews>
  <sheets>
    <sheet name="1.ZR vč.pozm." sheetId="1" r:id="rId1"/>
    <sheet name="1.ZR po úpravě" sheetId="2" r:id="rId2"/>
  </sheets>
  <definedNames>
    <definedName name="_xlnm.Print_Titles" localSheetId="1">'1.ZR po úpravě'!$8:$9</definedName>
    <definedName name="_xlnm.Print_Titles" localSheetId="0">'1.ZR vč.pozm.'!$8:$9</definedName>
    <definedName name="_xlnm.Print_Area" localSheetId="1">'1.ZR po úpravě'!$A$1:$F$512</definedName>
    <definedName name="_xlnm.Print_Area" localSheetId="0">'1.ZR vč.pozm.'!$A$1:$F$512</definedName>
    <definedName name="Z_39FD50E0_9911_4D32_8842_5A58F13D310F_.wvu.Cols" localSheetId="1" hidden="1">'1.ZR po úpravě'!$D:$K,'1.ZR po úpravě'!$N:$N,'1.ZR po úpravě'!#REF!</definedName>
    <definedName name="Z_39FD50E0_9911_4D32_8842_5A58F13D310F_.wvu.Cols" localSheetId="0" hidden="1">'1.ZR vč.pozm.'!$D:$K,'1.ZR vč.pozm.'!$N:$N,'1.ZR vč.pozm.'!#REF!</definedName>
    <definedName name="Z_39FD50E0_9911_4D32_8842_5A58F13D310F_.wvu.PrintTitles" localSheetId="1" hidden="1">'1.ZR po úpravě'!$8:$9</definedName>
    <definedName name="Z_39FD50E0_9911_4D32_8842_5A58F13D310F_.wvu.PrintTitles" localSheetId="0" hidden="1">'1.ZR vč.pozm.'!$8:$9</definedName>
    <definedName name="Z_39FD50E0_9911_4D32_8842_5A58F13D310F_.wvu.Rows" localSheetId="1" hidden="1">'1.ZR po úpravě'!#REF!</definedName>
    <definedName name="Z_39FD50E0_9911_4D32_8842_5A58F13D310F_.wvu.Rows" localSheetId="0" hidden="1">'1.ZR vč.pozm.'!#REF!</definedName>
  </definedNames>
  <calcPr fullCalcOnLoad="1"/>
</workbook>
</file>

<file path=xl/sharedStrings.xml><?xml version="1.0" encoding="utf-8"?>
<sst xmlns="http://schemas.openxmlformats.org/spreadsheetml/2006/main" count="1096" uniqueCount="340">
  <si>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</si>
  <si>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</si>
  <si>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</si>
  <si>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</si>
  <si>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</si>
  <si>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</si>
  <si>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</si>
  <si>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</si>
  <si>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</si>
  <si>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</si>
  <si>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</si>
  <si>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</si>
  <si>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</si>
  <si>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</si>
  <si>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</si>
  <si>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</si>
  <si>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</si>
  <si>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</si>
  <si>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</si>
  <si>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</si>
  <si>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</si>
  <si>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</si>
  <si>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</si>
  <si>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</si>
  <si>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</si>
  <si>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</si>
  <si>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</si>
  <si>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</si>
  <si>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</si>
  <si>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</si>
  <si>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</si>
  <si>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</si>
  <si>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</si>
  <si>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</si>
  <si>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</si>
  <si>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</si>
  <si>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</si>
  <si>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</si>
  <si>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</si>
  <si>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</si>
  <si>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</si>
  <si>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</si>
  <si>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</si>
  <si>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</si>
  <si>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</si>
  <si>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</si>
  <si>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</si>
  <si>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</si>
  <si>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</si>
  <si>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</si>
  <si>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</si>
  <si>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</si>
  <si>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</si>
  <si>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</si>
  <si>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</si>
  <si>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</si>
  <si>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</si>
  <si>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</si>
  <si>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</si>
  <si>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</si>
  <si>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</si>
  <si>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</si>
  <si>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</si>
  <si>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</si>
  <si>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</si>
  <si>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</si>
  <si>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</si>
  <si>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</si>
  <si>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</si>
  <si>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</si>
  <si>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</si>
  <si>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</si>
  <si>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</si>
  <si>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</si>
  <si>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</si>
  <si>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</si>
  <si>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</si>
  <si>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</si>
  <si>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</si>
  <si>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</si>
  <si>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</si>
  <si>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</si>
  <si>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</si>
  <si>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 xml:space="preserve">             - školy a školská zařízení zřiz. krajem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</si>
  <si>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</si>
  <si>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</si>
  <si>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</si>
  <si>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</si>
  <si>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</si>
  <si>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</si>
  <si>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</si>
  <si>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</si>
  <si>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</si>
  <si>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</si>
  <si>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</si>
  <si>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</si>
  <si>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</si>
  <si>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</si>
  <si>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</si>
  <si>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</si>
  <si>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</si>
  <si>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</si>
  <si>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</si>
  <si>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</si>
  <si>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</si>
  <si>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</si>
  <si>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</si>
  <si>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</si>
  <si>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</si>
  <si>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</si>
  <si>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</si>
  <si>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</si>
  <si>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</si>
  <si>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</si>
  <si>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</si>
  <si>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</si>
  <si>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</si>
  <si>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</si>
  <si>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</si>
  <si>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</si>
  <si>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</si>
  <si>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</si>
  <si>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</si>
  <si>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</si>
  <si>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</si>
  <si>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</si>
  <si>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</si>
  <si>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</si>
  <si>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</si>
  <si>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</si>
  <si>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</si>
  <si>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</si>
  <si>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</si>
  <si>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</si>
  <si>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</si>
  <si>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</si>
  <si>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</si>
  <si>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</si>
  <si>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</si>
  <si>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</si>
  <si>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</si>
  <si>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</si>
  <si>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</si>
  <si>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</si>
  <si>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</si>
  <si>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</si>
  <si>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</si>
  <si>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</si>
  <si>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</si>
  <si>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</si>
  <si>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</si>
  <si>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</si>
  <si>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</si>
  <si>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</si>
  <si>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</si>
  <si>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</si>
  <si>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</si>
  <si>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</si>
  <si>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</si>
  <si>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</si>
  <si>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</si>
  <si>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</si>
  <si>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</si>
  <si>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</si>
  <si>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</si>
  <si>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</si>
  <si>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</si>
  <si>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</si>
  <si>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</si>
  <si>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</si>
  <si>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</si>
  <si>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</si>
  <si>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</si>
  <si>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</si>
  <si>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</si>
  <si>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</si>
  <si>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</si>
  <si>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</si>
  <si>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</si>
  <si>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</si>
  <si>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</si>
  <si>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</si>
  <si>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</si>
  <si>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</si>
  <si>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</si>
  <si>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</si>
  <si>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</si>
  <si>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</si>
  <si>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</si>
  <si>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</si>
  <si>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</si>
  <si>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</si>
  <si>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</si>
  <si>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</si>
  <si>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</si>
  <si>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</si>
  <si>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</si>
  <si>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</si>
  <si>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</si>
  <si>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</si>
  <si>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</si>
  <si>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</si>
  <si>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</si>
  <si>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</si>
  <si>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</si>
  <si>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</si>
  <si>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</si>
  <si>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</si>
  <si>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</si>
  <si>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</si>
  <si>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</si>
  <si>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</si>
  <si>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</si>
  <si>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</si>
  <si>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</si>
  <si>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</si>
  <si>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</si>
  <si>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</si>
  <si>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</si>
  <si>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</si>
  <si>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</si>
  <si>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</si>
  <si>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</si>
  <si>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</si>
  <si>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</si>
  <si>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</si>
  <si>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</si>
  <si>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</si>
  <si>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</si>
  <si>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</si>
  <si>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</si>
  <si>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</si>
  <si>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</si>
  <si>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</si>
  <si>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</si>
  <si>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</si>
  <si>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</si>
  <si>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</si>
  <si>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</si>
  <si>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</si>
  <si>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</si>
  <si>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</si>
  <si>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</si>
  <si>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</si>
  <si>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</si>
  <si>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</si>
  <si>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</si>
  <si>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</si>
  <si>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</si>
  <si>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</si>
  <si>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</si>
  <si>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</si>
  <si>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</si>
  <si>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</si>
  <si>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</si>
  <si>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ostatní běžné výdaje - poplatky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</si>
  <si>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</si>
  <si>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</si>
  <si>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</si>
  <si>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</si>
  <si>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</si>
  <si>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</si>
  <si>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</si>
  <si>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</si>
  <si>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</si>
  <si>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</si>
  <si>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</si>
  <si>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</si>
  <si>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</si>
  <si>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</si>
  <si>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</si>
  <si>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</si>
  <si>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</si>
  <si>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</si>
  <si>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</si>
  <si>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</si>
  <si>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</si>
  <si>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</si>
  <si>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</si>
  <si>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</si>
  <si>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</si>
  <si>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</si>
  <si>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</si>
  <si>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</si>
  <si>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</si>
  <si>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NA ROK 2020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</si>
  <si>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</si>
  <si>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</si>
  <si>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</si>
  <si>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</si>
  <si>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</si>
  <si>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</si>
  <si>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</si>
  <si>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</si>
  <si>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</si>
  <si>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</si>
  <si>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</si>
  <si>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</si>
  <si>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</si>
  <si>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</si>
  <si>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</si>
  <si>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</si>
  <si>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</si>
  <si>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OP Z - Predikce trhu práce - Kompas - SR 2019</t>
  </si>
  <si>
    <t>Snížení emisí z lokál.vytápění domácností v KHK I- SR 2019</t>
  </si>
  <si>
    <t>Snížení emisí z lokál.vytápění domácností v KHK II - SR 2019</t>
  </si>
  <si>
    <t>OP Z - Rozvoj KHK-chytře, efektivně, s prosperitou - SR 2019</t>
  </si>
  <si>
    <t>TP Interreg V-A ČR-Polsko - SR 2019</t>
  </si>
  <si>
    <t>OP Z Služby soc.prevence v KHK IV - SR  2019</t>
  </si>
  <si>
    <t>OP Z Služby soc.prevence v KHK V - SR  2019</t>
  </si>
  <si>
    <t>OP Z Rozvoj dostup.a kvality soc.sl.v KHK V - SR 2019</t>
  </si>
  <si>
    <t xml:space="preserve">OP VVV - Smart Akcelerátor II. - SR </t>
  </si>
  <si>
    <t>Krajský akční plán vzdělávání v KHK - SR 2019</t>
  </si>
  <si>
    <t>IKAP rozvoje vzdělávání v KHK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</si>
  <si>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</si>
  <si>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</si>
  <si>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</si>
  <si>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</si>
  <si>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>Snížení emisí z lokál.vytápění domácností v KHK III. - SR 2019</t>
  </si>
  <si>
    <t xml:space="preserve">Snížení emisí z lokál.vytápění domácností v KHK III. - SR </t>
  </si>
  <si>
    <t>Snížení emisí z lokál.vytápění domácností v KHK I - SR 2019</t>
  </si>
  <si>
    <t>potravinová pomoc dětem v KHK II - obědy do škol - SR 2019</t>
  </si>
  <si>
    <t>potravinová pomoc dětem v KHK III - obědy do škol - SR 2019</t>
  </si>
  <si>
    <t>OP Z - Do praxe bez bariér - SR</t>
  </si>
  <si>
    <t>OP Z - Do praxe bez bariér - SR 2019</t>
  </si>
  <si>
    <t>OP Z Rozvoj dostup.a kvality soc.sl.v KHK VI - SR 2019</t>
  </si>
  <si>
    <t>OP Z Rozvoj reg.partnerství v soc.oblasti v KHK II - SR 2019</t>
  </si>
  <si>
    <t>OP Z Služby soc.prevence v KHK VI - SR  2019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</si>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</sst>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2" xfId="0" applyBorder="1" applyAlignment="1">
      <alignment/>
    </xf>
    <xf numFmtId="3" fontId="4" fillId="0" borderId="22" xfId="0" applyFont="1" applyBorder="1" applyAlignment="1">
      <alignment/>
    </xf>
    <xf numFmtId="3" fontId="5" fillId="0" borderId="22" xfId="0" applyFont="1" applyBorder="1" applyAlignment="1">
      <alignment/>
    </xf>
    <xf numFmtId="3" fontId="0" fillId="0" borderId="23" xfId="0" applyBorder="1" applyAlignment="1">
      <alignment/>
    </xf>
    <xf numFmtId="3" fontId="0" fillId="0" borderId="22" xfId="0" applyFont="1" applyBorder="1" applyAlignment="1">
      <alignment/>
    </xf>
    <xf numFmtId="3" fontId="2" fillId="0" borderId="24" xfId="0" applyFont="1" applyBorder="1" applyAlignment="1">
      <alignment vertical="center"/>
    </xf>
    <xf numFmtId="3" fontId="6" fillId="0" borderId="22" xfId="0" applyFont="1" applyBorder="1" applyAlignment="1">
      <alignment/>
    </xf>
    <xf numFmtId="3" fontId="6" fillId="0" borderId="22" xfId="0" applyFont="1" applyBorder="1" applyAlignment="1">
      <alignment/>
    </xf>
    <xf numFmtId="3" fontId="0" fillId="0" borderId="23" xfId="0" applyFont="1" applyBorder="1" applyAlignment="1">
      <alignment/>
    </xf>
    <xf numFmtId="3" fontId="7" fillId="0" borderId="22" xfId="0" applyFont="1" applyBorder="1" applyAlignment="1">
      <alignment/>
    </xf>
    <xf numFmtId="3" fontId="7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4" fillId="0" borderId="22" xfId="0" applyFont="1" applyFill="1" applyBorder="1" applyAlignment="1">
      <alignment/>
    </xf>
    <xf numFmtId="3" fontId="4" fillId="0" borderId="24" xfId="0" applyFont="1" applyBorder="1" applyAlignment="1">
      <alignment/>
    </xf>
    <xf numFmtId="3" fontId="3" fillId="0" borderId="25" xfId="0" applyFont="1" applyBorder="1" applyAlignment="1">
      <alignment vertical="center"/>
    </xf>
    <xf numFmtId="3" fontId="4" fillId="0" borderId="25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0" fillId="0" borderId="22" xfId="0" applyFont="1" applyBorder="1" applyAlignment="1">
      <alignment vertical="center"/>
    </xf>
    <xf numFmtId="3" fontId="0" fillId="0" borderId="22" xfId="0" applyBorder="1" applyAlignment="1">
      <alignment vertical="center"/>
    </xf>
    <xf numFmtId="3" fontId="7" fillId="0" borderId="22" xfId="0" applyFont="1" applyBorder="1" applyAlignment="1">
      <alignment/>
    </xf>
    <xf numFmtId="3" fontId="4" fillId="0" borderId="22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6" fontId="8" fillId="0" borderId="28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7" xfId="38" applyNumberFormat="1" applyFont="1" applyBorder="1" applyAlignment="1">
      <alignment vertical="center"/>
    </xf>
    <xf numFmtId="3" fontId="0" fillId="0" borderId="24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1" xfId="38" applyNumberFormat="1" applyFont="1" applyBorder="1" applyAlignment="1">
      <alignment/>
    </xf>
    <xf numFmtId="3" fontId="53" fillId="0" borderId="0" xfId="0" applyFont="1" applyAlignment="1">
      <alignment/>
    </xf>
    <xf numFmtId="3" fontId="7" fillId="0" borderId="20" xfId="0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0" xfId="0" applyFont="1" applyBorder="1" applyAlignment="1">
      <alignment horizontal="left" vertic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0" xfId="0" applyFont="1" applyBorder="1" applyAlignment="1">
      <alignment horizontal="center"/>
    </xf>
    <xf numFmtId="3" fontId="0" fillId="0" borderId="22" xfId="0" applyFont="1" applyBorder="1" applyAlignment="1">
      <alignment/>
    </xf>
    <xf numFmtId="3" fontId="9" fillId="0" borderId="20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0" xfId="0" applyFont="1" applyBorder="1" applyAlignment="1">
      <alignment horizontal="center"/>
    </xf>
    <xf numFmtId="3" fontId="9" fillId="0" borderId="20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/>
    </xf>
    <xf numFmtId="3" fontId="9" fillId="0" borderId="25" xfId="0" applyFont="1" applyBorder="1" applyAlignment="1">
      <alignment horizontal="center" vertical="center"/>
    </xf>
    <xf numFmtId="3" fontId="9" fillId="0" borderId="26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7" fillId="0" borderId="22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7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35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6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67" fontId="0" fillId="0" borderId="37" xfId="0" applyNumberFormat="1" applyBorder="1" applyAlignment="1">
      <alignment/>
    </xf>
    <xf numFmtId="174" fontId="4" fillId="0" borderId="20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2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/>
    </xf>
    <xf numFmtId="174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6" fillId="0" borderId="37" xfId="38" applyNumberFormat="1" applyFont="1" applyBorder="1" applyAlignment="1">
      <alignment/>
    </xf>
    <xf numFmtId="174" fontId="6" fillId="0" borderId="37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4" fillId="0" borderId="21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21" xfId="38" applyNumberFormat="1" applyFont="1" applyBorder="1" applyAlignment="1">
      <alignment horizontal="center"/>
    </xf>
    <xf numFmtId="174" fontId="0" fillId="0" borderId="21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31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0" fillId="0" borderId="29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42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174" fontId="0" fillId="0" borderId="21" xfId="38" applyNumberFormat="1" applyFont="1" applyBorder="1" applyAlignment="1">
      <alignment vertical="center"/>
    </xf>
    <xf numFmtId="174" fontId="0" fillId="0" borderId="31" xfId="38" applyNumberFormat="1" applyFont="1" applyBorder="1" applyAlignment="1">
      <alignment vertical="center"/>
    </xf>
    <xf numFmtId="166" fontId="4" fillId="0" borderId="29" xfId="38" applyNumberFormat="1" applyFont="1" applyBorder="1" applyAlignment="1">
      <alignment/>
    </xf>
    <xf numFmtId="166" fontId="8" fillId="0" borderId="21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5" fontId="4" fillId="0" borderId="43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66" fontId="4" fillId="0" borderId="0" xfId="38" applyNumberFormat="1" applyFont="1" applyBorder="1" applyAlignment="1">
      <alignment/>
    </xf>
    <xf numFmtId="174" fontId="2" fillId="0" borderId="44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7" fillId="0" borderId="0" xfId="38" applyNumberFormat="1" applyFont="1" applyBorder="1" applyAlignment="1">
      <alignment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0" xfId="38" applyNumberFormat="1" applyFont="1" applyBorder="1" applyAlignment="1">
      <alignment vertical="center"/>
    </xf>
    <xf numFmtId="166" fontId="8" fillId="0" borderId="44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0" xfId="38" applyNumberFormat="1" applyFont="1" applyFill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34" xfId="38" applyNumberFormat="1" applyFont="1" applyBorder="1" applyAlignment="1">
      <alignment/>
    </xf>
    <xf numFmtId="166" fontId="2" fillId="0" borderId="20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8" fillId="0" borderId="33" xfId="38" applyNumberFormat="1" applyFont="1" applyBorder="1" applyAlignment="1">
      <alignment vertical="center"/>
    </xf>
    <xf numFmtId="166" fontId="4" fillId="0" borderId="46" xfId="38" applyNumberFormat="1" applyFont="1" applyBorder="1" applyAlignment="1">
      <alignment/>
    </xf>
    <xf numFmtId="3" fontId="10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3" fontId="0" fillId="0" borderId="24" xfId="0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3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2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2" xfId="38" applyNumberFormat="1" applyFont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6" fillId="0" borderId="22" xfId="38" applyNumberFormat="1" applyFont="1" applyBorder="1" applyAlignment="1">
      <alignment/>
    </xf>
    <xf numFmtId="174" fontId="6" fillId="0" borderId="22" xfId="38" applyNumberFormat="1" applyFont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3" fillId="0" borderId="25" xfId="38" applyNumberFormat="1" applyFont="1" applyBorder="1" applyAlignment="1">
      <alignment vertical="center"/>
    </xf>
    <xf numFmtId="174" fontId="4" fillId="0" borderId="25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3" fontId="0" fillId="0" borderId="24" xfId="0" applyFont="1" applyBorder="1" applyAlignment="1">
      <alignment/>
    </xf>
    <xf numFmtId="166" fontId="4" fillId="0" borderId="37" xfId="38" applyNumberFormat="1" applyFont="1" applyBorder="1" applyAlignment="1">
      <alignment/>
    </xf>
    <xf numFmtId="167" fontId="0" fillId="0" borderId="20" xfId="0" applyNumberFormat="1" applyBorder="1" applyAlignment="1">
      <alignment/>
    </xf>
    <xf numFmtId="165" fontId="4" fillId="0" borderId="41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74" fontId="0" fillId="0" borderId="47" xfId="38" applyNumberFormat="1" applyFont="1" applyBorder="1" applyAlignment="1">
      <alignment/>
    </xf>
    <xf numFmtId="174" fontId="0" fillId="0" borderId="40" xfId="38" applyNumberFormat="1" applyFont="1" applyBorder="1" applyAlignment="1">
      <alignment/>
    </xf>
    <xf numFmtId="174" fontId="6" fillId="0" borderId="37" xfId="38" applyNumberFormat="1" applyFont="1" applyFill="1" applyBorder="1" applyAlignment="1">
      <alignment/>
    </xf>
    <xf numFmtId="174" fontId="0" fillId="0" borderId="37" xfId="38" applyNumberFormat="1" applyFont="1" applyFill="1" applyBorder="1" applyAlignment="1">
      <alignment/>
    </xf>
    <xf numFmtId="174" fontId="0" fillId="0" borderId="37" xfId="38" applyNumberFormat="1" applyFont="1" applyFill="1" applyBorder="1" applyAlignment="1">
      <alignment/>
    </xf>
    <xf numFmtId="174" fontId="3" fillId="0" borderId="48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0" fillId="0" borderId="37" xfId="38" applyNumberFormat="1" applyFont="1" applyBorder="1" applyAlignment="1">
      <alignment vertical="center"/>
    </xf>
    <xf numFmtId="174" fontId="0" fillId="0" borderId="40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3" fontId="0" fillId="0" borderId="23" xfId="0" applyFill="1" applyBorder="1" applyAlignment="1">
      <alignment/>
    </xf>
    <xf numFmtId="3" fontId="7" fillId="0" borderId="34" xfId="0" applyFont="1" applyFill="1" applyBorder="1" applyAlignment="1">
      <alignment horizontal="center"/>
    </xf>
    <xf numFmtId="3" fontId="12" fillId="0" borderId="34" xfId="0" applyFont="1" applyBorder="1" applyAlignment="1">
      <alignment horizontal="center"/>
    </xf>
    <xf numFmtId="174" fontId="11" fillId="0" borderId="47" xfId="38" applyNumberFormat="1" applyFont="1" applyBorder="1" applyAlignment="1">
      <alignment/>
    </xf>
    <xf numFmtId="174" fontId="0" fillId="0" borderId="18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6" xfId="0" applyFont="1" applyBorder="1" applyAlignment="1">
      <alignment horizontal="center" vertical="center"/>
    </xf>
    <xf numFmtId="3" fontId="0" fillId="0" borderId="24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5"/>
  <sheetViews>
    <sheetView tabSelected="1" zoomScaleSheetLayoutView="69" zoomScalePageLayoutView="0" workbookViewId="0" topLeftCell="A1">
      <pane xSplit="1" ySplit="9" topLeftCell="C9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25" sqref="D325"/>
    </sheetView>
  </sheetViews>
  <sheetFormatPr defaultColWidth="9.00390625" defaultRowHeight="12.75"/>
  <cols>
    <col min="1" max="1" width="51.00390625" style="0" customWidth="1"/>
    <col min="2" max="2" width="8.50390625" style="0" hidden="1" customWidth="1"/>
    <col min="3" max="3" width="15.375" style="0" customWidth="1"/>
    <col min="4" max="4" width="17.50390625" style="0" customWidth="1"/>
    <col min="5" max="5" width="12.00390625" style="0" customWidth="1"/>
    <col min="6" max="6" width="16.50390625" style="0" customWidth="1"/>
    <col min="7" max="7" width="12.50390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 t="s">
        <v>136</v>
      </c>
      <c r="I1" s="2"/>
      <c r="L1" s="2"/>
      <c r="O1" s="2"/>
      <c r="Q1" s="2" t="s">
        <v>136</v>
      </c>
    </row>
    <row r="2" spans="3:6" ht="9.75" customHeight="1">
      <c r="C2" s="1"/>
      <c r="D2" s="1"/>
      <c r="E2" s="1"/>
      <c r="F2" s="2"/>
    </row>
    <row r="3" spans="1:17" ht="15">
      <c r="A3" s="279" t="s">
        <v>248</v>
      </c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5">
      <c r="A4" s="281" t="s">
        <v>285</v>
      </c>
      <c r="B4" s="28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7" ht="13.5">
      <c r="A5" s="282" t="s">
        <v>0</v>
      </c>
      <c r="B5" s="282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17" ht="12.75">
      <c r="A6" s="283" t="s">
        <v>1</v>
      </c>
      <c r="B6" s="283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3" ht="18" customHeight="1" thickBot="1">
      <c r="A7" s="3"/>
      <c r="B7" s="3"/>
      <c r="C7" s="4"/>
      <c r="D7" s="141"/>
      <c r="E7" s="4"/>
      <c r="F7" s="4"/>
      <c r="J7" s="70"/>
      <c r="M7" s="63"/>
    </row>
    <row r="8" spans="1:17" ht="12.75">
      <c r="A8" s="284" t="s">
        <v>2</v>
      </c>
      <c r="B8" s="88" t="s">
        <v>233</v>
      </c>
      <c r="C8" s="168" t="s">
        <v>3</v>
      </c>
      <c r="D8" s="18" t="s">
        <v>4</v>
      </c>
      <c r="E8" s="258" t="s">
        <v>5</v>
      </c>
      <c r="F8" s="74" t="s">
        <v>6</v>
      </c>
      <c r="G8" s="205" t="s">
        <v>7</v>
      </c>
      <c r="H8" s="18" t="s">
        <v>5</v>
      </c>
      <c r="I8" s="74" t="s">
        <v>6</v>
      </c>
      <c r="J8" s="168" t="s">
        <v>8</v>
      </c>
      <c r="K8" s="18" t="s">
        <v>5</v>
      </c>
      <c r="L8" s="74" t="s">
        <v>6</v>
      </c>
      <c r="M8" s="17" t="s">
        <v>9</v>
      </c>
      <c r="N8" s="18" t="s">
        <v>5</v>
      </c>
      <c r="O8" s="19" t="s">
        <v>6</v>
      </c>
      <c r="P8" s="17" t="s">
        <v>161</v>
      </c>
      <c r="Q8" s="74" t="s">
        <v>6</v>
      </c>
    </row>
    <row r="9" spans="1:17" ht="13.5" thickBot="1">
      <c r="A9" s="285"/>
      <c r="B9" s="155" t="s">
        <v>176</v>
      </c>
      <c r="C9" s="169" t="s">
        <v>10</v>
      </c>
      <c r="D9" s="60" t="s">
        <v>11</v>
      </c>
      <c r="E9" s="259" t="s">
        <v>12</v>
      </c>
      <c r="F9" s="75" t="s">
        <v>13</v>
      </c>
      <c r="G9" s="206" t="s">
        <v>11</v>
      </c>
      <c r="H9" s="60" t="s">
        <v>12</v>
      </c>
      <c r="I9" s="75" t="s">
        <v>14</v>
      </c>
      <c r="J9" s="169" t="s">
        <v>11</v>
      </c>
      <c r="K9" s="60" t="s">
        <v>12</v>
      </c>
      <c r="L9" s="75" t="s">
        <v>15</v>
      </c>
      <c r="M9" s="59" t="s">
        <v>11</v>
      </c>
      <c r="N9" s="60" t="s">
        <v>12</v>
      </c>
      <c r="O9" s="61" t="s">
        <v>16</v>
      </c>
      <c r="P9" s="59" t="s">
        <v>11</v>
      </c>
      <c r="Q9" s="75" t="s">
        <v>162</v>
      </c>
    </row>
    <row r="10" spans="1:17" ht="15.75" customHeight="1">
      <c r="A10" s="57" t="s">
        <v>17</v>
      </c>
      <c r="B10" s="89"/>
      <c r="C10" s="170"/>
      <c r="D10" s="5"/>
      <c r="E10" s="260"/>
      <c r="F10" s="188"/>
      <c r="G10" s="207"/>
      <c r="H10" s="5"/>
      <c r="I10" s="188"/>
      <c r="J10" s="170"/>
      <c r="K10" s="5"/>
      <c r="L10" s="188"/>
      <c r="M10" s="30"/>
      <c r="N10" s="5"/>
      <c r="O10" s="58"/>
      <c r="P10" s="77"/>
      <c r="Q10" s="78"/>
    </row>
    <row r="11" spans="1:17" ht="12.75">
      <c r="A11" s="32" t="s">
        <v>223</v>
      </c>
      <c r="B11" s="90"/>
      <c r="C11" s="152">
        <f>C13+C14+C15+C16</f>
        <v>4637203.01</v>
      </c>
      <c r="D11" s="113">
        <f>D13+D14+D15+D16</f>
        <v>-93212.15</v>
      </c>
      <c r="E11" s="136">
        <f>E13+E14+E15</f>
        <v>0</v>
      </c>
      <c r="F11" s="167">
        <f>F13+F14+F15+F16</f>
        <v>4543990.859999999</v>
      </c>
      <c r="G11" s="153">
        <f aca="true" t="shared" si="0" ref="G11:Q11">G13+G14+G15</f>
        <v>0</v>
      </c>
      <c r="H11" s="113">
        <f t="shared" si="0"/>
        <v>0</v>
      </c>
      <c r="I11" s="153">
        <f t="shared" si="0"/>
        <v>26787.85</v>
      </c>
      <c r="J11" s="153">
        <f t="shared" si="0"/>
        <v>0</v>
      </c>
      <c r="K11" s="113">
        <f t="shared" si="0"/>
        <v>0</v>
      </c>
      <c r="L11" s="153">
        <f t="shared" si="0"/>
        <v>26787.85</v>
      </c>
      <c r="M11" s="153">
        <f t="shared" si="0"/>
        <v>0</v>
      </c>
      <c r="N11" s="153">
        <f t="shared" si="0"/>
        <v>0</v>
      </c>
      <c r="O11" s="153">
        <f t="shared" si="0"/>
        <v>26787.85</v>
      </c>
      <c r="P11" s="153">
        <f t="shared" si="0"/>
        <v>0</v>
      </c>
      <c r="Q11" s="167">
        <f t="shared" si="0"/>
        <v>26787.85</v>
      </c>
    </row>
    <row r="12" spans="1:17" ht="12.75">
      <c r="A12" s="33" t="s">
        <v>18</v>
      </c>
      <c r="B12" s="91"/>
      <c r="C12" s="152"/>
      <c r="D12" s="113"/>
      <c r="E12" s="136"/>
      <c r="F12" s="167"/>
      <c r="G12" s="137"/>
      <c r="H12" s="6"/>
      <c r="I12" s="69"/>
      <c r="J12" s="224"/>
      <c r="K12" s="6"/>
      <c r="L12" s="69"/>
      <c r="M12" s="20"/>
      <c r="N12" s="6"/>
      <c r="O12" s="21"/>
      <c r="P12" s="81"/>
      <c r="Q12" s="79"/>
    </row>
    <row r="13" spans="1:17" ht="12.75">
      <c r="A13" s="99" t="s">
        <v>230</v>
      </c>
      <c r="B13" s="91"/>
      <c r="C13" s="145">
        <v>4633763.01</v>
      </c>
      <c r="D13" s="114">
        <v>-150000</v>
      </c>
      <c r="E13" s="136"/>
      <c r="F13" s="189">
        <f>C13+D13+E13</f>
        <v>4483763.01</v>
      </c>
      <c r="G13" s="137"/>
      <c r="H13" s="6"/>
      <c r="I13" s="69"/>
      <c r="J13" s="224"/>
      <c r="K13" s="6"/>
      <c r="L13" s="69"/>
      <c r="M13" s="20"/>
      <c r="N13" s="6"/>
      <c r="O13" s="21"/>
      <c r="P13" s="81"/>
      <c r="Q13" s="79"/>
    </row>
    <row r="14" spans="1:17" ht="12.75">
      <c r="A14" s="34" t="s">
        <v>19</v>
      </c>
      <c r="B14" s="92"/>
      <c r="C14" s="145"/>
      <c r="D14" s="125">
        <f>26787.85</f>
        <v>26787.85</v>
      </c>
      <c r="E14" s="160"/>
      <c r="F14" s="189">
        <f>C14+D14+E14</f>
        <v>26787.85</v>
      </c>
      <c r="G14" s="87"/>
      <c r="H14" s="6"/>
      <c r="I14" s="73">
        <f>F14+G14+H14</f>
        <v>26787.85</v>
      </c>
      <c r="J14" s="28"/>
      <c r="K14" s="6"/>
      <c r="L14" s="73">
        <f>I14+J14+K14</f>
        <v>26787.85</v>
      </c>
      <c r="M14" s="22"/>
      <c r="N14" s="6"/>
      <c r="O14" s="23">
        <f>L14+M14+N14</f>
        <v>26787.85</v>
      </c>
      <c r="P14" s="81"/>
      <c r="Q14" s="79">
        <f aca="true" t="shared" si="1" ref="Q14:Q76">O14+P14</f>
        <v>26787.85</v>
      </c>
    </row>
    <row r="15" spans="1:17" ht="12.75">
      <c r="A15" s="99" t="s">
        <v>231</v>
      </c>
      <c r="B15" s="92"/>
      <c r="C15" s="145">
        <v>3440</v>
      </c>
      <c r="D15" s="125"/>
      <c r="E15" s="160"/>
      <c r="F15" s="189">
        <f>C15+D15+E15</f>
        <v>3440</v>
      </c>
      <c r="G15" s="87"/>
      <c r="H15" s="6"/>
      <c r="I15" s="73"/>
      <c r="J15" s="87"/>
      <c r="K15" s="6"/>
      <c r="L15" s="73"/>
      <c r="M15" s="135"/>
      <c r="N15" s="6"/>
      <c r="O15" s="23"/>
      <c r="P15" s="151"/>
      <c r="Q15" s="79"/>
    </row>
    <row r="16" spans="1:17" ht="12.75">
      <c r="A16" s="99" t="s">
        <v>298</v>
      </c>
      <c r="B16" s="92"/>
      <c r="C16" s="145"/>
      <c r="D16" s="125">
        <f>30000</f>
        <v>30000</v>
      </c>
      <c r="E16" s="160"/>
      <c r="F16" s="189">
        <f>C16+D16+E16</f>
        <v>30000</v>
      </c>
      <c r="G16" s="87"/>
      <c r="H16" s="6"/>
      <c r="I16" s="87"/>
      <c r="J16" s="87"/>
      <c r="K16" s="6"/>
      <c r="L16" s="87"/>
      <c r="M16" s="135"/>
      <c r="N16" s="256"/>
      <c r="O16" s="87"/>
      <c r="P16" s="151"/>
      <c r="Q16" s="79"/>
    </row>
    <row r="17" spans="1:17" ht="12.75">
      <c r="A17" s="32" t="s">
        <v>224</v>
      </c>
      <c r="B17" s="90"/>
      <c r="C17" s="152">
        <f aca="true" t="shared" si="2" ref="C17:Q17">SUM(C19:C25)+C32</f>
        <v>266083.59</v>
      </c>
      <c r="D17" s="113">
        <f t="shared" si="2"/>
        <v>2715.949999999997</v>
      </c>
      <c r="E17" s="136">
        <f t="shared" si="2"/>
        <v>0</v>
      </c>
      <c r="F17" s="167">
        <f t="shared" si="2"/>
        <v>268799.54</v>
      </c>
      <c r="G17" s="153">
        <f t="shared" si="2"/>
        <v>0</v>
      </c>
      <c r="H17" s="113">
        <f t="shared" si="2"/>
        <v>0</v>
      </c>
      <c r="I17" s="136">
        <f t="shared" si="2"/>
        <v>248414.83</v>
      </c>
      <c r="J17" s="152">
        <f t="shared" si="2"/>
        <v>0</v>
      </c>
      <c r="K17" s="113">
        <f t="shared" si="2"/>
        <v>0</v>
      </c>
      <c r="L17" s="136">
        <f t="shared" si="2"/>
        <v>248414.83</v>
      </c>
      <c r="M17" s="112">
        <f t="shared" si="2"/>
        <v>0</v>
      </c>
      <c r="N17" s="112">
        <f t="shared" si="2"/>
        <v>0</v>
      </c>
      <c r="O17" s="112">
        <f t="shared" si="2"/>
        <v>248414.83</v>
      </c>
      <c r="P17" s="112">
        <f t="shared" si="2"/>
        <v>0</v>
      </c>
      <c r="Q17" s="240">
        <f t="shared" si="2"/>
        <v>248414.83</v>
      </c>
    </row>
    <row r="18" spans="1:17" ht="10.5" customHeight="1">
      <c r="A18" s="33" t="s">
        <v>20</v>
      </c>
      <c r="B18" s="91"/>
      <c r="C18" s="152"/>
      <c r="D18" s="113"/>
      <c r="E18" s="136"/>
      <c r="F18" s="167"/>
      <c r="G18" s="137"/>
      <c r="H18" s="6"/>
      <c r="I18" s="69"/>
      <c r="J18" s="224"/>
      <c r="K18" s="6"/>
      <c r="L18" s="69"/>
      <c r="M18" s="20"/>
      <c r="N18" s="6"/>
      <c r="O18" s="21"/>
      <c r="P18" s="81"/>
      <c r="Q18" s="79"/>
    </row>
    <row r="19" spans="1:17" ht="12.75">
      <c r="A19" s="34" t="s">
        <v>21</v>
      </c>
      <c r="B19" s="92"/>
      <c r="C19" s="145">
        <v>6000</v>
      </c>
      <c r="D19" s="114"/>
      <c r="E19" s="160"/>
      <c r="F19" s="189">
        <f>C19+D19+E19</f>
        <v>6000</v>
      </c>
      <c r="G19" s="87"/>
      <c r="H19" s="7"/>
      <c r="I19" s="73">
        <f>F19+G19+H19</f>
        <v>6000</v>
      </c>
      <c r="J19" s="28"/>
      <c r="K19" s="7"/>
      <c r="L19" s="73">
        <f>I19+J19+K19</f>
        <v>6000</v>
      </c>
      <c r="M19" s="22"/>
      <c r="N19" s="7"/>
      <c r="O19" s="23">
        <f>L19+M19+N19</f>
        <v>6000</v>
      </c>
      <c r="P19" s="81"/>
      <c r="Q19" s="79">
        <f t="shared" si="1"/>
        <v>6000</v>
      </c>
    </row>
    <row r="20" spans="1:17" ht="12.75">
      <c r="A20" s="99" t="s">
        <v>263</v>
      </c>
      <c r="B20" s="92"/>
      <c r="C20" s="145"/>
      <c r="D20" s="114">
        <f>213.18+5241.84+3126.66</f>
        <v>8581.68</v>
      </c>
      <c r="E20" s="160"/>
      <c r="F20" s="189">
        <f aca="true" t="shared" si="3" ref="F20:F32">C20+D20+E20</f>
        <v>8581.68</v>
      </c>
      <c r="G20" s="87"/>
      <c r="H20" s="7"/>
      <c r="I20" s="73">
        <f>F20+G20+H20</f>
        <v>8581.68</v>
      </c>
      <c r="J20" s="28"/>
      <c r="K20" s="7"/>
      <c r="L20" s="73">
        <f>I20+J20+K20</f>
        <v>8581.68</v>
      </c>
      <c r="M20" s="22"/>
      <c r="N20" s="7"/>
      <c r="O20" s="23">
        <f>L20+M20+N20</f>
        <v>8581.68</v>
      </c>
      <c r="P20" s="81"/>
      <c r="Q20" s="79">
        <f t="shared" si="1"/>
        <v>8581.68</v>
      </c>
    </row>
    <row r="21" spans="1:17" ht="12.75">
      <c r="A21" s="99" t="s">
        <v>269</v>
      </c>
      <c r="B21" s="92"/>
      <c r="C21" s="145">
        <v>30000</v>
      </c>
      <c r="D21" s="114">
        <f>-30000</f>
        <v>-30000</v>
      </c>
      <c r="E21" s="160"/>
      <c r="F21" s="189">
        <f t="shared" si="3"/>
        <v>0</v>
      </c>
      <c r="G21" s="87"/>
      <c r="H21" s="7"/>
      <c r="I21" s="73">
        <f>F21+G21+H21</f>
        <v>0</v>
      </c>
      <c r="J21" s="28"/>
      <c r="K21" s="7"/>
      <c r="L21" s="73">
        <f>I21+J21+K21</f>
        <v>0</v>
      </c>
      <c r="M21" s="22"/>
      <c r="N21" s="7"/>
      <c r="O21" s="23">
        <f>L21+M21+N21</f>
        <v>0</v>
      </c>
      <c r="P21" s="81"/>
      <c r="Q21" s="79">
        <f t="shared" si="1"/>
        <v>0</v>
      </c>
    </row>
    <row r="22" spans="1:17" ht="12.75">
      <c r="A22" s="35" t="s">
        <v>264</v>
      </c>
      <c r="B22" s="93"/>
      <c r="C22" s="145">
        <v>121834.08</v>
      </c>
      <c r="D22" s="114"/>
      <c r="E22" s="160"/>
      <c r="F22" s="189">
        <f t="shared" si="3"/>
        <v>121834.08</v>
      </c>
      <c r="G22" s="87"/>
      <c r="H22" s="7"/>
      <c r="I22" s="73">
        <f>F22+G22+H22</f>
        <v>121834.08</v>
      </c>
      <c r="J22" s="28"/>
      <c r="K22" s="7"/>
      <c r="L22" s="73">
        <f>I22+J22+K22</f>
        <v>121834.08</v>
      </c>
      <c r="M22" s="22"/>
      <c r="N22" s="7"/>
      <c r="O22" s="23">
        <f>L22+M22+N22</f>
        <v>121834.08</v>
      </c>
      <c r="P22" s="81"/>
      <c r="Q22" s="79">
        <f t="shared" si="1"/>
        <v>121834.08</v>
      </c>
    </row>
    <row r="23" spans="1:17" ht="12.75" hidden="1">
      <c r="A23" s="35" t="s">
        <v>265</v>
      </c>
      <c r="B23" s="93"/>
      <c r="C23" s="145"/>
      <c r="D23" s="114"/>
      <c r="E23" s="160"/>
      <c r="F23" s="189">
        <f t="shared" si="3"/>
        <v>0</v>
      </c>
      <c r="G23" s="87"/>
      <c r="H23" s="7"/>
      <c r="I23" s="73"/>
      <c r="J23" s="28"/>
      <c r="K23" s="7"/>
      <c r="L23" s="73"/>
      <c r="M23" s="22"/>
      <c r="N23" s="7"/>
      <c r="O23" s="23"/>
      <c r="P23" s="81"/>
      <c r="Q23" s="79"/>
    </row>
    <row r="24" spans="1:17" ht="12.75">
      <c r="A24" s="35" t="s">
        <v>266</v>
      </c>
      <c r="B24" s="93"/>
      <c r="C24" s="145"/>
      <c r="D24" s="114">
        <f>69.49+2718.44+50.49+432.1+127.5+46.95+16.23+160.66</f>
        <v>3621.859999999999</v>
      </c>
      <c r="E24" s="160"/>
      <c r="F24" s="189">
        <f t="shared" si="3"/>
        <v>3621.859999999999</v>
      </c>
      <c r="G24" s="87"/>
      <c r="H24" s="7"/>
      <c r="I24" s="73">
        <f>F24+G24+H24</f>
        <v>3621.859999999999</v>
      </c>
      <c r="J24" s="28"/>
      <c r="K24" s="7"/>
      <c r="L24" s="73">
        <f>I24+J24+K24</f>
        <v>3621.859999999999</v>
      </c>
      <c r="M24" s="31"/>
      <c r="N24" s="7"/>
      <c r="O24" s="23">
        <f>L24+M24+N24</f>
        <v>3621.859999999999</v>
      </c>
      <c r="P24" s="81"/>
      <c r="Q24" s="79">
        <f t="shared" si="1"/>
        <v>3621.859999999999</v>
      </c>
    </row>
    <row r="25" spans="1:17" ht="12.75">
      <c r="A25" s="34" t="s">
        <v>22</v>
      </c>
      <c r="B25" s="92"/>
      <c r="C25" s="145">
        <f>SUM(C26:C31)</f>
        <v>108249.51000000001</v>
      </c>
      <c r="D25" s="114">
        <f>SUM(D26:D31)</f>
        <v>127.7</v>
      </c>
      <c r="E25" s="160">
        <f aca="true" t="shared" si="4" ref="E25:Q25">SUM(E26:E31)</f>
        <v>0</v>
      </c>
      <c r="F25" s="189">
        <f t="shared" si="4"/>
        <v>108377.20999999999</v>
      </c>
      <c r="G25" s="146">
        <f t="shared" si="4"/>
        <v>0</v>
      </c>
      <c r="H25" s="114">
        <f t="shared" si="4"/>
        <v>0</v>
      </c>
      <c r="I25" s="160">
        <f t="shared" si="4"/>
        <v>108377.20999999999</v>
      </c>
      <c r="J25" s="145">
        <f t="shared" si="4"/>
        <v>0</v>
      </c>
      <c r="K25" s="114">
        <f t="shared" si="4"/>
        <v>0</v>
      </c>
      <c r="L25" s="160">
        <f t="shared" si="4"/>
        <v>108377.20999999999</v>
      </c>
      <c r="M25" s="115">
        <f t="shared" si="4"/>
        <v>0</v>
      </c>
      <c r="N25" s="115">
        <f t="shared" si="4"/>
        <v>0</v>
      </c>
      <c r="O25" s="115">
        <f t="shared" si="4"/>
        <v>108377.20999999999</v>
      </c>
      <c r="P25" s="115">
        <f t="shared" si="4"/>
        <v>0</v>
      </c>
      <c r="Q25" s="241">
        <f t="shared" si="4"/>
        <v>108377.20999999999</v>
      </c>
    </row>
    <row r="26" spans="1:17" ht="12.75">
      <c r="A26" s="34" t="s">
        <v>23</v>
      </c>
      <c r="B26" s="92"/>
      <c r="C26" s="145">
        <v>44302</v>
      </c>
      <c r="D26" s="114">
        <f>127.7</f>
        <v>127.7</v>
      </c>
      <c r="E26" s="160"/>
      <c r="F26" s="189">
        <f t="shared" si="3"/>
        <v>44429.7</v>
      </c>
      <c r="G26" s="87"/>
      <c r="H26" s="7"/>
      <c r="I26" s="73">
        <f aca="true" t="shared" si="5" ref="I26:I31">F26+G26+H26</f>
        <v>44429.7</v>
      </c>
      <c r="J26" s="28"/>
      <c r="K26" s="7"/>
      <c r="L26" s="73">
        <f aca="true" t="shared" si="6" ref="L26:L31">I26+J26+K26</f>
        <v>44429.7</v>
      </c>
      <c r="M26" s="22"/>
      <c r="N26" s="7"/>
      <c r="O26" s="23">
        <f aca="true" t="shared" si="7" ref="O26:O31">L26+M26+N26</f>
        <v>44429.7</v>
      </c>
      <c r="P26" s="81"/>
      <c r="Q26" s="79">
        <f t="shared" si="1"/>
        <v>44429.7</v>
      </c>
    </row>
    <row r="27" spans="1:17" ht="12.75">
      <c r="A27" s="35" t="s">
        <v>148</v>
      </c>
      <c r="B27" s="93"/>
      <c r="C27" s="145">
        <v>899.66</v>
      </c>
      <c r="D27" s="114"/>
      <c r="E27" s="160"/>
      <c r="F27" s="189">
        <f t="shared" si="3"/>
        <v>899.66</v>
      </c>
      <c r="G27" s="87"/>
      <c r="H27" s="7"/>
      <c r="I27" s="73">
        <f t="shared" si="5"/>
        <v>899.66</v>
      </c>
      <c r="J27" s="28"/>
      <c r="K27" s="7"/>
      <c r="L27" s="73">
        <f t="shared" si="6"/>
        <v>899.66</v>
      </c>
      <c r="M27" s="22"/>
      <c r="N27" s="7"/>
      <c r="O27" s="23">
        <f t="shared" si="7"/>
        <v>899.66</v>
      </c>
      <c r="P27" s="81"/>
      <c r="Q27" s="79">
        <f t="shared" si="1"/>
        <v>899.66</v>
      </c>
    </row>
    <row r="28" spans="1:17" ht="12.75">
      <c r="A28" s="34" t="s">
        <v>24</v>
      </c>
      <c r="B28" s="92"/>
      <c r="C28" s="145">
        <v>23039</v>
      </c>
      <c r="D28" s="114"/>
      <c r="E28" s="160"/>
      <c r="F28" s="189">
        <f t="shared" si="3"/>
        <v>23039</v>
      </c>
      <c r="G28" s="87"/>
      <c r="H28" s="7"/>
      <c r="I28" s="73">
        <f t="shared" si="5"/>
        <v>23039</v>
      </c>
      <c r="J28" s="28"/>
      <c r="K28" s="7"/>
      <c r="L28" s="73">
        <f t="shared" si="6"/>
        <v>23039</v>
      </c>
      <c r="M28" s="22"/>
      <c r="N28" s="7"/>
      <c r="O28" s="23">
        <f t="shared" si="7"/>
        <v>23039</v>
      </c>
      <c r="P28" s="81"/>
      <c r="Q28" s="79">
        <f t="shared" si="1"/>
        <v>23039</v>
      </c>
    </row>
    <row r="29" spans="1:17" ht="12.75">
      <c r="A29" s="35" t="s">
        <v>149</v>
      </c>
      <c r="B29" s="93"/>
      <c r="C29" s="145">
        <v>9557.2</v>
      </c>
      <c r="D29" s="114"/>
      <c r="E29" s="160"/>
      <c r="F29" s="189">
        <f t="shared" si="3"/>
        <v>9557.2</v>
      </c>
      <c r="G29" s="87"/>
      <c r="H29" s="7"/>
      <c r="I29" s="73">
        <f t="shared" si="5"/>
        <v>9557.2</v>
      </c>
      <c r="J29" s="28"/>
      <c r="K29" s="7"/>
      <c r="L29" s="73">
        <f t="shared" si="6"/>
        <v>9557.2</v>
      </c>
      <c r="M29" s="22"/>
      <c r="N29" s="7"/>
      <c r="O29" s="23">
        <f t="shared" si="7"/>
        <v>9557.2</v>
      </c>
      <c r="P29" s="81"/>
      <c r="Q29" s="79">
        <f t="shared" si="1"/>
        <v>9557.2</v>
      </c>
    </row>
    <row r="30" spans="1:17" ht="12.75">
      <c r="A30" s="35" t="s">
        <v>249</v>
      </c>
      <c r="B30" s="93"/>
      <c r="C30" s="145">
        <v>512.75</v>
      </c>
      <c r="D30" s="114"/>
      <c r="E30" s="160"/>
      <c r="F30" s="189">
        <f t="shared" si="3"/>
        <v>512.75</v>
      </c>
      <c r="G30" s="87"/>
      <c r="H30" s="7"/>
      <c r="I30" s="73">
        <f t="shared" si="5"/>
        <v>512.75</v>
      </c>
      <c r="J30" s="28"/>
      <c r="K30" s="7"/>
      <c r="L30" s="73">
        <f t="shared" si="6"/>
        <v>512.75</v>
      </c>
      <c r="M30" s="22"/>
      <c r="N30" s="7"/>
      <c r="O30" s="23">
        <f t="shared" si="7"/>
        <v>512.75</v>
      </c>
      <c r="P30" s="81"/>
      <c r="Q30" s="79">
        <f t="shared" si="1"/>
        <v>512.75</v>
      </c>
    </row>
    <row r="31" spans="1:17" ht="12.75">
      <c r="A31" s="35" t="s">
        <v>150</v>
      </c>
      <c r="B31" s="93"/>
      <c r="C31" s="145">
        <v>29938.9</v>
      </c>
      <c r="D31" s="114"/>
      <c r="E31" s="160"/>
      <c r="F31" s="189">
        <f t="shared" si="3"/>
        <v>29938.9</v>
      </c>
      <c r="G31" s="87"/>
      <c r="H31" s="7"/>
      <c r="I31" s="73">
        <f t="shared" si="5"/>
        <v>29938.9</v>
      </c>
      <c r="J31" s="28"/>
      <c r="K31" s="7"/>
      <c r="L31" s="73">
        <f t="shared" si="6"/>
        <v>29938.9</v>
      </c>
      <c r="M31" s="22"/>
      <c r="N31" s="7"/>
      <c r="O31" s="23">
        <f t="shared" si="7"/>
        <v>29938.9</v>
      </c>
      <c r="P31" s="81"/>
      <c r="Q31" s="79">
        <f>O31+P31</f>
        <v>29938.9</v>
      </c>
    </row>
    <row r="32" spans="1:17" ht="12.75">
      <c r="A32" s="35" t="s">
        <v>192</v>
      </c>
      <c r="B32" s="93"/>
      <c r="C32" s="145"/>
      <c r="D32" s="142">
        <f>725.52+16001.9+1847.46+821.71+940.71+47.41</f>
        <v>20384.709999999995</v>
      </c>
      <c r="E32" s="160"/>
      <c r="F32" s="189">
        <f t="shared" si="3"/>
        <v>20384.709999999995</v>
      </c>
      <c r="G32" s="242"/>
      <c r="H32" s="223"/>
      <c r="I32" s="242"/>
      <c r="J32" s="242"/>
      <c r="K32" s="223"/>
      <c r="L32" s="242"/>
      <c r="M32" s="242"/>
      <c r="N32" s="242"/>
      <c r="O32" s="242"/>
      <c r="P32" s="242"/>
      <c r="Q32" s="78"/>
    </row>
    <row r="33" spans="1:17" ht="12.75" hidden="1">
      <c r="A33" s="36" t="s">
        <v>225</v>
      </c>
      <c r="B33" s="94"/>
      <c r="C33" s="139">
        <f>SUM(C35:C39)</f>
        <v>0</v>
      </c>
      <c r="D33" s="117">
        <f aca="true" t="shared" si="8" ref="D33:Q33">SUM(D35:D39)</f>
        <v>0</v>
      </c>
      <c r="E33" s="161">
        <f t="shared" si="8"/>
        <v>0</v>
      </c>
      <c r="F33" s="190">
        <f t="shared" si="8"/>
        <v>0</v>
      </c>
      <c r="G33" s="140">
        <f t="shared" si="8"/>
        <v>0</v>
      </c>
      <c r="H33" s="117">
        <f t="shared" si="8"/>
        <v>0</v>
      </c>
      <c r="I33" s="161">
        <f t="shared" si="8"/>
        <v>0</v>
      </c>
      <c r="J33" s="139">
        <f t="shared" si="8"/>
        <v>0</v>
      </c>
      <c r="K33" s="117">
        <f t="shared" si="8"/>
        <v>0</v>
      </c>
      <c r="L33" s="161">
        <f t="shared" si="8"/>
        <v>0</v>
      </c>
      <c r="M33" s="116">
        <f t="shared" si="8"/>
        <v>0</v>
      </c>
      <c r="N33" s="116">
        <f t="shared" si="8"/>
        <v>0</v>
      </c>
      <c r="O33" s="116">
        <f t="shared" si="8"/>
        <v>0</v>
      </c>
      <c r="P33" s="116">
        <f t="shared" si="8"/>
        <v>0</v>
      </c>
      <c r="Q33" s="243">
        <f t="shared" si="8"/>
        <v>0</v>
      </c>
    </row>
    <row r="34" spans="1:17" ht="11.25" customHeight="1" hidden="1">
      <c r="A34" s="33" t="s">
        <v>20</v>
      </c>
      <c r="B34" s="91"/>
      <c r="C34" s="145"/>
      <c r="D34" s="114"/>
      <c r="E34" s="160"/>
      <c r="F34" s="189"/>
      <c r="G34" s="87"/>
      <c r="H34" s="7"/>
      <c r="I34" s="73"/>
      <c r="J34" s="28"/>
      <c r="K34" s="7"/>
      <c r="L34" s="73"/>
      <c r="M34" s="22"/>
      <c r="N34" s="7"/>
      <c r="O34" s="23"/>
      <c r="P34" s="81"/>
      <c r="Q34" s="79"/>
    </row>
    <row r="35" spans="1:17" ht="12.75" hidden="1">
      <c r="A35" s="99" t="s">
        <v>111</v>
      </c>
      <c r="B35" s="92"/>
      <c r="C35" s="145"/>
      <c r="D35" s="114"/>
      <c r="E35" s="160"/>
      <c r="F35" s="189">
        <f>C35+D35+E35</f>
        <v>0</v>
      </c>
      <c r="G35" s="87"/>
      <c r="H35" s="7"/>
      <c r="I35" s="73">
        <f>F35+G35+H35</f>
        <v>0</v>
      </c>
      <c r="J35" s="28"/>
      <c r="K35" s="7"/>
      <c r="L35" s="73">
        <f>I35+J35+K35</f>
        <v>0</v>
      </c>
      <c r="M35" s="22"/>
      <c r="N35" s="7"/>
      <c r="O35" s="23">
        <f>L35+M35+N35</f>
        <v>0</v>
      </c>
      <c r="P35" s="81"/>
      <c r="Q35" s="79">
        <f t="shared" si="1"/>
        <v>0</v>
      </c>
    </row>
    <row r="36" spans="1:17" ht="12.75" hidden="1">
      <c r="A36" s="35" t="s">
        <v>106</v>
      </c>
      <c r="B36" s="93"/>
      <c r="C36" s="145"/>
      <c r="D36" s="114"/>
      <c r="E36" s="160"/>
      <c r="F36" s="189">
        <f>C36+D36+E36</f>
        <v>0</v>
      </c>
      <c r="G36" s="87"/>
      <c r="H36" s="7"/>
      <c r="I36" s="73">
        <f>F36+G36+H36</f>
        <v>0</v>
      </c>
      <c r="J36" s="225"/>
      <c r="K36" s="7"/>
      <c r="L36" s="73">
        <f>I36+J36+K36</f>
        <v>0</v>
      </c>
      <c r="M36" s="31"/>
      <c r="N36" s="7"/>
      <c r="O36" s="23">
        <f>L36+M36+N36</f>
        <v>0</v>
      </c>
      <c r="P36" s="81"/>
      <c r="Q36" s="79">
        <f t="shared" si="1"/>
        <v>0</v>
      </c>
    </row>
    <row r="37" spans="1:17" ht="12.75" hidden="1">
      <c r="A37" s="35" t="s">
        <v>109</v>
      </c>
      <c r="B37" s="93"/>
      <c r="C37" s="145"/>
      <c r="D37" s="114"/>
      <c r="E37" s="160"/>
      <c r="F37" s="189">
        <f>C37+D37+E37</f>
        <v>0</v>
      </c>
      <c r="G37" s="87"/>
      <c r="H37" s="7"/>
      <c r="I37" s="73"/>
      <c r="J37" s="225"/>
      <c r="K37" s="7"/>
      <c r="L37" s="73"/>
      <c r="M37" s="31"/>
      <c r="N37" s="7"/>
      <c r="O37" s="23"/>
      <c r="P37" s="81"/>
      <c r="Q37" s="79"/>
    </row>
    <row r="38" spans="1:17" ht="12.75" hidden="1">
      <c r="A38" s="35" t="s">
        <v>116</v>
      </c>
      <c r="B38" s="93"/>
      <c r="C38" s="145"/>
      <c r="D38" s="114"/>
      <c r="E38" s="160"/>
      <c r="F38" s="189">
        <f>C38+D38+E38</f>
        <v>0</v>
      </c>
      <c r="G38" s="87"/>
      <c r="H38" s="7"/>
      <c r="I38" s="73">
        <f>F38+G38+H38</f>
        <v>0</v>
      </c>
      <c r="J38" s="225"/>
      <c r="K38" s="7"/>
      <c r="L38" s="73">
        <f>I38+J38+K38</f>
        <v>0</v>
      </c>
      <c r="M38" s="31"/>
      <c r="N38" s="7"/>
      <c r="O38" s="23">
        <f>L38+M38+N38</f>
        <v>0</v>
      </c>
      <c r="P38" s="81"/>
      <c r="Q38" s="79">
        <f t="shared" si="1"/>
        <v>0</v>
      </c>
    </row>
    <row r="39" spans="1:17" ht="12.75" hidden="1">
      <c r="A39" s="99" t="s">
        <v>250</v>
      </c>
      <c r="B39" s="92"/>
      <c r="C39" s="145">
        <v>0</v>
      </c>
      <c r="D39" s="114"/>
      <c r="E39" s="160"/>
      <c r="F39" s="189">
        <f>C39+D39+E39</f>
        <v>0</v>
      </c>
      <c r="G39" s="87"/>
      <c r="H39" s="7"/>
      <c r="I39" s="73">
        <f>F39+G39+H39</f>
        <v>0</v>
      </c>
      <c r="J39" s="28"/>
      <c r="K39" s="7"/>
      <c r="L39" s="73">
        <f>I39+J39+K39</f>
        <v>0</v>
      </c>
      <c r="M39" s="22"/>
      <c r="N39" s="7"/>
      <c r="O39" s="23">
        <f>L39+M39+N39</f>
        <v>0</v>
      </c>
      <c r="P39" s="81"/>
      <c r="Q39" s="79">
        <f t="shared" si="1"/>
        <v>0</v>
      </c>
    </row>
    <row r="40" spans="1:17" ht="12.75">
      <c r="A40" s="36" t="s">
        <v>226</v>
      </c>
      <c r="B40" s="92"/>
      <c r="C40" s="145"/>
      <c r="D40" s="114"/>
      <c r="E40" s="160"/>
      <c r="F40" s="189"/>
      <c r="G40" s="87"/>
      <c r="H40" s="7"/>
      <c r="I40" s="73"/>
      <c r="J40" s="28"/>
      <c r="K40" s="7"/>
      <c r="L40" s="73"/>
      <c r="M40" s="22"/>
      <c r="N40" s="7"/>
      <c r="O40" s="23"/>
      <c r="P40" s="81"/>
      <c r="Q40" s="79"/>
    </row>
    <row r="41" spans="1:17" ht="12.75">
      <c r="A41" s="32" t="s">
        <v>25</v>
      </c>
      <c r="B41" s="90"/>
      <c r="C41" s="152">
        <f>SUM(C43:C62)</f>
        <v>101226.4</v>
      </c>
      <c r="D41" s="113">
        <f aca="true" t="shared" si="9" ref="D41:Q41">SUM(D43:D62)</f>
        <v>9465761.450000001</v>
      </c>
      <c r="E41" s="136">
        <f t="shared" si="9"/>
        <v>0</v>
      </c>
      <c r="F41" s="167">
        <f t="shared" si="9"/>
        <v>9566987.850000001</v>
      </c>
      <c r="G41" s="153">
        <f t="shared" si="9"/>
        <v>0</v>
      </c>
      <c r="H41" s="113">
        <f t="shared" si="9"/>
        <v>0</v>
      </c>
      <c r="I41" s="136">
        <f t="shared" si="9"/>
        <v>9528536.38</v>
      </c>
      <c r="J41" s="152">
        <f t="shared" si="9"/>
        <v>0</v>
      </c>
      <c r="K41" s="113">
        <f t="shared" si="9"/>
        <v>0</v>
      </c>
      <c r="L41" s="136">
        <f t="shared" si="9"/>
        <v>9528536.38</v>
      </c>
      <c r="M41" s="112">
        <f t="shared" si="9"/>
        <v>0</v>
      </c>
      <c r="N41" s="112">
        <f t="shared" si="9"/>
        <v>0</v>
      </c>
      <c r="O41" s="112">
        <f t="shared" si="9"/>
        <v>9528536.38</v>
      </c>
      <c r="P41" s="112">
        <f t="shared" si="9"/>
        <v>0</v>
      </c>
      <c r="Q41" s="240">
        <f t="shared" si="9"/>
        <v>9528536.38</v>
      </c>
    </row>
    <row r="42" spans="1:17" ht="10.5" customHeight="1">
      <c r="A42" s="37" t="s">
        <v>26</v>
      </c>
      <c r="B42" s="95"/>
      <c r="C42" s="145"/>
      <c r="D42" s="114"/>
      <c r="E42" s="160"/>
      <c r="F42" s="189"/>
      <c r="G42" s="87"/>
      <c r="H42" s="7"/>
      <c r="I42" s="73"/>
      <c r="J42" s="28"/>
      <c r="K42" s="7"/>
      <c r="L42" s="73"/>
      <c r="M42" s="22"/>
      <c r="N42" s="7"/>
      <c r="O42" s="23"/>
      <c r="P42" s="81"/>
      <c r="Q42" s="79"/>
    </row>
    <row r="43" spans="1:17" ht="12.75">
      <c r="A43" s="35" t="s">
        <v>27</v>
      </c>
      <c r="B43" s="93"/>
      <c r="C43" s="145">
        <v>100976.4</v>
      </c>
      <c r="D43" s="114"/>
      <c r="E43" s="160"/>
      <c r="F43" s="189">
        <f aca="true" t="shared" si="10" ref="F43:F62">C43+D43+E43</f>
        <v>100976.4</v>
      </c>
      <c r="G43" s="87"/>
      <c r="H43" s="7"/>
      <c r="I43" s="73">
        <f>F43+G43+H43</f>
        <v>100976.4</v>
      </c>
      <c r="J43" s="28"/>
      <c r="K43" s="7"/>
      <c r="L43" s="73">
        <f>I43+J43+K43</f>
        <v>100976.4</v>
      </c>
      <c r="M43" s="22"/>
      <c r="N43" s="7"/>
      <c r="O43" s="23">
        <f>L43+M43+N43</f>
        <v>100976.4</v>
      </c>
      <c r="P43" s="81"/>
      <c r="Q43" s="79">
        <f t="shared" si="1"/>
        <v>100976.4</v>
      </c>
    </row>
    <row r="44" spans="1:17" ht="12.75">
      <c r="A44" s="35" t="s">
        <v>28</v>
      </c>
      <c r="B44" s="93"/>
      <c r="C44" s="145"/>
      <c r="D44" s="114">
        <f>65.31+3.5+59.04+89.73+48+59.26+24+22.5+24+15</f>
        <v>410.34</v>
      </c>
      <c r="E44" s="160"/>
      <c r="F44" s="189">
        <f t="shared" si="10"/>
        <v>410.34</v>
      </c>
      <c r="G44" s="87"/>
      <c r="H44" s="7"/>
      <c r="I44" s="73">
        <f aca="true" t="shared" si="11" ref="I44:I61">F44+G44+H44</f>
        <v>410.34</v>
      </c>
      <c r="J44" s="28"/>
      <c r="K44" s="7"/>
      <c r="L44" s="73">
        <f aca="true" t="shared" si="12" ref="L44:L62">I44+J44+K44</f>
        <v>410.34</v>
      </c>
      <c r="M44" s="22"/>
      <c r="N44" s="7"/>
      <c r="O44" s="23">
        <f aca="true" t="shared" si="13" ref="O44:O62">L44+M44+N44</f>
        <v>410.34</v>
      </c>
      <c r="P44" s="81"/>
      <c r="Q44" s="79">
        <f t="shared" si="1"/>
        <v>410.34</v>
      </c>
    </row>
    <row r="45" spans="1:17" ht="12.75">
      <c r="A45" s="35" t="s">
        <v>29</v>
      </c>
      <c r="B45" s="93"/>
      <c r="C45" s="145"/>
      <c r="D45" s="114">
        <f>100779.32+10991.83+8106896.7+4982.3+1658.34+1744.74</f>
        <v>8227053.23</v>
      </c>
      <c r="E45" s="160"/>
      <c r="F45" s="189">
        <f t="shared" si="10"/>
        <v>8227053.23</v>
      </c>
      <c r="G45" s="87"/>
      <c r="H45" s="7"/>
      <c r="I45" s="73">
        <f t="shared" si="11"/>
        <v>8227053.23</v>
      </c>
      <c r="J45" s="28"/>
      <c r="K45" s="7"/>
      <c r="L45" s="73">
        <f t="shared" si="12"/>
        <v>8227053.23</v>
      </c>
      <c r="M45" s="22"/>
      <c r="N45" s="7"/>
      <c r="O45" s="23">
        <f t="shared" si="13"/>
        <v>8227053.23</v>
      </c>
      <c r="P45" s="81"/>
      <c r="Q45" s="79">
        <f t="shared" si="1"/>
        <v>8227053.23</v>
      </c>
    </row>
    <row r="46" spans="1:17" ht="12.75">
      <c r="A46" s="35" t="s">
        <v>30</v>
      </c>
      <c r="B46" s="93"/>
      <c r="C46" s="145"/>
      <c r="D46" s="114">
        <f>1738.53+960818.68+2217.64+7000</f>
        <v>971774.8500000001</v>
      </c>
      <c r="E46" s="160"/>
      <c r="F46" s="189">
        <f t="shared" si="10"/>
        <v>971774.8500000001</v>
      </c>
      <c r="G46" s="87"/>
      <c r="H46" s="7"/>
      <c r="I46" s="73">
        <f t="shared" si="11"/>
        <v>971774.8500000001</v>
      </c>
      <c r="J46" s="28"/>
      <c r="K46" s="7"/>
      <c r="L46" s="73">
        <f t="shared" si="12"/>
        <v>971774.8500000001</v>
      </c>
      <c r="M46" s="22"/>
      <c r="N46" s="7"/>
      <c r="O46" s="23">
        <f t="shared" si="13"/>
        <v>971774.8500000001</v>
      </c>
      <c r="P46" s="81"/>
      <c r="Q46" s="79">
        <f t="shared" si="1"/>
        <v>971774.8500000001</v>
      </c>
    </row>
    <row r="47" spans="1:17" ht="12.75">
      <c r="A47" s="35" t="s">
        <v>31</v>
      </c>
      <c r="B47" s="93"/>
      <c r="C47" s="145"/>
      <c r="D47" s="114">
        <f>558.14+13.91</f>
        <v>572.05</v>
      </c>
      <c r="E47" s="160"/>
      <c r="F47" s="189">
        <f t="shared" si="10"/>
        <v>572.05</v>
      </c>
      <c r="G47" s="87"/>
      <c r="H47" s="7"/>
      <c r="I47" s="73">
        <f t="shared" si="11"/>
        <v>572.05</v>
      </c>
      <c r="J47" s="28"/>
      <c r="K47" s="7"/>
      <c r="L47" s="73">
        <f t="shared" si="12"/>
        <v>572.05</v>
      </c>
      <c r="M47" s="22"/>
      <c r="N47" s="7"/>
      <c r="O47" s="23">
        <f t="shared" si="13"/>
        <v>572.05</v>
      </c>
      <c r="P47" s="81"/>
      <c r="Q47" s="79">
        <f t="shared" si="1"/>
        <v>572.05</v>
      </c>
    </row>
    <row r="48" spans="1:17" ht="12.75" hidden="1">
      <c r="A48" s="35" t="s">
        <v>32</v>
      </c>
      <c r="B48" s="93"/>
      <c r="C48" s="145"/>
      <c r="D48" s="114"/>
      <c r="E48" s="160"/>
      <c r="F48" s="189">
        <f t="shared" si="10"/>
        <v>0</v>
      </c>
      <c r="G48" s="87"/>
      <c r="H48" s="7"/>
      <c r="I48" s="73">
        <f t="shared" si="11"/>
        <v>0</v>
      </c>
      <c r="J48" s="28"/>
      <c r="K48" s="7"/>
      <c r="L48" s="73">
        <f t="shared" si="12"/>
        <v>0</v>
      </c>
      <c r="M48" s="22"/>
      <c r="N48" s="7"/>
      <c r="O48" s="23">
        <f t="shared" si="13"/>
        <v>0</v>
      </c>
      <c r="P48" s="81"/>
      <c r="Q48" s="79">
        <f t="shared" si="1"/>
        <v>0</v>
      </c>
    </row>
    <row r="49" spans="1:17" ht="12.75" hidden="1">
      <c r="A49" s="35" t="s">
        <v>33</v>
      </c>
      <c r="B49" s="93"/>
      <c r="C49" s="145"/>
      <c r="D49" s="114"/>
      <c r="E49" s="160"/>
      <c r="F49" s="189">
        <f t="shared" si="10"/>
        <v>0</v>
      </c>
      <c r="G49" s="87"/>
      <c r="H49" s="7"/>
      <c r="I49" s="73">
        <f t="shared" si="11"/>
        <v>0</v>
      </c>
      <c r="J49" s="28"/>
      <c r="K49" s="7"/>
      <c r="L49" s="73">
        <f t="shared" si="12"/>
        <v>0</v>
      </c>
      <c r="M49" s="22"/>
      <c r="N49" s="7"/>
      <c r="O49" s="23">
        <f t="shared" si="13"/>
        <v>0</v>
      </c>
      <c r="P49" s="81"/>
      <c r="Q49" s="79">
        <f t="shared" si="1"/>
        <v>0</v>
      </c>
    </row>
    <row r="50" spans="1:17" ht="12.75">
      <c r="A50" s="35" t="s">
        <v>34</v>
      </c>
      <c r="B50" s="93"/>
      <c r="C50" s="145"/>
      <c r="D50" s="114">
        <f>1645+1275</f>
        <v>2920</v>
      </c>
      <c r="E50" s="160"/>
      <c r="F50" s="189">
        <f t="shared" si="10"/>
        <v>2920</v>
      </c>
      <c r="G50" s="87"/>
      <c r="H50" s="7"/>
      <c r="I50" s="73">
        <f t="shared" si="11"/>
        <v>2920</v>
      </c>
      <c r="J50" s="28"/>
      <c r="K50" s="7"/>
      <c r="L50" s="73">
        <f t="shared" si="12"/>
        <v>2920</v>
      </c>
      <c r="M50" s="22"/>
      <c r="N50" s="7"/>
      <c r="O50" s="23">
        <f t="shared" si="13"/>
        <v>2920</v>
      </c>
      <c r="P50" s="81"/>
      <c r="Q50" s="79">
        <f t="shared" si="1"/>
        <v>2920</v>
      </c>
    </row>
    <row r="51" spans="1:17" ht="12.75">
      <c r="A51" s="35" t="s">
        <v>141</v>
      </c>
      <c r="B51" s="93"/>
      <c r="C51" s="145"/>
      <c r="D51" s="114">
        <f>223545.15</f>
        <v>223545.15</v>
      </c>
      <c r="E51" s="160"/>
      <c r="F51" s="189">
        <f t="shared" si="10"/>
        <v>223545.15</v>
      </c>
      <c r="G51" s="87"/>
      <c r="H51" s="7"/>
      <c r="I51" s="73">
        <f t="shared" si="11"/>
        <v>223545.15</v>
      </c>
      <c r="J51" s="28"/>
      <c r="K51" s="7"/>
      <c r="L51" s="73">
        <f t="shared" si="12"/>
        <v>223545.15</v>
      </c>
      <c r="M51" s="22"/>
      <c r="N51" s="7"/>
      <c r="O51" s="23">
        <f t="shared" si="13"/>
        <v>223545.15</v>
      </c>
      <c r="P51" s="81"/>
      <c r="Q51" s="79">
        <f t="shared" si="1"/>
        <v>223545.15</v>
      </c>
    </row>
    <row r="52" spans="1:17" ht="12.75">
      <c r="A52" s="35" t="s">
        <v>154</v>
      </c>
      <c r="B52" s="93"/>
      <c r="C52" s="145"/>
      <c r="D52" s="114">
        <f>4049.47</f>
        <v>4049.47</v>
      </c>
      <c r="E52" s="160"/>
      <c r="F52" s="189">
        <f t="shared" si="10"/>
        <v>4049.47</v>
      </c>
      <c r="G52" s="87"/>
      <c r="H52" s="7"/>
      <c r="I52" s="73"/>
      <c r="J52" s="28"/>
      <c r="K52" s="7"/>
      <c r="L52" s="73"/>
      <c r="M52" s="22"/>
      <c r="N52" s="7"/>
      <c r="O52" s="23">
        <f t="shared" si="13"/>
        <v>0</v>
      </c>
      <c r="P52" s="81"/>
      <c r="Q52" s="79">
        <f t="shared" si="1"/>
        <v>0</v>
      </c>
    </row>
    <row r="53" spans="1:17" ht="12.75">
      <c r="A53" s="35" t="s">
        <v>35</v>
      </c>
      <c r="B53" s="93"/>
      <c r="C53" s="145"/>
      <c r="D53" s="114">
        <f>405.5</f>
        <v>405.5</v>
      </c>
      <c r="E53" s="160"/>
      <c r="F53" s="189">
        <f t="shared" si="10"/>
        <v>405.5</v>
      </c>
      <c r="G53" s="87"/>
      <c r="H53" s="7"/>
      <c r="I53" s="73">
        <f t="shared" si="11"/>
        <v>405.5</v>
      </c>
      <c r="J53" s="28"/>
      <c r="K53" s="7"/>
      <c r="L53" s="73">
        <f t="shared" si="12"/>
        <v>405.5</v>
      </c>
      <c r="M53" s="22"/>
      <c r="N53" s="7"/>
      <c r="O53" s="23">
        <f t="shared" si="13"/>
        <v>405.5</v>
      </c>
      <c r="P53" s="86"/>
      <c r="Q53" s="79">
        <f t="shared" si="1"/>
        <v>405.5</v>
      </c>
    </row>
    <row r="54" spans="1:17" ht="12.75" hidden="1">
      <c r="A54" s="35" t="s">
        <v>36</v>
      </c>
      <c r="B54" s="93"/>
      <c r="C54" s="145"/>
      <c r="D54" s="114"/>
      <c r="E54" s="160"/>
      <c r="F54" s="189">
        <f t="shared" si="10"/>
        <v>0</v>
      </c>
      <c r="G54" s="87"/>
      <c r="H54" s="7"/>
      <c r="I54" s="73">
        <f t="shared" si="11"/>
        <v>0</v>
      </c>
      <c r="J54" s="225"/>
      <c r="K54" s="7"/>
      <c r="L54" s="73">
        <f t="shared" si="12"/>
        <v>0</v>
      </c>
      <c r="M54" s="22"/>
      <c r="N54" s="7"/>
      <c r="O54" s="23">
        <f t="shared" si="13"/>
        <v>0</v>
      </c>
      <c r="P54" s="81"/>
      <c r="Q54" s="79">
        <f t="shared" si="1"/>
        <v>0</v>
      </c>
    </row>
    <row r="55" spans="1:17" ht="12.75" hidden="1">
      <c r="A55" s="35" t="s">
        <v>201</v>
      </c>
      <c r="B55" s="93"/>
      <c r="C55" s="145"/>
      <c r="D55" s="114"/>
      <c r="E55" s="160"/>
      <c r="F55" s="189">
        <f t="shared" si="10"/>
        <v>0</v>
      </c>
      <c r="G55" s="87"/>
      <c r="H55" s="7"/>
      <c r="I55" s="73"/>
      <c r="J55" s="225"/>
      <c r="K55" s="7"/>
      <c r="L55" s="73"/>
      <c r="M55" s="22"/>
      <c r="N55" s="7"/>
      <c r="O55" s="23"/>
      <c r="P55" s="81"/>
      <c r="Q55" s="79"/>
    </row>
    <row r="56" spans="1:17" ht="12.75" hidden="1">
      <c r="A56" s="35" t="s">
        <v>155</v>
      </c>
      <c r="B56" s="93"/>
      <c r="C56" s="145"/>
      <c r="D56" s="114"/>
      <c r="E56" s="160"/>
      <c r="F56" s="189">
        <f t="shared" si="10"/>
        <v>0</v>
      </c>
      <c r="G56" s="87"/>
      <c r="H56" s="7"/>
      <c r="I56" s="73"/>
      <c r="J56" s="225"/>
      <c r="K56" s="7"/>
      <c r="L56" s="73"/>
      <c r="M56" s="22"/>
      <c r="N56" s="7"/>
      <c r="O56" s="23">
        <f t="shared" si="13"/>
        <v>0</v>
      </c>
      <c r="P56" s="81"/>
      <c r="Q56" s="79">
        <f t="shared" si="1"/>
        <v>0</v>
      </c>
    </row>
    <row r="57" spans="1:17" ht="12.75" hidden="1">
      <c r="A57" s="35" t="s">
        <v>37</v>
      </c>
      <c r="B57" s="93"/>
      <c r="C57" s="145"/>
      <c r="D57" s="114"/>
      <c r="E57" s="160"/>
      <c r="F57" s="189">
        <f t="shared" si="10"/>
        <v>0</v>
      </c>
      <c r="G57" s="87"/>
      <c r="H57" s="7"/>
      <c r="I57" s="73">
        <f t="shared" si="11"/>
        <v>0</v>
      </c>
      <c r="J57" s="28"/>
      <c r="K57" s="7"/>
      <c r="L57" s="73">
        <f t="shared" si="12"/>
        <v>0</v>
      </c>
      <c r="M57" s="22"/>
      <c r="N57" s="7"/>
      <c r="O57" s="23">
        <f t="shared" si="13"/>
        <v>0</v>
      </c>
      <c r="P57" s="81"/>
      <c r="Q57" s="79">
        <f t="shared" si="1"/>
        <v>0</v>
      </c>
    </row>
    <row r="58" spans="1:17" ht="12.75" hidden="1">
      <c r="A58" s="35" t="s">
        <v>44</v>
      </c>
      <c r="B58" s="93"/>
      <c r="C58" s="145"/>
      <c r="D58" s="114"/>
      <c r="E58" s="160"/>
      <c r="F58" s="189">
        <f t="shared" si="10"/>
        <v>0</v>
      </c>
      <c r="G58" s="87"/>
      <c r="H58" s="7"/>
      <c r="I58" s="73">
        <f t="shared" si="11"/>
        <v>0</v>
      </c>
      <c r="J58" s="28"/>
      <c r="K58" s="7"/>
      <c r="L58" s="73">
        <f t="shared" si="12"/>
        <v>0</v>
      </c>
      <c r="M58" s="22"/>
      <c r="N58" s="7"/>
      <c r="O58" s="23">
        <f t="shared" si="13"/>
        <v>0</v>
      </c>
      <c r="P58" s="81"/>
      <c r="Q58" s="79">
        <f t="shared" si="1"/>
        <v>0</v>
      </c>
    </row>
    <row r="59" spans="1:17" ht="12.75" hidden="1">
      <c r="A59" s="35" t="s">
        <v>38</v>
      </c>
      <c r="B59" s="93"/>
      <c r="C59" s="145"/>
      <c r="D59" s="114"/>
      <c r="E59" s="160"/>
      <c r="F59" s="189">
        <f t="shared" si="10"/>
        <v>0</v>
      </c>
      <c r="G59" s="87"/>
      <c r="H59" s="7"/>
      <c r="I59" s="73">
        <f t="shared" si="11"/>
        <v>0</v>
      </c>
      <c r="J59" s="28"/>
      <c r="K59" s="7"/>
      <c r="L59" s="73">
        <f t="shared" si="12"/>
        <v>0</v>
      </c>
      <c r="M59" s="22"/>
      <c r="N59" s="7"/>
      <c r="O59" s="23">
        <f t="shared" si="13"/>
        <v>0</v>
      </c>
      <c r="P59" s="81"/>
      <c r="Q59" s="79">
        <f t="shared" si="1"/>
        <v>0</v>
      </c>
    </row>
    <row r="60" spans="1:17" ht="12.75">
      <c r="A60" s="35" t="s">
        <v>39</v>
      </c>
      <c r="B60" s="93"/>
      <c r="C60" s="145"/>
      <c r="D60" s="114">
        <f>236.9+159.54+232.42</f>
        <v>628.86</v>
      </c>
      <c r="E60" s="160"/>
      <c r="F60" s="189">
        <f t="shared" si="10"/>
        <v>628.86</v>
      </c>
      <c r="G60" s="87"/>
      <c r="H60" s="7"/>
      <c r="I60" s="73">
        <f t="shared" si="11"/>
        <v>628.86</v>
      </c>
      <c r="J60" s="28"/>
      <c r="K60" s="7"/>
      <c r="L60" s="73">
        <f t="shared" si="12"/>
        <v>628.86</v>
      </c>
      <c r="M60" s="22"/>
      <c r="N60" s="7"/>
      <c r="O60" s="23">
        <f t="shared" si="13"/>
        <v>628.86</v>
      </c>
      <c r="P60" s="81"/>
      <c r="Q60" s="79">
        <f t="shared" si="1"/>
        <v>628.86</v>
      </c>
    </row>
    <row r="61" spans="1:17" ht="12.75">
      <c r="A61" s="35" t="s">
        <v>40</v>
      </c>
      <c r="B61" s="93"/>
      <c r="C61" s="145">
        <v>250</v>
      </c>
      <c r="D61" s="114"/>
      <c r="E61" s="160"/>
      <c r="F61" s="189">
        <f t="shared" si="10"/>
        <v>250</v>
      </c>
      <c r="G61" s="87"/>
      <c r="H61" s="7"/>
      <c r="I61" s="73">
        <f t="shared" si="11"/>
        <v>250</v>
      </c>
      <c r="J61" s="28"/>
      <c r="K61" s="7"/>
      <c r="L61" s="73">
        <f t="shared" si="12"/>
        <v>250</v>
      </c>
      <c r="M61" s="22"/>
      <c r="N61" s="7"/>
      <c r="O61" s="23">
        <f t="shared" si="13"/>
        <v>250</v>
      </c>
      <c r="P61" s="81"/>
      <c r="Q61" s="79">
        <f t="shared" si="1"/>
        <v>250</v>
      </c>
    </row>
    <row r="62" spans="1:17" ht="12.75">
      <c r="A62" s="35" t="s">
        <v>159</v>
      </c>
      <c r="B62" s="93"/>
      <c r="C62" s="145"/>
      <c r="D62" s="114">
        <f>34402</f>
        <v>34402</v>
      </c>
      <c r="E62" s="160"/>
      <c r="F62" s="189">
        <f t="shared" si="10"/>
        <v>34402</v>
      </c>
      <c r="G62" s="87"/>
      <c r="H62" s="7"/>
      <c r="I62" s="73"/>
      <c r="J62" s="28"/>
      <c r="K62" s="7"/>
      <c r="L62" s="73">
        <f t="shared" si="12"/>
        <v>0</v>
      </c>
      <c r="M62" s="22"/>
      <c r="N62" s="7"/>
      <c r="O62" s="23">
        <f t="shared" si="13"/>
        <v>0</v>
      </c>
      <c r="P62" s="81"/>
      <c r="Q62" s="79">
        <f t="shared" si="1"/>
        <v>0</v>
      </c>
    </row>
    <row r="63" spans="1:17" ht="12.75">
      <c r="A63" s="32" t="s">
        <v>41</v>
      </c>
      <c r="B63" s="90"/>
      <c r="C63" s="152">
        <f>SUM(C65:C78)</f>
        <v>0</v>
      </c>
      <c r="D63" s="113">
        <f aca="true" t="shared" si="14" ref="D63:Q63">SUM(D65:D78)</f>
        <v>353486.87</v>
      </c>
      <c r="E63" s="136">
        <f t="shared" si="14"/>
        <v>0</v>
      </c>
      <c r="F63" s="167">
        <f t="shared" si="14"/>
        <v>353486.87</v>
      </c>
      <c r="G63" s="153">
        <f t="shared" si="14"/>
        <v>0</v>
      </c>
      <c r="H63" s="113">
        <f t="shared" si="14"/>
        <v>0</v>
      </c>
      <c r="I63" s="136">
        <f t="shared" si="14"/>
        <v>328322.13</v>
      </c>
      <c r="J63" s="152">
        <f t="shared" si="14"/>
        <v>0</v>
      </c>
      <c r="K63" s="113">
        <f t="shared" si="14"/>
        <v>0</v>
      </c>
      <c r="L63" s="136">
        <f t="shared" si="14"/>
        <v>328322.13</v>
      </c>
      <c r="M63" s="112">
        <f t="shared" si="14"/>
        <v>0</v>
      </c>
      <c r="N63" s="112">
        <f t="shared" si="14"/>
        <v>0</v>
      </c>
      <c r="O63" s="112">
        <f t="shared" si="14"/>
        <v>328322.13</v>
      </c>
      <c r="P63" s="112">
        <f t="shared" si="14"/>
        <v>0</v>
      </c>
      <c r="Q63" s="240">
        <f t="shared" si="14"/>
        <v>328322.13</v>
      </c>
    </row>
    <row r="64" spans="1:17" ht="12.75">
      <c r="A64" s="37" t="s">
        <v>26</v>
      </c>
      <c r="B64" s="95"/>
      <c r="C64" s="145"/>
      <c r="D64" s="114"/>
      <c r="E64" s="160"/>
      <c r="F64" s="189"/>
      <c r="G64" s="87"/>
      <c r="H64" s="7"/>
      <c r="I64" s="73"/>
      <c r="J64" s="28"/>
      <c r="K64" s="7"/>
      <c r="L64" s="73"/>
      <c r="M64" s="22"/>
      <c r="N64" s="7"/>
      <c r="O64" s="23"/>
      <c r="P64" s="81"/>
      <c r="Q64" s="79"/>
    </row>
    <row r="65" spans="1:17" ht="12.75" hidden="1">
      <c r="A65" s="35" t="s">
        <v>29</v>
      </c>
      <c r="B65" s="93"/>
      <c r="C65" s="145"/>
      <c r="D65" s="114"/>
      <c r="E65" s="160"/>
      <c r="F65" s="189">
        <f aca="true" t="shared" si="15" ref="F65:F78">C65+D65+E65</f>
        <v>0</v>
      </c>
      <c r="G65" s="87"/>
      <c r="H65" s="7"/>
      <c r="I65" s="73">
        <f>F65+G65+H65</f>
        <v>0</v>
      </c>
      <c r="J65" s="28"/>
      <c r="K65" s="7"/>
      <c r="L65" s="73">
        <f>I65+J65+K65</f>
        <v>0</v>
      </c>
      <c r="M65" s="22"/>
      <c r="N65" s="7"/>
      <c r="O65" s="23">
        <f>L65+M65+N65</f>
        <v>0</v>
      </c>
      <c r="P65" s="81"/>
      <c r="Q65" s="79">
        <f t="shared" si="1"/>
        <v>0</v>
      </c>
    </row>
    <row r="66" spans="1:17" ht="12.75" hidden="1">
      <c r="A66" s="39" t="s">
        <v>30</v>
      </c>
      <c r="B66" s="96"/>
      <c r="C66" s="145"/>
      <c r="D66" s="114"/>
      <c r="E66" s="160"/>
      <c r="F66" s="189">
        <f t="shared" si="15"/>
        <v>0</v>
      </c>
      <c r="G66" s="87"/>
      <c r="H66" s="7"/>
      <c r="I66" s="73">
        <f aca="true" t="shared" si="16" ref="I66:I78">F66+G66+H66</f>
        <v>0</v>
      </c>
      <c r="J66" s="28"/>
      <c r="K66" s="7"/>
      <c r="L66" s="73">
        <f aca="true" t="shared" si="17" ref="L66:L78">I66+J66+K66</f>
        <v>0</v>
      </c>
      <c r="M66" s="22"/>
      <c r="N66" s="7"/>
      <c r="O66" s="23">
        <f aca="true" t="shared" si="18" ref="O66:O78">L66+M66+N66</f>
        <v>0</v>
      </c>
      <c r="P66" s="81"/>
      <c r="Q66" s="79">
        <f t="shared" si="1"/>
        <v>0</v>
      </c>
    </row>
    <row r="67" spans="1:17" ht="12.75" hidden="1">
      <c r="A67" s="39" t="s">
        <v>28</v>
      </c>
      <c r="B67" s="96"/>
      <c r="C67" s="145"/>
      <c r="D67" s="114"/>
      <c r="E67" s="160"/>
      <c r="F67" s="189">
        <f t="shared" si="15"/>
        <v>0</v>
      </c>
      <c r="G67" s="87"/>
      <c r="H67" s="7"/>
      <c r="I67" s="73">
        <f t="shared" si="16"/>
        <v>0</v>
      </c>
      <c r="J67" s="28"/>
      <c r="K67" s="7"/>
      <c r="L67" s="73">
        <f t="shared" si="17"/>
        <v>0</v>
      </c>
      <c r="M67" s="22"/>
      <c r="N67" s="7"/>
      <c r="O67" s="23">
        <f t="shared" si="18"/>
        <v>0</v>
      </c>
      <c r="P67" s="81"/>
      <c r="Q67" s="79">
        <f t="shared" si="1"/>
        <v>0</v>
      </c>
    </row>
    <row r="68" spans="1:17" ht="12.75" hidden="1">
      <c r="A68" s="39" t="s">
        <v>42</v>
      </c>
      <c r="B68" s="96"/>
      <c r="C68" s="145"/>
      <c r="D68" s="114"/>
      <c r="E68" s="160"/>
      <c r="F68" s="189">
        <f t="shared" si="15"/>
        <v>0</v>
      </c>
      <c r="G68" s="87"/>
      <c r="H68" s="7"/>
      <c r="I68" s="73">
        <f t="shared" si="16"/>
        <v>0</v>
      </c>
      <c r="J68" s="28"/>
      <c r="K68" s="7"/>
      <c r="L68" s="73">
        <f t="shared" si="17"/>
        <v>0</v>
      </c>
      <c r="M68" s="22"/>
      <c r="N68" s="7"/>
      <c r="O68" s="23">
        <f t="shared" si="18"/>
        <v>0</v>
      </c>
      <c r="P68" s="81"/>
      <c r="Q68" s="79">
        <f t="shared" si="1"/>
        <v>0</v>
      </c>
    </row>
    <row r="69" spans="1:17" ht="12.75">
      <c r="A69" s="35" t="s">
        <v>31</v>
      </c>
      <c r="B69" s="93"/>
      <c r="C69" s="145"/>
      <c r="D69" s="114">
        <f>2568.52+19217.2</f>
        <v>21785.72</v>
      </c>
      <c r="E69" s="160"/>
      <c r="F69" s="189">
        <f t="shared" si="15"/>
        <v>21785.72</v>
      </c>
      <c r="G69" s="87"/>
      <c r="H69" s="7"/>
      <c r="I69" s="73">
        <f t="shared" si="16"/>
        <v>21785.72</v>
      </c>
      <c r="J69" s="28"/>
      <c r="K69" s="7"/>
      <c r="L69" s="73">
        <f t="shared" si="17"/>
        <v>21785.72</v>
      </c>
      <c r="M69" s="22"/>
      <c r="N69" s="7"/>
      <c r="O69" s="23">
        <f t="shared" si="18"/>
        <v>21785.72</v>
      </c>
      <c r="P69" s="81"/>
      <c r="Q69" s="79">
        <f t="shared" si="1"/>
        <v>21785.72</v>
      </c>
    </row>
    <row r="70" spans="1:17" ht="12.75" hidden="1">
      <c r="A70" s="35" t="s">
        <v>218</v>
      </c>
      <c r="B70" s="93"/>
      <c r="C70" s="145"/>
      <c r="D70" s="114"/>
      <c r="E70" s="160"/>
      <c r="F70" s="189">
        <f t="shared" si="15"/>
        <v>0</v>
      </c>
      <c r="G70" s="87"/>
      <c r="H70" s="7"/>
      <c r="I70" s="73"/>
      <c r="J70" s="28"/>
      <c r="K70" s="7"/>
      <c r="L70" s="73"/>
      <c r="M70" s="22"/>
      <c r="N70" s="7"/>
      <c r="O70" s="23"/>
      <c r="P70" s="81"/>
      <c r="Q70" s="79"/>
    </row>
    <row r="71" spans="1:17" ht="12.75">
      <c r="A71" s="35" t="s">
        <v>154</v>
      </c>
      <c r="B71" s="93"/>
      <c r="C71" s="145"/>
      <c r="D71" s="114">
        <f>99736.84</f>
        <v>99736.84</v>
      </c>
      <c r="E71" s="160"/>
      <c r="F71" s="189">
        <f t="shared" si="15"/>
        <v>99736.84</v>
      </c>
      <c r="G71" s="87"/>
      <c r="H71" s="7"/>
      <c r="I71" s="73">
        <f t="shared" si="16"/>
        <v>99736.84</v>
      </c>
      <c r="J71" s="28"/>
      <c r="K71" s="7"/>
      <c r="L71" s="73">
        <f t="shared" si="17"/>
        <v>99736.84</v>
      </c>
      <c r="M71" s="22"/>
      <c r="N71" s="7"/>
      <c r="O71" s="23">
        <f t="shared" si="18"/>
        <v>99736.84</v>
      </c>
      <c r="P71" s="81"/>
      <c r="Q71" s="79">
        <f t="shared" si="1"/>
        <v>99736.84</v>
      </c>
    </row>
    <row r="72" spans="1:17" ht="12.75" hidden="1">
      <c r="A72" s="35" t="s">
        <v>155</v>
      </c>
      <c r="B72" s="93"/>
      <c r="C72" s="145"/>
      <c r="D72" s="114"/>
      <c r="E72" s="160"/>
      <c r="F72" s="189">
        <f t="shared" si="15"/>
        <v>0</v>
      </c>
      <c r="G72" s="87"/>
      <c r="H72" s="7"/>
      <c r="I72" s="73">
        <f t="shared" si="16"/>
        <v>0</v>
      </c>
      <c r="J72" s="28"/>
      <c r="K72" s="7"/>
      <c r="L72" s="73">
        <f t="shared" si="17"/>
        <v>0</v>
      </c>
      <c r="M72" s="22"/>
      <c r="N72" s="7"/>
      <c r="O72" s="23">
        <f t="shared" si="18"/>
        <v>0</v>
      </c>
      <c r="P72" s="81"/>
      <c r="Q72" s="79">
        <f t="shared" si="1"/>
        <v>0</v>
      </c>
    </row>
    <row r="73" spans="1:17" ht="12.75">
      <c r="A73" s="35" t="s">
        <v>43</v>
      </c>
      <c r="B73" s="93"/>
      <c r="C73" s="145"/>
      <c r="D73" s="114">
        <f>183880</f>
        <v>183880</v>
      </c>
      <c r="E73" s="160"/>
      <c r="F73" s="189">
        <f t="shared" si="15"/>
        <v>183880</v>
      </c>
      <c r="G73" s="87"/>
      <c r="H73" s="7"/>
      <c r="I73" s="73">
        <f t="shared" si="16"/>
        <v>183880</v>
      </c>
      <c r="J73" s="28"/>
      <c r="K73" s="7"/>
      <c r="L73" s="73">
        <f t="shared" si="17"/>
        <v>183880</v>
      </c>
      <c r="M73" s="22"/>
      <c r="N73" s="7"/>
      <c r="O73" s="23">
        <f t="shared" si="18"/>
        <v>183880</v>
      </c>
      <c r="P73" s="81"/>
      <c r="Q73" s="79">
        <f t="shared" si="1"/>
        <v>183880</v>
      </c>
    </row>
    <row r="74" spans="1:17" ht="12.75" hidden="1">
      <c r="A74" s="35" t="s">
        <v>44</v>
      </c>
      <c r="B74" s="93"/>
      <c r="C74" s="145"/>
      <c r="D74" s="114"/>
      <c r="E74" s="160"/>
      <c r="F74" s="189">
        <f t="shared" si="15"/>
        <v>0</v>
      </c>
      <c r="G74" s="87"/>
      <c r="H74" s="7"/>
      <c r="I74" s="73">
        <f t="shared" si="16"/>
        <v>0</v>
      </c>
      <c r="J74" s="28"/>
      <c r="K74" s="7"/>
      <c r="L74" s="73">
        <f t="shared" si="17"/>
        <v>0</v>
      </c>
      <c r="M74" s="22"/>
      <c r="N74" s="7"/>
      <c r="O74" s="23">
        <f t="shared" si="18"/>
        <v>0</v>
      </c>
      <c r="P74" s="81"/>
      <c r="Q74" s="79">
        <f t="shared" si="1"/>
        <v>0</v>
      </c>
    </row>
    <row r="75" spans="1:17" ht="12.75" hidden="1">
      <c r="A75" s="35" t="s">
        <v>45</v>
      </c>
      <c r="B75" s="93"/>
      <c r="C75" s="145"/>
      <c r="D75" s="114"/>
      <c r="E75" s="160"/>
      <c r="F75" s="189">
        <f t="shared" si="15"/>
        <v>0</v>
      </c>
      <c r="G75" s="87"/>
      <c r="H75" s="7"/>
      <c r="I75" s="73">
        <f t="shared" si="16"/>
        <v>0</v>
      </c>
      <c r="J75" s="28"/>
      <c r="K75" s="7"/>
      <c r="L75" s="73">
        <f t="shared" si="17"/>
        <v>0</v>
      </c>
      <c r="M75" s="22"/>
      <c r="N75" s="7"/>
      <c r="O75" s="23">
        <f t="shared" si="18"/>
        <v>0</v>
      </c>
      <c r="P75" s="81"/>
      <c r="Q75" s="79">
        <f t="shared" si="1"/>
        <v>0</v>
      </c>
    </row>
    <row r="76" spans="1:17" ht="12.75">
      <c r="A76" s="35" t="s">
        <v>35</v>
      </c>
      <c r="B76" s="93"/>
      <c r="C76" s="145"/>
      <c r="D76" s="114">
        <f>22919.57</f>
        <v>22919.57</v>
      </c>
      <c r="E76" s="160"/>
      <c r="F76" s="189">
        <f t="shared" si="15"/>
        <v>22919.57</v>
      </c>
      <c r="G76" s="87"/>
      <c r="H76" s="7"/>
      <c r="I76" s="73">
        <f t="shared" si="16"/>
        <v>22919.57</v>
      </c>
      <c r="J76" s="28"/>
      <c r="K76" s="7"/>
      <c r="L76" s="73">
        <f t="shared" si="17"/>
        <v>22919.57</v>
      </c>
      <c r="M76" s="22"/>
      <c r="N76" s="7"/>
      <c r="O76" s="23">
        <f t="shared" si="18"/>
        <v>22919.57</v>
      </c>
      <c r="P76" s="86"/>
      <c r="Q76" s="79">
        <f t="shared" si="1"/>
        <v>22919.57</v>
      </c>
    </row>
    <row r="77" spans="1:17" ht="12.75">
      <c r="A77" s="35" t="s">
        <v>39</v>
      </c>
      <c r="B77" s="93"/>
      <c r="C77" s="145"/>
      <c r="D77" s="114">
        <f>25164.74</f>
        <v>25164.74</v>
      </c>
      <c r="E77" s="160"/>
      <c r="F77" s="189">
        <f t="shared" si="15"/>
        <v>25164.74</v>
      </c>
      <c r="G77" s="87"/>
      <c r="H77" s="7"/>
      <c r="I77" s="73"/>
      <c r="J77" s="28"/>
      <c r="K77" s="7"/>
      <c r="L77" s="73"/>
      <c r="M77" s="22"/>
      <c r="N77" s="7"/>
      <c r="O77" s="23"/>
      <c r="P77" s="86"/>
      <c r="Q77" s="79"/>
    </row>
    <row r="78" spans="1:17" ht="12.75" hidden="1">
      <c r="A78" s="35" t="s">
        <v>159</v>
      </c>
      <c r="B78" s="93"/>
      <c r="C78" s="145"/>
      <c r="D78" s="114"/>
      <c r="E78" s="160"/>
      <c r="F78" s="189">
        <f t="shared" si="15"/>
        <v>0</v>
      </c>
      <c r="G78" s="87"/>
      <c r="H78" s="7"/>
      <c r="I78" s="73">
        <f t="shared" si="16"/>
        <v>0</v>
      </c>
      <c r="J78" s="28"/>
      <c r="K78" s="7"/>
      <c r="L78" s="73">
        <f t="shared" si="17"/>
        <v>0</v>
      </c>
      <c r="M78" s="22"/>
      <c r="N78" s="7"/>
      <c r="O78" s="23">
        <f t="shared" si="18"/>
        <v>0</v>
      </c>
      <c r="P78" s="81"/>
      <c r="Q78" s="79">
        <f aca="true" t="shared" si="19" ref="Q78:Q134">O78+P78</f>
        <v>0</v>
      </c>
    </row>
    <row r="79" spans="1:17" ht="15.75" thickBot="1">
      <c r="A79" s="40" t="s">
        <v>46</v>
      </c>
      <c r="B79" s="97"/>
      <c r="C79" s="171">
        <f>C11+C17+C41+C63+C33</f>
        <v>5004513</v>
      </c>
      <c r="D79" s="119">
        <f>D11+D17+D41+D63+D33</f>
        <v>9728752.120000001</v>
      </c>
      <c r="E79" s="162">
        <f>E11+E17+E41+E63+E33</f>
        <v>0</v>
      </c>
      <c r="F79" s="191">
        <f>F11+F17+F41+F63+F33</f>
        <v>14733265.12</v>
      </c>
      <c r="G79" s="209" t="e">
        <f>G11+G17+G41+G63+G33+#REF!</f>
        <v>#REF!</v>
      </c>
      <c r="H79" s="119" t="e">
        <f>H11+H17+H41+H63+H33+#REF!</f>
        <v>#REF!</v>
      </c>
      <c r="I79" s="162" t="e">
        <f>I11+I17+I41+I63+I33+#REF!</f>
        <v>#REF!</v>
      </c>
      <c r="J79" s="171" t="e">
        <f>J11+J17+J41+J63+J33+#REF!</f>
        <v>#REF!</v>
      </c>
      <c r="K79" s="119" t="e">
        <f>K11+K17+K41+K63+K33+#REF!</f>
        <v>#REF!</v>
      </c>
      <c r="L79" s="162" t="e">
        <f>L11+L17+L41+L63+L33+#REF!</f>
        <v>#REF!</v>
      </c>
      <c r="M79" s="118" t="e">
        <f>M11+M17+M41+M63+M33+#REF!</f>
        <v>#REF!</v>
      </c>
      <c r="N79" s="118" t="e">
        <f>N11+N17+N41+N63+N33+#REF!</f>
        <v>#REF!</v>
      </c>
      <c r="O79" s="118" t="e">
        <f>O11+O17+O41+O63+O33+#REF!</f>
        <v>#REF!</v>
      </c>
      <c r="P79" s="118" t="e">
        <f>P11+P17+P41+P63+P33+#REF!</f>
        <v>#REF!</v>
      </c>
      <c r="Q79" s="244" t="e">
        <f>Q11+Q17+Q41+Q63+Q33+#REF!</f>
        <v>#REF!</v>
      </c>
    </row>
    <row r="80" spans="1:17" ht="12.75">
      <c r="A80" s="32" t="s">
        <v>47</v>
      </c>
      <c r="B80" s="90"/>
      <c r="C80" s="152"/>
      <c r="D80" s="114"/>
      <c r="E80" s="160"/>
      <c r="F80" s="189"/>
      <c r="G80" s="87"/>
      <c r="H80" s="7"/>
      <c r="I80" s="73"/>
      <c r="J80" s="28"/>
      <c r="K80" s="7"/>
      <c r="L80" s="73"/>
      <c r="M80" s="22"/>
      <c r="N80" s="7"/>
      <c r="O80" s="23"/>
      <c r="P80" s="81"/>
      <c r="Q80" s="79"/>
    </row>
    <row r="81" spans="1:17" ht="12.75">
      <c r="A81" s="32" t="s">
        <v>63</v>
      </c>
      <c r="B81" s="102"/>
      <c r="C81" s="152">
        <f>C82+C91</f>
        <v>103319</v>
      </c>
      <c r="D81" s="113">
        <f aca="true" t="shared" si="20" ref="D81:Q81">D82+D91</f>
        <v>65537.51000000001</v>
      </c>
      <c r="E81" s="136">
        <f t="shared" si="20"/>
        <v>0</v>
      </c>
      <c r="F81" s="167">
        <f t="shared" si="20"/>
        <v>168856.51</v>
      </c>
      <c r="G81" s="153">
        <f t="shared" si="20"/>
        <v>0</v>
      </c>
      <c r="H81" s="113">
        <f t="shared" si="20"/>
        <v>0</v>
      </c>
      <c r="I81" s="136">
        <f t="shared" si="20"/>
        <v>81468.51000000001</v>
      </c>
      <c r="J81" s="152">
        <f t="shared" si="20"/>
        <v>0</v>
      </c>
      <c r="K81" s="113">
        <f t="shared" si="20"/>
        <v>0</v>
      </c>
      <c r="L81" s="136">
        <f t="shared" si="20"/>
        <v>81468.51000000001</v>
      </c>
      <c r="M81" s="112">
        <f t="shared" si="20"/>
        <v>0</v>
      </c>
      <c r="N81" s="112">
        <f t="shared" si="20"/>
        <v>0</v>
      </c>
      <c r="O81" s="112">
        <f t="shared" si="20"/>
        <v>81468.51000000001</v>
      </c>
      <c r="P81" s="112">
        <f t="shared" si="20"/>
        <v>0</v>
      </c>
      <c r="Q81" s="240">
        <f t="shared" si="20"/>
        <v>81468.51000000001</v>
      </c>
    </row>
    <row r="82" spans="1:17" ht="12.75">
      <c r="A82" s="41" t="s">
        <v>49</v>
      </c>
      <c r="B82" s="102"/>
      <c r="C82" s="172">
        <f>SUM(C84:C89)</f>
        <v>71319</v>
      </c>
      <c r="D82" s="121">
        <f aca="true" t="shared" si="21" ref="D82:Q82">SUM(D84:D89)</f>
        <v>5253.35</v>
      </c>
      <c r="E82" s="163">
        <f t="shared" si="21"/>
        <v>0</v>
      </c>
      <c r="F82" s="192">
        <f t="shared" si="21"/>
        <v>76572.34999999999</v>
      </c>
      <c r="G82" s="210">
        <f t="shared" si="21"/>
        <v>0</v>
      </c>
      <c r="H82" s="121">
        <f t="shared" si="21"/>
        <v>0</v>
      </c>
      <c r="I82" s="163">
        <f t="shared" si="21"/>
        <v>15184.35</v>
      </c>
      <c r="J82" s="172">
        <f t="shared" si="21"/>
        <v>0</v>
      </c>
      <c r="K82" s="121">
        <f t="shared" si="21"/>
        <v>0</v>
      </c>
      <c r="L82" s="163">
        <f t="shared" si="21"/>
        <v>15184.35</v>
      </c>
      <c r="M82" s="120">
        <f t="shared" si="21"/>
        <v>0</v>
      </c>
      <c r="N82" s="120">
        <f t="shared" si="21"/>
        <v>0</v>
      </c>
      <c r="O82" s="120">
        <f t="shared" si="21"/>
        <v>15184.35</v>
      </c>
      <c r="P82" s="120">
        <f t="shared" si="21"/>
        <v>0</v>
      </c>
      <c r="Q82" s="245">
        <f t="shared" si="21"/>
        <v>15184.35</v>
      </c>
    </row>
    <row r="83" spans="1:17" ht="12.75">
      <c r="A83" s="37" t="s">
        <v>26</v>
      </c>
      <c r="B83" s="98"/>
      <c r="C83" s="145"/>
      <c r="D83" s="114"/>
      <c r="E83" s="160"/>
      <c r="F83" s="167"/>
      <c r="G83" s="87"/>
      <c r="H83" s="7"/>
      <c r="I83" s="69"/>
      <c r="J83" s="28"/>
      <c r="K83" s="7"/>
      <c r="L83" s="69"/>
      <c r="M83" s="22"/>
      <c r="N83" s="7"/>
      <c r="O83" s="21"/>
      <c r="P83" s="81"/>
      <c r="Q83" s="79"/>
    </row>
    <row r="84" spans="1:17" ht="12.75">
      <c r="A84" s="35" t="s">
        <v>51</v>
      </c>
      <c r="B84" s="98"/>
      <c r="C84" s="145">
        <v>9931</v>
      </c>
      <c r="D84" s="114"/>
      <c r="E84" s="160"/>
      <c r="F84" s="189">
        <f aca="true" t="shared" si="22" ref="F84:F90">C84+D84+E84</f>
        <v>9931</v>
      </c>
      <c r="G84" s="87"/>
      <c r="H84" s="7"/>
      <c r="I84" s="73">
        <f aca="true" t="shared" si="23" ref="I84:I90">F84+G84+H84</f>
        <v>9931</v>
      </c>
      <c r="J84" s="28"/>
      <c r="K84" s="7"/>
      <c r="L84" s="73">
        <f aca="true" t="shared" si="24" ref="L84:L90">I84+J84+K84</f>
        <v>9931</v>
      </c>
      <c r="M84" s="22"/>
      <c r="N84" s="7"/>
      <c r="O84" s="23">
        <f aca="true" t="shared" si="25" ref="O84:O90">L84+M84+N84</f>
        <v>9931</v>
      </c>
      <c r="P84" s="81"/>
      <c r="Q84" s="79">
        <f t="shared" si="19"/>
        <v>9931</v>
      </c>
    </row>
    <row r="85" spans="1:17" ht="12.75" hidden="1">
      <c r="A85" s="35" t="s">
        <v>65</v>
      </c>
      <c r="B85" s="98"/>
      <c r="C85" s="145"/>
      <c r="D85" s="114"/>
      <c r="E85" s="160"/>
      <c r="F85" s="189">
        <f t="shared" si="22"/>
        <v>0</v>
      </c>
      <c r="G85" s="87"/>
      <c r="H85" s="7"/>
      <c r="I85" s="73">
        <f t="shared" si="23"/>
        <v>0</v>
      </c>
      <c r="J85" s="28"/>
      <c r="K85" s="7"/>
      <c r="L85" s="73">
        <f t="shared" si="24"/>
        <v>0</v>
      </c>
      <c r="M85" s="22"/>
      <c r="N85" s="7"/>
      <c r="O85" s="23">
        <f t="shared" si="25"/>
        <v>0</v>
      </c>
      <c r="P85" s="81"/>
      <c r="Q85" s="79">
        <f t="shared" si="19"/>
        <v>0</v>
      </c>
    </row>
    <row r="86" spans="1:17" ht="12.75">
      <c r="A86" s="46" t="s">
        <v>208</v>
      </c>
      <c r="B86" s="101"/>
      <c r="C86" s="173">
        <v>61388</v>
      </c>
      <c r="D86" s="122"/>
      <c r="E86" s="261"/>
      <c r="F86" s="193">
        <f t="shared" si="22"/>
        <v>61388</v>
      </c>
      <c r="G86" s="87"/>
      <c r="H86" s="7"/>
      <c r="I86" s="73"/>
      <c r="J86" s="28"/>
      <c r="K86" s="7"/>
      <c r="L86" s="73"/>
      <c r="M86" s="22"/>
      <c r="N86" s="7"/>
      <c r="O86" s="23"/>
      <c r="P86" s="81"/>
      <c r="Q86" s="79"/>
    </row>
    <row r="87" spans="1:17" ht="12.75">
      <c r="A87" s="35" t="s">
        <v>66</v>
      </c>
      <c r="B87" s="98">
        <v>98278</v>
      </c>
      <c r="C87" s="145"/>
      <c r="D87" s="114">
        <f>65.31+3.5+59.04+89.73+48+59.26+24+22.5+24</f>
        <v>395.34</v>
      </c>
      <c r="E87" s="160"/>
      <c r="F87" s="189">
        <f t="shared" si="22"/>
        <v>395.34</v>
      </c>
      <c r="G87" s="87"/>
      <c r="H87" s="7"/>
      <c r="I87" s="73">
        <f t="shared" si="23"/>
        <v>395.34</v>
      </c>
      <c r="J87" s="28"/>
      <c r="K87" s="7"/>
      <c r="L87" s="73">
        <f t="shared" si="24"/>
        <v>395.34</v>
      </c>
      <c r="M87" s="22"/>
      <c r="N87" s="7"/>
      <c r="O87" s="23">
        <f t="shared" si="25"/>
        <v>395.34</v>
      </c>
      <c r="P87" s="81"/>
      <c r="Q87" s="79">
        <f t="shared" si="19"/>
        <v>395.34</v>
      </c>
    </row>
    <row r="88" spans="1:17" ht="12.75" hidden="1">
      <c r="A88" s="35" t="s">
        <v>77</v>
      </c>
      <c r="B88" s="98"/>
      <c r="C88" s="145"/>
      <c r="D88" s="114"/>
      <c r="E88" s="160"/>
      <c r="F88" s="189">
        <f t="shared" si="22"/>
        <v>0</v>
      </c>
      <c r="G88" s="87"/>
      <c r="H88" s="7"/>
      <c r="I88" s="73">
        <f t="shared" si="23"/>
        <v>0</v>
      </c>
      <c r="J88" s="28"/>
      <c r="K88" s="7"/>
      <c r="L88" s="73">
        <f t="shared" si="24"/>
        <v>0</v>
      </c>
      <c r="M88" s="22"/>
      <c r="N88" s="7"/>
      <c r="O88" s="23">
        <f t="shared" si="25"/>
        <v>0</v>
      </c>
      <c r="P88" s="81"/>
      <c r="Q88" s="79">
        <f t="shared" si="19"/>
        <v>0</v>
      </c>
    </row>
    <row r="89" spans="1:17" ht="12.75">
      <c r="A89" s="34" t="s">
        <v>67</v>
      </c>
      <c r="B89" s="98"/>
      <c r="C89" s="145"/>
      <c r="D89" s="114">
        <f>3124.33+1733.68</f>
        <v>4858.01</v>
      </c>
      <c r="E89" s="160"/>
      <c r="F89" s="189">
        <f t="shared" si="22"/>
        <v>4858.01</v>
      </c>
      <c r="G89" s="87"/>
      <c r="H89" s="7"/>
      <c r="I89" s="73">
        <f t="shared" si="23"/>
        <v>4858.01</v>
      </c>
      <c r="J89" s="28"/>
      <c r="K89" s="7"/>
      <c r="L89" s="73">
        <f t="shared" si="24"/>
        <v>4858.01</v>
      </c>
      <c r="M89" s="22"/>
      <c r="N89" s="7"/>
      <c r="O89" s="23">
        <f t="shared" si="25"/>
        <v>4858.01</v>
      </c>
      <c r="P89" s="81"/>
      <c r="Q89" s="79">
        <f t="shared" si="19"/>
        <v>4858.01</v>
      </c>
    </row>
    <row r="90" spans="1:17" ht="12.75" hidden="1">
      <c r="A90" s="34" t="s">
        <v>68</v>
      </c>
      <c r="B90" s="98"/>
      <c r="C90" s="145"/>
      <c r="D90" s="114">
        <f>3124.33+1733.68</f>
        <v>4858.01</v>
      </c>
      <c r="E90" s="160"/>
      <c r="F90" s="189">
        <f t="shared" si="22"/>
        <v>4858.01</v>
      </c>
      <c r="G90" s="87"/>
      <c r="H90" s="7"/>
      <c r="I90" s="73">
        <f t="shared" si="23"/>
        <v>4858.01</v>
      </c>
      <c r="J90" s="28"/>
      <c r="K90" s="7"/>
      <c r="L90" s="73">
        <f t="shared" si="24"/>
        <v>4858.01</v>
      </c>
      <c r="M90" s="22"/>
      <c r="N90" s="7"/>
      <c r="O90" s="23">
        <f t="shared" si="25"/>
        <v>4858.01</v>
      </c>
      <c r="P90" s="81"/>
      <c r="Q90" s="79">
        <f t="shared" si="19"/>
        <v>4858.01</v>
      </c>
    </row>
    <row r="91" spans="1:17" ht="12.75">
      <c r="A91" s="42" t="s">
        <v>54</v>
      </c>
      <c r="B91" s="102"/>
      <c r="C91" s="174">
        <f>SUM(C93:C99)</f>
        <v>32000</v>
      </c>
      <c r="D91" s="124">
        <f aca="true" t="shared" si="26" ref="D91:Q91">SUM(D93:D99)</f>
        <v>60284.16</v>
      </c>
      <c r="E91" s="164">
        <f t="shared" si="26"/>
        <v>0</v>
      </c>
      <c r="F91" s="194">
        <f t="shared" si="26"/>
        <v>92284.16</v>
      </c>
      <c r="G91" s="211">
        <f t="shared" si="26"/>
        <v>0</v>
      </c>
      <c r="H91" s="124">
        <f t="shared" si="26"/>
        <v>0</v>
      </c>
      <c r="I91" s="164">
        <f t="shared" si="26"/>
        <v>66284.16</v>
      </c>
      <c r="J91" s="174">
        <f t="shared" si="26"/>
        <v>0</v>
      </c>
      <c r="K91" s="124">
        <f t="shared" si="26"/>
        <v>0</v>
      </c>
      <c r="L91" s="164">
        <f t="shared" si="26"/>
        <v>66284.16</v>
      </c>
      <c r="M91" s="123">
        <f t="shared" si="26"/>
        <v>0</v>
      </c>
      <c r="N91" s="123">
        <f t="shared" si="26"/>
        <v>0</v>
      </c>
      <c r="O91" s="123">
        <f t="shared" si="26"/>
        <v>66284.16</v>
      </c>
      <c r="P91" s="123">
        <f t="shared" si="26"/>
        <v>0</v>
      </c>
      <c r="Q91" s="246">
        <f t="shared" si="26"/>
        <v>66284.16</v>
      </c>
    </row>
    <row r="92" spans="1:17" ht="12.75">
      <c r="A92" s="33" t="s">
        <v>26</v>
      </c>
      <c r="B92" s="98"/>
      <c r="C92" s="139"/>
      <c r="D92" s="117"/>
      <c r="E92" s="161"/>
      <c r="F92" s="190"/>
      <c r="G92" s="208"/>
      <c r="H92" s="8"/>
      <c r="I92" s="29"/>
      <c r="J92" s="226"/>
      <c r="K92" s="8"/>
      <c r="L92" s="29"/>
      <c r="M92" s="24"/>
      <c r="N92" s="8"/>
      <c r="O92" s="25"/>
      <c r="P92" s="81"/>
      <c r="Q92" s="79"/>
    </row>
    <row r="93" spans="1:17" ht="12.75">
      <c r="A93" s="99" t="s">
        <v>299</v>
      </c>
      <c r="B93" s="98"/>
      <c r="C93" s="145"/>
      <c r="D93" s="114">
        <f>24251.16+5500</f>
        <v>29751.16</v>
      </c>
      <c r="E93" s="160"/>
      <c r="F93" s="189">
        <f aca="true" t="shared" si="27" ref="F93:F100">C93+D93+E93</f>
        <v>29751.16</v>
      </c>
      <c r="G93" s="87"/>
      <c r="H93" s="7"/>
      <c r="I93" s="73">
        <f>F93+G93+H93</f>
        <v>29751.16</v>
      </c>
      <c r="J93" s="28"/>
      <c r="K93" s="7"/>
      <c r="L93" s="73">
        <f>I93+J93+K93</f>
        <v>29751.16</v>
      </c>
      <c r="M93" s="22"/>
      <c r="N93" s="7"/>
      <c r="O93" s="23">
        <f>L93+M93+N93</f>
        <v>29751.16</v>
      </c>
      <c r="P93" s="81"/>
      <c r="Q93" s="79">
        <f t="shared" si="19"/>
        <v>29751.16</v>
      </c>
    </row>
    <row r="94" spans="1:17" ht="12.75">
      <c r="A94" s="39" t="s">
        <v>245</v>
      </c>
      <c r="B94" s="98"/>
      <c r="C94" s="145"/>
      <c r="D94" s="114">
        <f>20000+4000</f>
        <v>24000</v>
      </c>
      <c r="E94" s="160"/>
      <c r="F94" s="189">
        <f t="shared" si="27"/>
        <v>24000</v>
      </c>
      <c r="G94" s="87"/>
      <c r="H94" s="7"/>
      <c r="I94" s="73"/>
      <c r="J94" s="28"/>
      <c r="K94" s="7"/>
      <c r="L94" s="73"/>
      <c r="M94" s="22"/>
      <c r="N94" s="7"/>
      <c r="O94" s="23"/>
      <c r="P94" s="81"/>
      <c r="Q94" s="79"/>
    </row>
    <row r="95" spans="1:17" ht="12.75" hidden="1">
      <c r="A95" s="34" t="s">
        <v>55</v>
      </c>
      <c r="B95" s="98"/>
      <c r="C95" s="145"/>
      <c r="D95" s="114"/>
      <c r="E95" s="160"/>
      <c r="F95" s="189">
        <f t="shared" si="27"/>
        <v>0</v>
      </c>
      <c r="G95" s="87"/>
      <c r="H95" s="7"/>
      <c r="I95" s="73"/>
      <c r="J95" s="28"/>
      <c r="K95" s="7"/>
      <c r="L95" s="73"/>
      <c r="M95" s="22"/>
      <c r="N95" s="7"/>
      <c r="O95" s="23"/>
      <c r="P95" s="81"/>
      <c r="Q95" s="79"/>
    </row>
    <row r="96" spans="1:17" ht="12.75" hidden="1">
      <c r="A96" s="35" t="s">
        <v>206</v>
      </c>
      <c r="B96" s="98"/>
      <c r="C96" s="145"/>
      <c r="D96" s="114"/>
      <c r="E96" s="160"/>
      <c r="F96" s="189">
        <f t="shared" si="27"/>
        <v>0</v>
      </c>
      <c r="G96" s="87"/>
      <c r="H96" s="7"/>
      <c r="I96" s="73"/>
      <c r="J96" s="28"/>
      <c r="K96" s="7"/>
      <c r="L96" s="73"/>
      <c r="M96" s="22"/>
      <c r="N96" s="7"/>
      <c r="O96" s="23"/>
      <c r="P96" s="81"/>
      <c r="Q96" s="79"/>
    </row>
    <row r="97" spans="1:17" ht="12.75" hidden="1">
      <c r="A97" s="35" t="s">
        <v>77</v>
      </c>
      <c r="B97" s="98"/>
      <c r="C97" s="145"/>
      <c r="D97" s="114"/>
      <c r="E97" s="160"/>
      <c r="F97" s="189">
        <f t="shared" si="27"/>
        <v>0</v>
      </c>
      <c r="G97" s="87"/>
      <c r="H97" s="7"/>
      <c r="I97" s="73">
        <f>F97+G97+H97</f>
        <v>0</v>
      </c>
      <c r="J97" s="28"/>
      <c r="K97" s="7"/>
      <c r="L97" s="73">
        <f>I97+J97+K97</f>
        <v>0</v>
      </c>
      <c r="M97" s="22"/>
      <c r="N97" s="7"/>
      <c r="O97" s="23">
        <f>L97+M97+N97</f>
        <v>0</v>
      </c>
      <c r="P97" s="81"/>
      <c r="Q97" s="79">
        <f t="shared" si="19"/>
        <v>0</v>
      </c>
    </row>
    <row r="98" spans="1:17" ht="12.75">
      <c r="A98" s="35" t="s">
        <v>251</v>
      </c>
      <c r="B98" s="98"/>
      <c r="C98" s="145">
        <v>2000</v>
      </c>
      <c r="D98" s="114"/>
      <c r="E98" s="160"/>
      <c r="F98" s="189">
        <f t="shared" si="27"/>
        <v>2000</v>
      </c>
      <c r="G98" s="87"/>
      <c r="H98" s="7"/>
      <c r="I98" s="73"/>
      <c r="J98" s="28"/>
      <c r="K98" s="7"/>
      <c r="L98" s="73"/>
      <c r="M98" s="22"/>
      <c r="N98" s="7"/>
      <c r="O98" s="23"/>
      <c r="P98" s="81"/>
      <c r="Q98" s="79"/>
    </row>
    <row r="99" spans="1:17" ht="12.75">
      <c r="A99" s="43" t="s">
        <v>67</v>
      </c>
      <c r="B99" s="101"/>
      <c r="C99" s="173">
        <v>30000</v>
      </c>
      <c r="D99" s="122">
        <f>-3124.33+9657.33</f>
        <v>6533</v>
      </c>
      <c r="E99" s="261"/>
      <c r="F99" s="193">
        <f t="shared" si="27"/>
        <v>36533</v>
      </c>
      <c r="G99" s="87"/>
      <c r="H99" s="7"/>
      <c r="I99" s="73">
        <f>F99+G99+H99</f>
        <v>36533</v>
      </c>
      <c r="J99" s="28"/>
      <c r="K99" s="7"/>
      <c r="L99" s="73">
        <f>I99+J99+K99</f>
        <v>36533</v>
      </c>
      <c r="M99" s="22"/>
      <c r="N99" s="7"/>
      <c r="O99" s="23">
        <f>L99+M99+N99</f>
        <v>36533</v>
      </c>
      <c r="P99" s="81"/>
      <c r="Q99" s="79">
        <f t="shared" si="19"/>
        <v>36533</v>
      </c>
    </row>
    <row r="100" spans="1:17" ht="12.75" hidden="1">
      <c r="A100" s="43" t="s">
        <v>70</v>
      </c>
      <c r="B100" s="101"/>
      <c r="C100" s="173"/>
      <c r="D100" s="122"/>
      <c r="E100" s="261"/>
      <c r="F100" s="193">
        <f t="shared" si="27"/>
        <v>0</v>
      </c>
      <c r="G100" s="212"/>
      <c r="H100" s="10"/>
      <c r="I100" s="72">
        <f>F100+G100+H100</f>
        <v>0</v>
      </c>
      <c r="J100" s="227"/>
      <c r="K100" s="10"/>
      <c r="L100" s="72">
        <f>I100+J100+K100</f>
        <v>0</v>
      </c>
      <c r="M100" s="26"/>
      <c r="N100" s="10"/>
      <c r="O100" s="27">
        <f>L100+M100+N100</f>
        <v>0</v>
      </c>
      <c r="P100" s="84"/>
      <c r="Q100" s="85">
        <f t="shared" si="19"/>
        <v>0</v>
      </c>
    </row>
    <row r="101" spans="1:17" ht="12.75">
      <c r="A101" s="36" t="s">
        <v>71</v>
      </c>
      <c r="B101" s="102"/>
      <c r="C101" s="139">
        <f>C102+C109</f>
        <v>17757</v>
      </c>
      <c r="D101" s="117">
        <f aca="true" t="shared" si="28" ref="D101:Q101">D102+D109</f>
        <v>0</v>
      </c>
      <c r="E101" s="161">
        <f t="shared" si="28"/>
        <v>0</v>
      </c>
      <c r="F101" s="190">
        <f t="shared" si="28"/>
        <v>17757</v>
      </c>
      <c r="G101" s="140">
        <f t="shared" si="28"/>
        <v>0</v>
      </c>
      <c r="H101" s="117">
        <f t="shared" si="28"/>
        <v>0</v>
      </c>
      <c r="I101" s="161">
        <f t="shared" si="28"/>
        <v>17093</v>
      </c>
      <c r="J101" s="139">
        <f t="shared" si="28"/>
        <v>0</v>
      </c>
      <c r="K101" s="117">
        <f t="shared" si="28"/>
        <v>0</v>
      </c>
      <c r="L101" s="161">
        <f t="shared" si="28"/>
        <v>17093</v>
      </c>
      <c r="M101" s="116">
        <f t="shared" si="28"/>
        <v>0</v>
      </c>
      <c r="N101" s="116">
        <f t="shared" si="28"/>
        <v>0</v>
      </c>
      <c r="O101" s="116">
        <f t="shared" si="28"/>
        <v>17093</v>
      </c>
      <c r="P101" s="116">
        <f t="shared" si="28"/>
        <v>0</v>
      </c>
      <c r="Q101" s="243">
        <f t="shared" si="28"/>
        <v>17093</v>
      </c>
    </row>
    <row r="102" spans="1:17" ht="12.75">
      <c r="A102" s="41" t="s">
        <v>49</v>
      </c>
      <c r="B102" s="102"/>
      <c r="C102" s="172">
        <f>SUM(C104:C108)</f>
        <v>17757</v>
      </c>
      <c r="D102" s="121">
        <f aca="true" t="shared" si="29" ref="D102:Q102">SUM(D104:D108)</f>
        <v>0</v>
      </c>
      <c r="E102" s="163">
        <f t="shared" si="29"/>
        <v>0</v>
      </c>
      <c r="F102" s="192">
        <f t="shared" si="29"/>
        <v>17757</v>
      </c>
      <c r="G102" s="210">
        <f t="shared" si="29"/>
        <v>0</v>
      </c>
      <c r="H102" s="121">
        <f t="shared" si="29"/>
        <v>0</v>
      </c>
      <c r="I102" s="163">
        <f t="shared" si="29"/>
        <v>17093</v>
      </c>
      <c r="J102" s="172">
        <f t="shared" si="29"/>
        <v>0</v>
      </c>
      <c r="K102" s="121">
        <f t="shared" si="29"/>
        <v>0</v>
      </c>
      <c r="L102" s="163">
        <f t="shared" si="29"/>
        <v>17093</v>
      </c>
      <c r="M102" s="120">
        <f t="shared" si="29"/>
        <v>0</v>
      </c>
      <c r="N102" s="120">
        <f t="shared" si="29"/>
        <v>0</v>
      </c>
      <c r="O102" s="120">
        <f t="shared" si="29"/>
        <v>17093</v>
      </c>
      <c r="P102" s="120">
        <f t="shared" si="29"/>
        <v>0</v>
      </c>
      <c r="Q102" s="245">
        <f t="shared" si="29"/>
        <v>17093</v>
      </c>
    </row>
    <row r="103" spans="1:17" ht="12.75">
      <c r="A103" s="37" t="s">
        <v>26</v>
      </c>
      <c r="B103" s="98"/>
      <c r="C103" s="145"/>
      <c r="D103" s="114"/>
      <c r="E103" s="160"/>
      <c r="F103" s="167"/>
      <c r="G103" s="87"/>
      <c r="H103" s="7"/>
      <c r="I103" s="69"/>
      <c r="J103" s="28"/>
      <c r="K103" s="7"/>
      <c r="L103" s="69"/>
      <c r="M103" s="22"/>
      <c r="N103" s="7"/>
      <c r="O103" s="21"/>
      <c r="P103" s="81"/>
      <c r="Q103" s="79"/>
    </row>
    <row r="104" spans="1:17" ht="12.75">
      <c r="A104" s="35" t="s">
        <v>51</v>
      </c>
      <c r="B104" s="98"/>
      <c r="C104" s="145">
        <v>17093</v>
      </c>
      <c r="D104" s="114"/>
      <c r="E104" s="160"/>
      <c r="F104" s="189">
        <f>C104+D104+E104</f>
        <v>17093</v>
      </c>
      <c r="G104" s="87"/>
      <c r="H104" s="7"/>
      <c r="I104" s="73">
        <f>SUM(F104:H104)</f>
        <v>17093</v>
      </c>
      <c r="J104" s="28"/>
      <c r="K104" s="7"/>
      <c r="L104" s="73">
        <f>I104+J104+K104</f>
        <v>17093</v>
      </c>
      <c r="M104" s="22"/>
      <c r="N104" s="7"/>
      <c r="O104" s="23">
        <f>L104+M104+N104</f>
        <v>17093</v>
      </c>
      <c r="P104" s="81"/>
      <c r="Q104" s="79">
        <f t="shared" si="19"/>
        <v>17093</v>
      </c>
    </row>
    <row r="105" spans="1:17" ht="12.75">
      <c r="A105" s="273" t="s">
        <v>78</v>
      </c>
      <c r="B105" s="101">
        <v>1245</v>
      </c>
      <c r="C105" s="173">
        <v>664</v>
      </c>
      <c r="D105" s="122"/>
      <c r="E105" s="261"/>
      <c r="F105" s="193">
        <f>C105+D105+E105</f>
        <v>664</v>
      </c>
      <c r="G105" s="87"/>
      <c r="H105" s="7"/>
      <c r="I105" s="73"/>
      <c r="J105" s="28"/>
      <c r="K105" s="7"/>
      <c r="L105" s="73"/>
      <c r="M105" s="22"/>
      <c r="N105" s="7"/>
      <c r="O105" s="23"/>
      <c r="P105" s="81"/>
      <c r="Q105" s="79"/>
    </row>
    <row r="106" spans="1:17" ht="12.75" hidden="1">
      <c r="A106" s="39" t="s">
        <v>72</v>
      </c>
      <c r="B106" s="98">
        <v>33166</v>
      </c>
      <c r="C106" s="145"/>
      <c r="D106" s="114"/>
      <c r="E106" s="160"/>
      <c r="F106" s="189">
        <f>C106+D106+E106</f>
        <v>0</v>
      </c>
      <c r="G106" s="87"/>
      <c r="H106" s="7"/>
      <c r="I106" s="73">
        <f>SUM(F106:H106)</f>
        <v>0</v>
      </c>
      <c r="J106" s="28"/>
      <c r="K106" s="7"/>
      <c r="L106" s="73">
        <f>I106+J106+K106</f>
        <v>0</v>
      </c>
      <c r="M106" s="22"/>
      <c r="N106" s="7"/>
      <c r="O106" s="23">
        <f>L106+M106+N106</f>
        <v>0</v>
      </c>
      <c r="P106" s="81"/>
      <c r="Q106" s="79">
        <f t="shared" si="19"/>
        <v>0</v>
      </c>
    </row>
    <row r="107" spans="1:17" ht="12.75" hidden="1">
      <c r="A107" s="46" t="s">
        <v>282</v>
      </c>
      <c r="B107" s="101">
        <v>33064</v>
      </c>
      <c r="C107" s="173"/>
      <c r="D107" s="122"/>
      <c r="E107" s="261"/>
      <c r="F107" s="193">
        <f>C107+D107+E107</f>
        <v>0</v>
      </c>
      <c r="G107" s="87"/>
      <c r="H107" s="7"/>
      <c r="I107" s="73"/>
      <c r="J107" s="28"/>
      <c r="K107" s="7"/>
      <c r="L107" s="73"/>
      <c r="M107" s="22"/>
      <c r="N107" s="7"/>
      <c r="O107" s="23"/>
      <c r="P107" s="81"/>
      <c r="Q107" s="79"/>
    </row>
    <row r="108" spans="1:17" ht="12.75" hidden="1">
      <c r="A108" s="39" t="s">
        <v>65</v>
      </c>
      <c r="B108" s="98"/>
      <c r="C108" s="145"/>
      <c r="D108" s="114"/>
      <c r="E108" s="160"/>
      <c r="F108" s="189">
        <f>C108+D108+E108</f>
        <v>0</v>
      </c>
      <c r="G108" s="87"/>
      <c r="H108" s="7"/>
      <c r="I108" s="73">
        <f>SUM(F108:H108)</f>
        <v>0</v>
      </c>
      <c r="J108" s="28"/>
      <c r="K108" s="7"/>
      <c r="L108" s="73">
        <f>I108+J108+K108</f>
        <v>0</v>
      </c>
      <c r="M108" s="22"/>
      <c r="N108" s="7"/>
      <c r="O108" s="23">
        <f>L108+M108+N108</f>
        <v>0</v>
      </c>
      <c r="P108" s="81"/>
      <c r="Q108" s="79">
        <f t="shared" si="19"/>
        <v>0</v>
      </c>
    </row>
    <row r="109" spans="1:17" ht="12.75" hidden="1">
      <c r="A109" s="41" t="s">
        <v>54</v>
      </c>
      <c r="B109" s="102"/>
      <c r="C109" s="172">
        <f>C111</f>
        <v>0</v>
      </c>
      <c r="D109" s="121">
        <f aca="true" t="shared" si="30" ref="D109:Q109">D111</f>
        <v>0</v>
      </c>
      <c r="E109" s="163">
        <f t="shared" si="30"/>
        <v>0</v>
      </c>
      <c r="F109" s="192">
        <f t="shared" si="30"/>
        <v>0</v>
      </c>
      <c r="G109" s="210">
        <f t="shared" si="30"/>
        <v>0</v>
      </c>
      <c r="H109" s="121">
        <f t="shared" si="30"/>
        <v>0</v>
      </c>
      <c r="I109" s="163">
        <f t="shared" si="30"/>
        <v>0</v>
      </c>
      <c r="J109" s="172">
        <f t="shared" si="30"/>
        <v>0</v>
      </c>
      <c r="K109" s="121">
        <f t="shared" si="30"/>
        <v>0</v>
      </c>
      <c r="L109" s="163">
        <f t="shared" si="30"/>
        <v>0</v>
      </c>
      <c r="M109" s="120">
        <f t="shared" si="30"/>
        <v>0</v>
      </c>
      <c r="N109" s="120">
        <f t="shared" si="30"/>
        <v>0</v>
      </c>
      <c r="O109" s="120">
        <f t="shared" si="30"/>
        <v>0</v>
      </c>
      <c r="P109" s="120">
        <f t="shared" si="30"/>
        <v>0</v>
      </c>
      <c r="Q109" s="245">
        <f t="shared" si="30"/>
        <v>0</v>
      </c>
    </row>
    <row r="110" spans="1:17" ht="12.75" hidden="1">
      <c r="A110" s="37" t="s">
        <v>26</v>
      </c>
      <c r="B110" s="98"/>
      <c r="C110" s="145"/>
      <c r="D110" s="114"/>
      <c r="E110" s="160"/>
      <c r="F110" s="167"/>
      <c r="G110" s="87"/>
      <c r="H110" s="7"/>
      <c r="I110" s="69"/>
      <c r="J110" s="28"/>
      <c r="K110" s="7"/>
      <c r="L110" s="69"/>
      <c r="M110" s="22"/>
      <c r="N110" s="7"/>
      <c r="O110" s="21"/>
      <c r="P110" s="81"/>
      <c r="Q110" s="79"/>
    </row>
    <row r="111" spans="1:17" ht="12.75" hidden="1">
      <c r="A111" s="38" t="s">
        <v>165</v>
      </c>
      <c r="B111" s="101"/>
      <c r="C111" s="173"/>
      <c r="D111" s="122"/>
      <c r="E111" s="261"/>
      <c r="F111" s="193">
        <f>C111+D111+E111</f>
        <v>0</v>
      </c>
      <c r="G111" s="212"/>
      <c r="H111" s="10"/>
      <c r="I111" s="202"/>
      <c r="J111" s="227"/>
      <c r="K111" s="10"/>
      <c r="L111" s="72">
        <f>I111+J111+K111</f>
        <v>0</v>
      </c>
      <c r="M111" s="26"/>
      <c r="N111" s="10"/>
      <c r="O111" s="27">
        <f>L111+M111+N111</f>
        <v>0</v>
      </c>
      <c r="P111" s="84"/>
      <c r="Q111" s="85">
        <f t="shared" si="19"/>
        <v>0</v>
      </c>
    </row>
    <row r="112" spans="1:17" ht="12.75">
      <c r="A112" s="32" t="s">
        <v>73</v>
      </c>
      <c r="B112" s="102"/>
      <c r="C112" s="152">
        <f>C113+C125</f>
        <v>1419650</v>
      </c>
      <c r="D112" s="113">
        <f aca="true" t="shared" si="31" ref="D112:Q112">D113+D125</f>
        <v>285470.35</v>
      </c>
      <c r="E112" s="136">
        <f t="shared" si="31"/>
        <v>0</v>
      </c>
      <c r="F112" s="167">
        <f t="shared" si="31"/>
        <v>1705120.35</v>
      </c>
      <c r="G112" s="153">
        <f t="shared" si="31"/>
        <v>0</v>
      </c>
      <c r="H112" s="113">
        <f t="shared" si="31"/>
        <v>0</v>
      </c>
      <c r="I112" s="136">
        <f t="shared" si="31"/>
        <v>1705120.35</v>
      </c>
      <c r="J112" s="152">
        <f t="shared" si="31"/>
        <v>0</v>
      </c>
      <c r="K112" s="113">
        <f t="shared" si="31"/>
        <v>0</v>
      </c>
      <c r="L112" s="136">
        <f t="shared" si="31"/>
        <v>1705120.35</v>
      </c>
      <c r="M112" s="112">
        <f t="shared" si="31"/>
        <v>0</v>
      </c>
      <c r="N112" s="112">
        <f t="shared" si="31"/>
        <v>0</v>
      </c>
      <c r="O112" s="112">
        <f t="shared" si="31"/>
        <v>1705120.35</v>
      </c>
      <c r="P112" s="112">
        <f t="shared" si="31"/>
        <v>0</v>
      </c>
      <c r="Q112" s="240">
        <f t="shared" si="31"/>
        <v>1705120.35</v>
      </c>
    </row>
    <row r="113" spans="1:17" ht="12.75">
      <c r="A113" s="41" t="s">
        <v>49</v>
      </c>
      <c r="B113" s="102"/>
      <c r="C113" s="172">
        <f>SUM(C116:C124)</f>
        <v>1417150</v>
      </c>
      <c r="D113" s="121">
        <f aca="true" t="shared" si="32" ref="D113:Q113">SUM(D116:D124)</f>
        <v>285470.35</v>
      </c>
      <c r="E113" s="163">
        <f t="shared" si="32"/>
        <v>0</v>
      </c>
      <c r="F113" s="192">
        <f t="shared" si="32"/>
        <v>1702620.35</v>
      </c>
      <c r="G113" s="210">
        <f t="shared" si="32"/>
        <v>0</v>
      </c>
      <c r="H113" s="121">
        <f t="shared" si="32"/>
        <v>0</v>
      </c>
      <c r="I113" s="163">
        <f t="shared" si="32"/>
        <v>1702620.35</v>
      </c>
      <c r="J113" s="172">
        <f t="shared" si="32"/>
        <v>0</v>
      </c>
      <c r="K113" s="121">
        <f t="shared" si="32"/>
        <v>0</v>
      </c>
      <c r="L113" s="163">
        <f t="shared" si="32"/>
        <v>1702620.35</v>
      </c>
      <c r="M113" s="120">
        <f t="shared" si="32"/>
        <v>0</v>
      </c>
      <c r="N113" s="120">
        <f t="shared" si="32"/>
        <v>0</v>
      </c>
      <c r="O113" s="120">
        <f t="shared" si="32"/>
        <v>1702620.35</v>
      </c>
      <c r="P113" s="120">
        <f t="shared" si="32"/>
        <v>0</v>
      </c>
      <c r="Q113" s="245">
        <f t="shared" si="32"/>
        <v>1702620.35</v>
      </c>
    </row>
    <row r="114" spans="1:17" ht="12.75">
      <c r="A114" s="37" t="s">
        <v>26</v>
      </c>
      <c r="B114" s="98"/>
      <c r="C114" s="145"/>
      <c r="D114" s="114"/>
      <c r="E114" s="160"/>
      <c r="F114" s="167"/>
      <c r="G114" s="87"/>
      <c r="H114" s="7"/>
      <c r="I114" s="69"/>
      <c r="J114" s="28"/>
      <c r="K114" s="7"/>
      <c r="L114" s="69"/>
      <c r="M114" s="22"/>
      <c r="N114" s="7"/>
      <c r="O114" s="21"/>
      <c r="P114" s="81"/>
      <c r="Q114" s="79"/>
    </row>
    <row r="115" spans="1:17" ht="12.75">
      <c r="A115" s="39" t="s">
        <v>331</v>
      </c>
      <c r="B115" s="98"/>
      <c r="C115" s="145">
        <f>C116+C117</f>
        <v>882300</v>
      </c>
      <c r="D115" s="114">
        <f>D116+D117</f>
        <v>39230.06</v>
      </c>
      <c r="E115" s="160">
        <f>E116+E117</f>
        <v>0</v>
      </c>
      <c r="F115" s="189">
        <f>F116+F117</f>
        <v>921530.06</v>
      </c>
      <c r="G115" s="87"/>
      <c r="H115" s="7"/>
      <c r="I115" s="73">
        <f>I116+I117</f>
        <v>921530.06</v>
      </c>
      <c r="J115" s="28"/>
      <c r="K115" s="7"/>
      <c r="L115" s="73">
        <f>L116+L117</f>
        <v>921530.06</v>
      </c>
      <c r="M115" s="22"/>
      <c r="N115" s="7"/>
      <c r="O115" s="23">
        <f>O116+O117</f>
        <v>921530.06</v>
      </c>
      <c r="P115" s="81"/>
      <c r="Q115" s="79">
        <f t="shared" si="19"/>
        <v>921530.06</v>
      </c>
    </row>
    <row r="116" spans="1:19" ht="12.75">
      <c r="A116" s="39" t="s">
        <v>332</v>
      </c>
      <c r="B116" s="98"/>
      <c r="C116" s="145">
        <v>417000</v>
      </c>
      <c r="D116" s="125">
        <f>-1621.14+582.5+50.49</f>
        <v>-988.1500000000001</v>
      </c>
      <c r="E116" s="160"/>
      <c r="F116" s="189">
        <f aca="true" t="shared" si="33" ref="F116:F124">C116+D116+E116</f>
        <v>416011.85</v>
      </c>
      <c r="G116" s="213"/>
      <c r="H116" s="11"/>
      <c r="I116" s="73">
        <f aca="true" t="shared" si="34" ref="I116:I124">F116+G116+H116</f>
        <v>416011.85</v>
      </c>
      <c r="J116" s="28"/>
      <c r="K116" s="7"/>
      <c r="L116" s="73">
        <f aca="true" t="shared" si="35" ref="L116:L124">I116+J116+K116</f>
        <v>416011.85</v>
      </c>
      <c r="M116" s="22"/>
      <c r="N116" s="7"/>
      <c r="O116" s="23">
        <f aca="true" t="shared" si="36" ref="O116:O124">L116+M116+N116</f>
        <v>416011.85</v>
      </c>
      <c r="P116" s="81"/>
      <c r="Q116" s="79">
        <f t="shared" si="19"/>
        <v>416011.85</v>
      </c>
      <c r="S116" s="238"/>
    </row>
    <row r="117" spans="1:17" ht="12.75">
      <c r="A117" s="35" t="s">
        <v>333</v>
      </c>
      <c r="B117" s="98"/>
      <c r="C117" s="145">
        <v>465300</v>
      </c>
      <c r="D117" s="114">
        <f>5577+34402+239.21</f>
        <v>40218.21</v>
      </c>
      <c r="E117" s="160"/>
      <c r="F117" s="189">
        <f t="shared" si="33"/>
        <v>505518.21</v>
      </c>
      <c r="G117" s="213"/>
      <c r="H117" s="11"/>
      <c r="I117" s="73">
        <f t="shared" si="34"/>
        <v>505518.21</v>
      </c>
      <c r="J117" s="28"/>
      <c r="K117" s="7"/>
      <c r="L117" s="73">
        <f t="shared" si="35"/>
        <v>505518.21</v>
      </c>
      <c r="M117" s="22"/>
      <c r="N117" s="7"/>
      <c r="O117" s="23">
        <f t="shared" si="36"/>
        <v>505518.21</v>
      </c>
      <c r="P117" s="81"/>
      <c r="Q117" s="79">
        <f t="shared" si="19"/>
        <v>505518.21</v>
      </c>
    </row>
    <row r="118" spans="1:17" ht="12.75">
      <c r="A118" s="39" t="s">
        <v>74</v>
      </c>
      <c r="B118" s="98"/>
      <c r="C118" s="145">
        <v>28000</v>
      </c>
      <c r="D118" s="114"/>
      <c r="E118" s="160"/>
      <c r="F118" s="189">
        <f t="shared" si="33"/>
        <v>28000</v>
      </c>
      <c r="G118" s="87"/>
      <c r="H118" s="7"/>
      <c r="I118" s="73">
        <f t="shared" si="34"/>
        <v>28000</v>
      </c>
      <c r="J118" s="28"/>
      <c r="K118" s="7"/>
      <c r="L118" s="73">
        <f t="shared" si="35"/>
        <v>28000</v>
      </c>
      <c r="M118" s="22"/>
      <c r="N118" s="7"/>
      <c r="O118" s="23">
        <f t="shared" si="36"/>
        <v>28000</v>
      </c>
      <c r="P118" s="81"/>
      <c r="Q118" s="79">
        <f t="shared" si="19"/>
        <v>28000</v>
      </c>
    </row>
    <row r="119" spans="1:17" ht="12.75" hidden="1">
      <c r="A119" s="35" t="s">
        <v>75</v>
      </c>
      <c r="B119" s="98"/>
      <c r="C119" s="145"/>
      <c r="D119" s="114"/>
      <c r="E119" s="160"/>
      <c r="F119" s="189">
        <f t="shared" si="33"/>
        <v>0</v>
      </c>
      <c r="G119" s="87"/>
      <c r="H119" s="7"/>
      <c r="I119" s="73">
        <f t="shared" si="34"/>
        <v>0</v>
      </c>
      <c r="J119" s="28"/>
      <c r="K119" s="7"/>
      <c r="L119" s="73">
        <f t="shared" si="35"/>
        <v>0</v>
      </c>
      <c r="M119" s="22"/>
      <c r="N119" s="7"/>
      <c r="O119" s="23">
        <f t="shared" si="36"/>
        <v>0</v>
      </c>
      <c r="P119" s="81"/>
      <c r="Q119" s="79">
        <f t="shared" si="19"/>
        <v>0</v>
      </c>
    </row>
    <row r="120" spans="1:17" ht="12.75">
      <c r="A120" s="35" t="s">
        <v>65</v>
      </c>
      <c r="B120" s="98"/>
      <c r="C120" s="145"/>
      <c r="D120" s="114">
        <f>1621.14</f>
        <v>1621.14</v>
      </c>
      <c r="E120" s="160"/>
      <c r="F120" s="189">
        <f t="shared" si="33"/>
        <v>1621.14</v>
      </c>
      <c r="G120" s="87"/>
      <c r="H120" s="7"/>
      <c r="I120" s="73">
        <f t="shared" si="34"/>
        <v>1621.14</v>
      </c>
      <c r="J120" s="28"/>
      <c r="K120" s="7"/>
      <c r="L120" s="73">
        <f t="shared" si="35"/>
        <v>1621.14</v>
      </c>
      <c r="M120" s="22"/>
      <c r="N120" s="7"/>
      <c r="O120" s="23">
        <f t="shared" si="36"/>
        <v>1621.14</v>
      </c>
      <c r="P120" s="81"/>
      <c r="Q120" s="79">
        <f t="shared" si="19"/>
        <v>1621.14</v>
      </c>
    </row>
    <row r="121" spans="1:17" ht="12.75" hidden="1">
      <c r="A121" s="35" t="s">
        <v>76</v>
      </c>
      <c r="B121" s="98">
        <v>91252</v>
      </c>
      <c r="C121" s="145"/>
      <c r="D121" s="114"/>
      <c r="E121" s="160"/>
      <c r="F121" s="189">
        <f t="shared" si="33"/>
        <v>0</v>
      </c>
      <c r="G121" s="87"/>
      <c r="H121" s="7"/>
      <c r="I121" s="73">
        <f t="shared" si="34"/>
        <v>0</v>
      </c>
      <c r="J121" s="28"/>
      <c r="K121" s="7"/>
      <c r="L121" s="73">
        <f t="shared" si="35"/>
        <v>0</v>
      </c>
      <c r="M121" s="22"/>
      <c r="N121" s="7"/>
      <c r="O121" s="23">
        <f t="shared" si="36"/>
        <v>0</v>
      </c>
      <c r="P121" s="81"/>
      <c r="Q121" s="79">
        <f t="shared" si="19"/>
        <v>0</v>
      </c>
    </row>
    <row r="122" spans="1:17" ht="12.75">
      <c r="A122" s="35" t="s">
        <v>142</v>
      </c>
      <c r="B122" s="98">
        <v>27355</v>
      </c>
      <c r="C122" s="145"/>
      <c r="D122" s="114">
        <f>223545.15</f>
        <v>223545.15</v>
      </c>
      <c r="E122" s="160"/>
      <c r="F122" s="189">
        <f t="shared" si="33"/>
        <v>223545.15</v>
      </c>
      <c r="G122" s="87"/>
      <c r="H122" s="7"/>
      <c r="I122" s="73">
        <f t="shared" si="34"/>
        <v>223545.15</v>
      </c>
      <c r="J122" s="28"/>
      <c r="K122" s="7"/>
      <c r="L122" s="73">
        <f t="shared" si="35"/>
        <v>223545.15</v>
      </c>
      <c r="M122" s="22"/>
      <c r="N122" s="7"/>
      <c r="O122" s="23">
        <f t="shared" si="36"/>
        <v>223545.15</v>
      </c>
      <c r="P122" s="81"/>
      <c r="Q122" s="79">
        <f t="shared" si="19"/>
        <v>223545.15</v>
      </c>
    </row>
    <row r="123" spans="1:17" ht="12.75">
      <c r="A123" s="35" t="s">
        <v>51</v>
      </c>
      <c r="B123" s="98"/>
      <c r="C123" s="145">
        <v>506850</v>
      </c>
      <c r="D123" s="114">
        <f>20641.9+432.1</f>
        <v>21074</v>
      </c>
      <c r="E123" s="160"/>
      <c r="F123" s="189">
        <f t="shared" si="33"/>
        <v>527924</v>
      </c>
      <c r="G123" s="87"/>
      <c r="H123" s="7"/>
      <c r="I123" s="73">
        <f t="shared" si="34"/>
        <v>527924</v>
      </c>
      <c r="J123" s="28"/>
      <c r="K123" s="7"/>
      <c r="L123" s="73">
        <f t="shared" si="35"/>
        <v>527924</v>
      </c>
      <c r="M123" s="22"/>
      <c r="N123" s="7"/>
      <c r="O123" s="23">
        <f t="shared" si="36"/>
        <v>527924</v>
      </c>
      <c r="P123" s="81"/>
      <c r="Q123" s="79">
        <f t="shared" si="19"/>
        <v>527924</v>
      </c>
    </row>
    <row r="124" spans="1:17" ht="12" customHeight="1" hidden="1">
      <c r="A124" s="35" t="s">
        <v>77</v>
      </c>
      <c r="B124" s="98"/>
      <c r="C124" s="145"/>
      <c r="D124" s="114"/>
      <c r="E124" s="160"/>
      <c r="F124" s="189">
        <f t="shared" si="33"/>
        <v>0</v>
      </c>
      <c r="G124" s="87"/>
      <c r="H124" s="7"/>
      <c r="I124" s="73">
        <f t="shared" si="34"/>
        <v>0</v>
      </c>
      <c r="J124" s="28"/>
      <c r="K124" s="7"/>
      <c r="L124" s="73">
        <f t="shared" si="35"/>
        <v>0</v>
      </c>
      <c r="M124" s="22"/>
      <c r="N124" s="7"/>
      <c r="O124" s="23">
        <f t="shared" si="36"/>
        <v>0</v>
      </c>
      <c r="P124" s="81"/>
      <c r="Q124" s="79">
        <f t="shared" si="19"/>
        <v>0</v>
      </c>
    </row>
    <row r="125" spans="1:17" ht="12.75">
      <c r="A125" s="42" t="s">
        <v>54</v>
      </c>
      <c r="B125" s="102"/>
      <c r="C125" s="174">
        <f>SUM(C127:C129)</f>
        <v>2500</v>
      </c>
      <c r="D125" s="124">
        <f aca="true" t="shared" si="37" ref="D125:Q125">SUM(D127:D129)</f>
        <v>0</v>
      </c>
      <c r="E125" s="164">
        <f t="shared" si="37"/>
        <v>0</v>
      </c>
      <c r="F125" s="194">
        <f t="shared" si="37"/>
        <v>2500</v>
      </c>
      <c r="G125" s="211">
        <f t="shared" si="37"/>
        <v>0</v>
      </c>
      <c r="H125" s="124">
        <f t="shared" si="37"/>
        <v>0</v>
      </c>
      <c r="I125" s="164">
        <f t="shared" si="37"/>
        <v>2500</v>
      </c>
      <c r="J125" s="174">
        <f t="shared" si="37"/>
        <v>0</v>
      </c>
      <c r="K125" s="124">
        <f t="shared" si="37"/>
        <v>0</v>
      </c>
      <c r="L125" s="164">
        <f t="shared" si="37"/>
        <v>2500</v>
      </c>
      <c r="M125" s="123">
        <f t="shared" si="37"/>
        <v>0</v>
      </c>
      <c r="N125" s="123">
        <f t="shared" si="37"/>
        <v>0</v>
      </c>
      <c r="O125" s="123">
        <f t="shared" si="37"/>
        <v>2500</v>
      </c>
      <c r="P125" s="123">
        <f t="shared" si="37"/>
        <v>0</v>
      </c>
      <c r="Q125" s="246">
        <f t="shared" si="37"/>
        <v>2500</v>
      </c>
    </row>
    <row r="126" spans="1:17" ht="12.75">
      <c r="A126" s="33" t="s">
        <v>26</v>
      </c>
      <c r="B126" s="98"/>
      <c r="C126" s="139"/>
      <c r="D126" s="117"/>
      <c r="E126" s="161"/>
      <c r="F126" s="190"/>
      <c r="G126" s="208"/>
      <c r="H126" s="8"/>
      <c r="I126" s="29"/>
      <c r="J126" s="226"/>
      <c r="K126" s="8"/>
      <c r="L126" s="29"/>
      <c r="M126" s="24"/>
      <c r="N126" s="8"/>
      <c r="O126" s="25"/>
      <c r="P126" s="81"/>
      <c r="Q126" s="79"/>
    </row>
    <row r="127" spans="1:17" ht="12.75" hidden="1">
      <c r="A127" s="43" t="s">
        <v>55</v>
      </c>
      <c r="B127" s="101"/>
      <c r="C127" s="173"/>
      <c r="D127" s="122"/>
      <c r="E127" s="261"/>
      <c r="F127" s="193">
        <f>C127+D127+E127</f>
        <v>0</v>
      </c>
      <c r="G127" s="87"/>
      <c r="H127" s="7"/>
      <c r="I127" s="73">
        <f>F127+G127+H127</f>
        <v>0</v>
      </c>
      <c r="J127" s="28"/>
      <c r="K127" s="7"/>
      <c r="L127" s="73">
        <f>I127+J127+K127</f>
        <v>0</v>
      </c>
      <c r="M127" s="22"/>
      <c r="N127" s="7"/>
      <c r="O127" s="23">
        <f>L127+M127+N127</f>
        <v>0</v>
      </c>
      <c r="P127" s="81"/>
      <c r="Q127" s="79">
        <f t="shared" si="19"/>
        <v>0</v>
      </c>
    </row>
    <row r="128" spans="1:17" ht="12.75">
      <c r="A128" s="38" t="s">
        <v>87</v>
      </c>
      <c r="B128" s="101"/>
      <c r="C128" s="173">
        <v>2500</v>
      </c>
      <c r="D128" s="122"/>
      <c r="E128" s="261"/>
      <c r="F128" s="193">
        <f>C128+D128+E128</f>
        <v>2500</v>
      </c>
      <c r="G128" s="87"/>
      <c r="H128" s="7"/>
      <c r="I128" s="73">
        <f>F128+G128+H128</f>
        <v>2500</v>
      </c>
      <c r="J128" s="28"/>
      <c r="K128" s="7"/>
      <c r="L128" s="73">
        <f>I128+J128+K128</f>
        <v>2500</v>
      </c>
      <c r="M128" s="22"/>
      <c r="N128" s="7"/>
      <c r="O128" s="23">
        <f>L128+M128+N128</f>
        <v>2500</v>
      </c>
      <c r="P128" s="81"/>
      <c r="Q128" s="79">
        <f t="shared" si="19"/>
        <v>2500</v>
      </c>
    </row>
    <row r="129" spans="1:17" ht="12.75" hidden="1">
      <c r="A129" s="38" t="s">
        <v>78</v>
      </c>
      <c r="B129" s="101"/>
      <c r="C129" s="173"/>
      <c r="D129" s="122"/>
      <c r="E129" s="261"/>
      <c r="F129" s="193">
        <f>C129+D129+E129</f>
        <v>0</v>
      </c>
      <c r="G129" s="212"/>
      <c r="H129" s="10"/>
      <c r="I129" s="72">
        <f>F129+G129+H129</f>
        <v>0</v>
      </c>
      <c r="J129" s="227"/>
      <c r="K129" s="10"/>
      <c r="L129" s="72">
        <f>I129+J129+K129</f>
        <v>0</v>
      </c>
      <c r="M129" s="26"/>
      <c r="N129" s="10"/>
      <c r="O129" s="27">
        <f>L129+M129+N129</f>
        <v>0</v>
      </c>
      <c r="P129" s="84"/>
      <c r="Q129" s="85">
        <f t="shared" si="19"/>
        <v>0</v>
      </c>
    </row>
    <row r="130" spans="1:17" ht="12.75">
      <c r="A130" s="36" t="s">
        <v>79</v>
      </c>
      <c r="B130" s="102"/>
      <c r="C130" s="139">
        <f>C131+C136</f>
        <v>64210</v>
      </c>
      <c r="D130" s="117">
        <f aca="true" t="shared" si="38" ref="D130:Q130">D131+D136</f>
        <v>26046.79</v>
      </c>
      <c r="E130" s="161">
        <f t="shared" si="38"/>
        <v>0</v>
      </c>
      <c r="F130" s="190">
        <f t="shared" si="38"/>
        <v>90256.79</v>
      </c>
      <c r="G130" s="140">
        <f t="shared" si="38"/>
        <v>0</v>
      </c>
      <c r="H130" s="117">
        <f t="shared" si="38"/>
        <v>0</v>
      </c>
      <c r="I130" s="161">
        <f t="shared" si="38"/>
        <v>90256.79</v>
      </c>
      <c r="J130" s="139">
        <f t="shared" si="38"/>
        <v>0</v>
      </c>
      <c r="K130" s="117">
        <f t="shared" si="38"/>
        <v>0</v>
      </c>
      <c r="L130" s="161">
        <f t="shared" si="38"/>
        <v>90256.79</v>
      </c>
      <c r="M130" s="116">
        <f t="shared" si="38"/>
        <v>0</v>
      </c>
      <c r="N130" s="116">
        <f t="shared" si="38"/>
        <v>0</v>
      </c>
      <c r="O130" s="116">
        <f t="shared" si="38"/>
        <v>90256.79</v>
      </c>
      <c r="P130" s="116">
        <f t="shared" si="38"/>
        <v>0</v>
      </c>
      <c r="Q130" s="243">
        <f t="shared" si="38"/>
        <v>90256.79</v>
      </c>
    </row>
    <row r="131" spans="1:17" ht="12.75">
      <c r="A131" s="41" t="s">
        <v>49</v>
      </c>
      <c r="B131" s="102"/>
      <c r="C131" s="172">
        <f>SUM(C133:C135)</f>
        <v>47210</v>
      </c>
      <c r="D131" s="121">
        <f aca="true" t="shared" si="39" ref="D131:Q131">SUM(D133:D135)</f>
        <v>11526.31</v>
      </c>
      <c r="E131" s="163">
        <f t="shared" si="39"/>
        <v>0</v>
      </c>
      <c r="F131" s="192">
        <f t="shared" si="39"/>
        <v>58736.31</v>
      </c>
      <c r="G131" s="210">
        <f t="shared" si="39"/>
        <v>0</v>
      </c>
      <c r="H131" s="121">
        <f t="shared" si="39"/>
        <v>0</v>
      </c>
      <c r="I131" s="163">
        <f t="shared" si="39"/>
        <v>58736.31</v>
      </c>
      <c r="J131" s="172">
        <f t="shared" si="39"/>
        <v>0</v>
      </c>
      <c r="K131" s="121">
        <f t="shared" si="39"/>
        <v>0</v>
      </c>
      <c r="L131" s="163">
        <f t="shared" si="39"/>
        <v>58736.31</v>
      </c>
      <c r="M131" s="120">
        <f t="shared" si="39"/>
        <v>0</v>
      </c>
      <c r="N131" s="120">
        <f t="shared" si="39"/>
        <v>0</v>
      </c>
      <c r="O131" s="120">
        <f t="shared" si="39"/>
        <v>58736.31</v>
      </c>
      <c r="P131" s="120">
        <f t="shared" si="39"/>
        <v>0</v>
      </c>
      <c r="Q131" s="245">
        <f t="shared" si="39"/>
        <v>58736.31</v>
      </c>
    </row>
    <row r="132" spans="1:17" ht="12.75">
      <c r="A132" s="37" t="s">
        <v>26</v>
      </c>
      <c r="B132" s="98"/>
      <c r="C132" s="145"/>
      <c r="D132" s="114"/>
      <c r="E132" s="160"/>
      <c r="F132" s="167"/>
      <c r="G132" s="87"/>
      <c r="H132" s="7"/>
      <c r="I132" s="69"/>
      <c r="J132" s="28"/>
      <c r="K132" s="7"/>
      <c r="L132" s="69"/>
      <c r="M132" s="22"/>
      <c r="N132" s="7"/>
      <c r="O132" s="21"/>
      <c r="P132" s="81"/>
      <c r="Q132" s="79"/>
    </row>
    <row r="133" spans="1:17" ht="12.75">
      <c r="A133" s="35" t="s">
        <v>51</v>
      </c>
      <c r="B133" s="98"/>
      <c r="C133" s="145">
        <v>23210</v>
      </c>
      <c r="D133" s="114">
        <f>10326.31</f>
        <v>10326.31</v>
      </c>
      <c r="E133" s="160"/>
      <c r="F133" s="189">
        <f>C133+D133+E133</f>
        <v>33536.31</v>
      </c>
      <c r="G133" s="87"/>
      <c r="H133" s="7"/>
      <c r="I133" s="73">
        <f>F133+G133+H133</f>
        <v>33536.31</v>
      </c>
      <c r="J133" s="28"/>
      <c r="K133" s="7"/>
      <c r="L133" s="73">
        <f>I133+J133+K133</f>
        <v>33536.31</v>
      </c>
      <c r="M133" s="22"/>
      <c r="N133" s="7"/>
      <c r="O133" s="23">
        <f>L133+M133+N133</f>
        <v>33536.31</v>
      </c>
      <c r="P133" s="81"/>
      <c r="Q133" s="79">
        <f t="shared" si="19"/>
        <v>33536.31</v>
      </c>
    </row>
    <row r="134" spans="1:17" ht="12.75" hidden="1">
      <c r="A134" s="35" t="s">
        <v>78</v>
      </c>
      <c r="B134" s="98"/>
      <c r="C134" s="145"/>
      <c r="D134" s="114"/>
      <c r="E134" s="160"/>
      <c r="F134" s="189">
        <f>C134+D134+E134</f>
        <v>0</v>
      </c>
      <c r="G134" s="87"/>
      <c r="H134" s="7"/>
      <c r="I134" s="73"/>
      <c r="J134" s="28"/>
      <c r="K134" s="7"/>
      <c r="L134" s="73"/>
      <c r="M134" s="22"/>
      <c r="N134" s="7"/>
      <c r="O134" s="23">
        <f>L134+M134+N134</f>
        <v>0</v>
      </c>
      <c r="P134" s="81"/>
      <c r="Q134" s="79">
        <f t="shared" si="19"/>
        <v>0</v>
      </c>
    </row>
    <row r="135" spans="1:17" ht="12.75">
      <c r="A135" s="35" t="s">
        <v>80</v>
      </c>
      <c r="B135" s="98"/>
      <c r="C135" s="145">
        <v>24000</v>
      </c>
      <c r="D135" s="114">
        <f>1200</f>
        <v>1200</v>
      </c>
      <c r="E135" s="160"/>
      <c r="F135" s="189">
        <f>C135+D135+E135</f>
        <v>25200</v>
      </c>
      <c r="G135" s="87"/>
      <c r="H135" s="7"/>
      <c r="I135" s="73">
        <f>F135+G135+H135</f>
        <v>25200</v>
      </c>
      <c r="J135" s="28"/>
      <c r="K135" s="7"/>
      <c r="L135" s="73">
        <f>I135+J135+K135</f>
        <v>25200</v>
      </c>
      <c r="M135" s="22"/>
      <c r="N135" s="7"/>
      <c r="O135" s="23">
        <f>L135+M135+N135</f>
        <v>25200</v>
      </c>
      <c r="P135" s="81"/>
      <c r="Q135" s="79">
        <f>O135+P135</f>
        <v>25200</v>
      </c>
    </row>
    <row r="136" spans="1:17" ht="12.75">
      <c r="A136" s="42" t="s">
        <v>54</v>
      </c>
      <c r="B136" s="102"/>
      <c r="C136" s="174">
        <f>SUM(C138:C141)</f>
        <v>17000</v>
      </c>
      <c r="D136" s="124">
        <f aca="true" t="shared" si="40" ref="D136:Q136">SUM(D138:D141)</f>
        <v>14520.48</v>
      </c>
      <c r="E136" s="164">
        <f t="shared" si="40"/>
        <v>0</v>
      </c>
      <c r="F136" s="194">
        <f t="shared" si="40"/>
        <v>31520.48</v>
      </c>
      <c r="G136" s="211">
        <f t="shared" si="40"/>
        <v>0</v>
      </c>
      <c r="H136" s="124">
        <f t="shared" si="40"/>
        <v>0</v>
      </c>
      <c r="I136" s="164">
        <f t="shared" si="40"/>
        <v>31520.48</v>
      </c>
      <c r="J136" s="174">
        <f t="shared" si="40"/>
        <v>0</v>
      </c>
      <c r="K136" s="124">
        <f t="shared" si="40"/>
        <v>0</v>
      </c>
      <c r="L136" s="164">
        <f t="shared" si="40"/>
        <v>31520.48</v>
      </c>
      <c r="M136" s="123">
        <f t="shared" si="40"/>
        <v>0</v>
      </c>
      <c r="N136" s="123">
        <f t="shared" si="40"/>
        <v>0</v>
      </c>
      <c r="O136" s="123">
        <f t="shared" si="40"/>
        <v>31520.48</v>
      </c>
      <c r="P136" s="123">
        <f t="shared" si="40"/>
        <v>0</v>
      </c>
      <c r="Q136" s="246">
        <f t="shared" si="40"/>
        <v>31520.48</v>
      </c>
    </row>
    <row r="137" spans="1:17" ht="12.75">
      <c r="A137" s="33" t="s">
        <v>26</v>
      </c>
      <c r="B137" s="98"/>
      <c r="C137" s="139"/>
      <c r="D137" s="117"/>
      <c r="E137" s="161"/>
      <c r="F137" s="190"/>
      <c r="G137" s="208"/>
      <c r="H137" s="8"/>
      <c r="I137" s="29"/>
      <c r="J137" s="226"/>
      <c r="K137" s="8"/>
      <c r="L137" s="29"/>
      <c r="M137" s="24"/>
      <c r="N137" s="8"/>
      <c r="O137" s="25"/>
      <c r="P137" s="81"/>
      <c r="Q137" s="79"/>
    </row>
    <row r="138" spans="1:17" ht="12.75" hidden="1">
      <c r="A138" s="35" t="s">
        <v>163</v>
      </c>
      <c r="B138" s="98">
        <v>98861</v>
      </c>
      <c r="C138" s="145"/>
      <c r="D138" s="114"/>
      <c r="E138" s="160"/>
      <c r="F138" s="189">
        <f>C138+D138+E138</f>
        <v>0</v>
      </c>
      <c r="G138" s="208"/>
      <c r="H138" s="8"/>
      <c r="I138" s="73"/>
      <c r="J138" s="226"/>
      <c r="K138" s="8"/>
      <c r="L138" s="73"/>
      <c r="M138" s="24"/>
      <c r="N138" s="8"/>
      <c r="O138" s="23">
        <f>L138+M138+N138</f>
        <v>0</v>
      </c>
      <c r="P138" s="81"/>
      <c r="Q138" s="79">
        <f>O138+P138</f>
        <v>0</v>
      </c>
    </row>
    <row r="139" spans="1:17" ht="12.75" hidden="1">
      <c r="A139" s="35" t="s">
        <v>219</v>
      </c>
      <c r="B139" s="98">
        <v>7938</v>
      </c>
      <c r="C139" s="145"/>
      <c r="D139" s="114"/>
      <c r="E139" s="160"/>
      <c r="F139" s="189">
        <f>C139+D139+E139</f>
        <v>0</v>
      </c>
      <c r="G139" s="208"/>
      <c r="H139" s="8"/>
      <c r="I139" s="73"/>
      <c r="J139" s="226"/>
      <c r="K139" s="8"/>
      <c r="L139" s="73"/>
      <c r="M139" s="24"/>
      <c r="N139" s="8"/>
      <c r="O139" s="23"/>
      <c r="P139" s="81"/>
      <c r="Q139" s="79"/>
    </row>
    <row r="140" spans="1:17" ht="12.75" hidden="1">
      <c r="A140" s="35" t="s">
        <v>247</v>
      </c>
      <c r="B140" s="98"/>
      <c r="C140" s="145"/>
      <c r="D140" s="114"/>
      <c r="E140" s="160"/>
      <c r="F140" s="189">
        <f>C140+D140+E140</f>
        <v>0</v>
      </c>
      <c r="G140" s="208"/>
      <c r="H140" s="8"/>
      <c r="I140" s="73"/>
      <c r="J140" s="226"/>
      <c r="K140" s="8"/>
      <c r="L140" s="73"/>
      <c r="M140" s="24"/>
      <c r="N140" s="8"/>
      <c r="O140" s="23"/>
      <c r="P140" s="81"/>
      <c r="Q140" s="79"/>
    </row>
    <row r="141" spans="1:17" ht="12.75">
      <c r="A141" s="46" t="s">
        <v>55</v>
      </c>
      <c r="B141" s="101"/>
      <c r="C141" s="173">
        <v>17000</v>
      </c>
      <c r="D141" s="122">
        <f>14520.48</f>
        <v>14520.48</v>
      </c>
      <c r="E141" s="261"/>
      <c r="F141" s="193">
        <f>C141+D141+E141</f>
        <v>31520.48</v>
      </c>
      <c r="G141" s="212"/>
      <c r="H141" s="10"/>
      <c r="I141" s="72">
        <f>F141+G141+H141</f>
        <v>31520.48</v>
      </c>
      <c r="J141" s="227"/>
      <c r="K141" s="10"/>
      <c r="L141" s="72">
        <f>I141+J141+K141</f>
        <v>31520.48</v>
      </c>
      <c r="M141" s="26"/>
      <c r="N141" s="10"/>
      <c r="O141" s="27">
        <f>L141+M141+N141</f>
        <v>31520.48</v>
      </c>
      <c r="P141" s="84"/>
      <c r="Q141" s="85">
        <f>O141+P141</f>
        <v>31520.48</v>
      </c>
    </row>
    <row r="142" spans="1:17" ht="12.75">
      <c r="A142" s="32" t="s">
        <v>268</v>
      </c>
      <c r="B142" s="102"/>
      <c r="C142" s="152">
        <f aca="true" t="shared" si="41" ref="C142:Q142">C143+C162</f>
        <v>4910.1</v>
      </c>
      <c r="D142" s="113">
        <f t="shared" si="41"/>
        <v>239884.70999999996</v>
      </c>
      <c r="E142" s="136">
        <f t="shared" si="41"/>
        <v>0</v>
      </c>
      <c r="F142" s="167">
        <f t="shared" si="41"/>
        <v>244794.81</v>
      </c>
      <c r="G142" s="153">
        <f t="shared" si="41"/>
        <v>0</v>
      </c>
      <c r="H142" s="113">
        <f t="shared" si="41"/>
        <v>0</v>
      </c>
      <c r="I142" s="136">
        <f t="shared" si="41"/>
        <v>3710.7</v>
      </c>
      <c r="J142" s="152">
        <f t="shared" si="41"/>
        <v>0</v>
      </c>
      <c r="K142" s="113">
        <f t="shared" si="41"/>
        <v>0</v>
      </c>
      <c r="L142" s="136">
        <f t="shared" si="41"/>
        <v>3710.7</v>
      </c>
      <c r="M142" s="112">
        <f t="shared" si="41"/>
        <v>0</v>
      </c>
      <c r="N142" s="112">
        <f t="shared" si="41"/>
        <v>0</v>
      </c>
      <c r="O142" s="112">
        <f t="shared" si="41"/>
        <v>3710.7</v>
      </c>
      <c r="P142" s="112">
        <f t="shared" si="41"/>
        <v>0</v>
      </c>
      <c r="Q142" s="240">
        <f t="shared" si="41"/>
        <v>3710.7</v>
      </c>
    </row>
    <row r="143" spans="1:17" ht="12.75">
      <c r="A143" s="41" t="s">
        <v>49</v>
      </c>
      <c r="B143" s="102"/>
      <c r="C143" s="172">
        <f aca="true" t="shared" si="42" ref="C143:Q143">SUM(C145:C161)</f>
        <v>4910.1</v>
      </c>
      <c r="D143" s="121">
        <f t="shared" si="42"/>
        <v>40411.03999999999</v>
      </c>
      <c r="E143" s="163">
        <f t="shared" si="42"/>
        <v>0</v>
      </c>
      <c r="F143" s="192">
        <f t="shared" si="42"/>
        <v>45321.14</v>
      </c>
      <c r="G143" s="210">
        <f t="shared" si="42"/>
        <v>0</v>
      </c>
      <c r="H143" s="121">
        <f t="shared" si="42"/>
        <v>0</v>
      </c>
      <c r="I143" s="163">
        <f t="shared" si="42"/>
        <v>3710.7</v>
      </c>
      <c r="J143" s="172">
        <f t="shared" si="42"/>
        <v>0</v>
      </c>
      <c r="K143" s="121">
        <f t="shared" si="42"/>
        <v>0</v>
      </c>
      <c r="L143" s="163">
        <f t="shared" si="42"/>
        <v>3710.7</v>
      </c>
      <c r="M143" s="120">
        <f t="shared" si="42"/>
        <v>0</v>
      </c>
      <c r="N143" s="120">
        <f t="shared" si="42"/>
        <v>0</v>
      </c>
      <c r="O143" s="120">
        <f t="shared" si="42"/>
        <v>3710.7</v>
      </c>
      <c r="P143" s="120">
        <f t="shared" si="42"/>
        <v>0</v>
      </c>
      <c r="Q143" s="245">
        <f t="shared" si="42"/>
        <v>3710.7</v>
      </c>
    </row>
    <row r="144" spans="1:17" ht="12.75">
      <c r="A144" s="33" t="s">
        <v>26</v>
      </c>
      <c r="B144" s="98"/>
      <c r="C144" s="139"/>
      <c r="D144" s="117"/>
      <c r="E144" s="161"/>
      <c r="F144" s="190"/>
      <c r="G144" s="208"/>
      <c r="H144" s="8"/>
      <c r="I144" s="29"/>
      <c r="J144" s="226"/>
      <c r="K144" s="8"/>
      <c r="L144" s="29"/>
      <c r="M144" s="24"/>
      <c r="N144" s="8"/>
      <c r="O144" s="25"/>
      <c r="P144" s="81"/>
      <c r="Q144" s="79"/>
    </row>
    <row r="145" spans="1:17" ht="12.75">
      <c r="A145" s="35" t="s">
        <v>51</v>
      </c>
      <c r="B145" s="98"/>
      <c r="C145" s="145">
        <v>3350.7</v>
      </c>
      <c r="D145" s="114">
        <f>360</f>
        <v>360</v>
      </c>
      <c r="E145" s="160"/>
      <c r="F145" s="189">
        <f aca="true" t="shared" si="43" ref="F145:F161">C145+D145+E145</f>
        <v>3710.7</v>
      </c>
      <c r="G145" s="87"/>
      <c r="H145" s="7"/>
      <c r="I145" s="73">
        <f>F145+G145+H145</f>
        <v>3710.7</v>
      </c>
      <c r="J145" s="225"/>
      <c r="K145" s="7"/>
      <c r="L145" s="73">
        <f>I145+J145+K145</f>
        <v>3710.7</v>
      </c>
      <c r="M145" s="31"/>
      <c r="N145" s="7"/>
      <c r="O145" s="23">
        <f>L145+M145+N145</f>
        <v>3710.7</v>
      </c>
      <c r="P145" s="81"/>
      <c r="Q145" s="79">
        <f>O145+P145</f>
        <v>3710.7</v>
      </c>
    </row>
    <row r="146" spans="1:17" ht="12.75" hidden="1">
      <c r="A146" s="99" t="s">
        <v>301</v>
      </c>
      <c r="B146" s="98">
        <v>2042</v>
      </c>
      <c r="C146" s="145"/>
      <c r="D146" s="114"/>
      <c r="E146" s="160"/>
      <c r="F146" s="189">
        <f t="shared" si="43"/>
        <v>0</v>
      </c>
      <c r="G146" s="87"/>
      <c r="H146" s="7"/>
      <c r="I146" s="73">
        <f>F146+G146+H146</f>
        <v>0</v>
      </c>
      <c r="J146" s="28"/>
      <c r="K146" s="7"/>
      <c r="L146" s="73">
        <f>I146+J146+K146</f>
        <v>0</v>
      </c>
      <c r="M146" s="22"/>
      <c r="N146" s="7"/>
      <c r="O146" s="23">
        <f>L146+M146+N146</f>
        <v>0</v>
      </c>
      <c r="P146" s="81"/>
      <c r="Q146" s="79">
        <f>O146+P146</f>
        <v>0</v>
      </c>
    </row>
    <row r="147" spans="1:17" ht="12.75">
      <c r="A147" s="99" t="s">
        <v>302</v>
      </c>
      <c r="B147" s="98">
        <v>2045</v>
      </c>
      <c r="C147" s="145"/>
      <c r="D147" s="114">
        <f>1866.49</f>
        <v>1866.49</v>
      </c>
      <c r="E147" s="160"/>
      <c r="F147" s="189">
        <f t="shared" si="43"/>
        <v>1866.49</v>
      </c>
      <c r="G147" s="87"/>
      <c r="H147" s="7"/>
      <c r="I147" s="73"/>
      <c r="J147" s="28"/>
      <c r="K147" s="7"/>
      <c r="L147" s="73"/>
      <c r="M147" s="22"/>
      <c r="N147" s="7"/>
      <c r="O147" s="23"/>
      <c r="P147" s="81"/>
      <c r="Q147" s="79"/>
    </row>
    <row r="148" spans="1:17" ht="12.75">
      <c r="A148" s="99" t="s">
        <v>311</v>
      </c>
      <c r="B148" s="98">
        <v>2046</v>
      </c>
      <c r="C148" s="145"/>
      <c r="D148" s="114">
        <f>4982.3</f>
        <v>4982.3</v>
      </c>
      <c r="E148" s="160"/>
      <c r="F148" s="189">
        <f t="shared" si="43"/>
        <v>4982.3</v>
      </c>
      <c r="G148" s="87"/>
      <c r="H148" s="7"/>
      <c r="I148" s="73"/>
      <c r="J148" s="28"/>
      <c r="K148" s="7"/>
      <c r="L148" s="73"/>
      <c r="M148" s="22"/>
      <c r="N148" s="7"/>
      <c r="O148" s="23"/>
      <c r="P148" s="81"/>
      <c r="Q148" s="79"/>
    </row>
    <row r="149" spans="1:17" ht="12.75">
      <c r="A149" s="99" t="s">
        <v>303</v>
      </c>
      <c r="B149" s="98">
        <v>2016</v>
      </c>
      <c r="C149" s="145"/>
      <c r="D149" s="114">
        <f>1422.76</f>
        <v>1422.76</v>
      </c>
      <c r="E149" s="160"/>
      <c r="F149" s="189">
        <f t="shared" si="43"/>
        <v>1422.76</v>
      </c>
      <c r="G149" s="87"/>
      <c r="H149" s="7"/>
      <c r="I149" s="73"/>
      <c r="J149" s="28"/>
      <c r="K149" s="7"/>
      <c r="L149" s="73"/>
      <c r="M149" s="22"/>
      <c r="N149" s="7"/>
      <c r="O149" s="23"/>
      <c r="P149" s="81"/>
      <c r="Q149" s="79"/>
    </row>
    <row r="150" spans="1:17" ht="12.75">
      <c r="A150" s="44" t="s">
        <v>304</v>
      </c>
      <c r="B150" s="98">
        <v>2057</v>
      </c>
      <c r="C150" s="145"/>
      <c r="D150" s="114">
        <f>15.32</f>
        <v>15.32</v>
      </c>
      <c r="E150" s="160"/>
      <c r="F150" s="189">
        <f t="shared" si="43"/>
        <v>15.32</v>
      </c>
      <c r="G150" s="87"/>
      <c r="H150" s="7"/>
      <c r="I150" s="73"/>
      <c r="J150" s="28"/>
      <c r="K150" s="7"/>
      <c r="L150" s="73"/>
      <c r="M150" s="22"/>
      <c r="N150" s="7"/>
      <c r="O150" s="23"/>
      <c r="P150" s="81"/>
      <c r="Q150" s="79"/>
    </row>
    <row r="151" spans="1:17" ht="12.75">
      <c r="A151" s="44" t="s">
        <v>305</v>
      </c>
      <c r="B151" s="98">
        <v>2064</v>
      </c>
      <c r="C151" s="145"/>
      <c r="D151" s="114">
        <f>3511.85+127.5</f>
        <v>3639.35</v>
      </c>
      <c r="E151" s="160"/>
      <c r="F151" s="189">
        <f t="shared" si="43"/>
        <v>3639.35</v>
      </c>
      <c r="G151" s="87"/>
      <c r="H151" s="7"/>
      <c r="I151" s="73"/>
      <c r="J151" s="28"/>
      <c r="K151" s="7"/>
      <c r="L151" s="73"/>
      <c r="M151" s="22"/>
      <c r="N151" s="7"/>
      <c r="O151" s="23"/>
      <c r="P151" s="81"/>
      <c r="Q151" s="79"/>
    </row>
    <row r="152" spans="1:17" ht="12.75">
      <c r="A152" s="44" t="s">
        <v>318</v>
      </c>
      <c r="B152" s="98">
        <v>2079</v>
      </c>
      <c r="C152" s="145"/>
      <c r="D152" s="114">
        <f>3742.33</f>
        <v>3742.33</v>
      </c>
      <c r="E152" s="160"/>
      <c r="F152" s="189">
        <f t="shared" si="43"/>
        <v>3742.33</v>
      </c>
      <c r="G152" s="87"/>
      <c r="H152" s="7"/>
      <c r="I152" s="73"/>
      <c r="J152" s="28"/>
      <c r="K152" s="7"/>
      <c r="L152" s="73"/>
      <c r="M152" s="22"/>
      <c r="N152" s="7"/>
      <c r="O152" s="23"/>
      <c r="P152" s="81"/>
      <c r="Q152" s="79"/>
    </row>
    <row r="153" spans="1:17" ht="12.75">
      <c r="A153" s="99" t="s">
        <v>319</v>
      </c>
      <c r="B153" s="98">
        <v>2079</v>
      </c>
      <c r="C153" s="145"/>
      <c r="D153" s="114">
        <f>4049.47</f>
        <v>4049.47</v>
      </c>
      <c r="E153" s="160"/>
      <c r="F153" s="189">
        <f t="shared" si="43"/>
        <v>4049.47</v>
      </c>
      <c r="G153" s="87"/>
      <c r="H153" s="7"/>
      <c r="I153" s="73"/>
      <c r="J153" s="28"/>
      <c r="K153" s="7"/>
      <c r="L153" s="73"/>
      <c r="M153" s="22"/>
      <c r="N153" s="7"/>
      <c r="O153" s="23"/>
      <c r="P153" s="81"/>
      <c r="Q153" s="79"/>
    </row>
    <row r="154" spans="1:17" ht="12.75">
      <c r="A154" s="44" t="s">
        <v>306</v>
      </c>
      <c r="B154" s="98">
        <v>2067</v>
      </c>
      <c r="C154" s="145"/>
      <c r="D154" s="114">
        <f>0.27</f>
        <v>0.27</v>
      </c>
      <c r="E154" s="160"/>
      <c r="F154" s="189">
        <f t="shared" si="43"/>
        <v>0.27</v>
      </c>
      <c r="G154" s="87"/>
      <c r="H154" s="7"/>
      <c r="I154" s="73"/>
      <c r="J154" s="28"/>
      <c r="K154" s="7"/>
      <c r="L154" s="73"/>
      <c r="M154" s="22"/>
      <c r="N154" s="7"/>
      <c r="O154" s="23"/>
      <c r="P154" s="81"/>
      <c r="Q154" s="79"/>
    </row>
    <row r="155" spans="1:17" ht="12.75">
      <c r="A155" s="44" t="s">
        <v>300</v>
      </c>
      <c r="B155" s="98">
        <v>2067</v>
      </c>
      <c r="C155" s="145"/>
      <c r="D155" s="114">
        <f>2217.64</f>
        <v>2217.64</v>
      </c>
      <c r="E155" s="160"/>
      <c r="F155" s="189">
        <f t="shared" si="43"/>
        <v>2217.64</v>
      </c>
      <c r="G155" s="87"/>
      <c r="H155" s="7"/>
      <c r="I155" s="73"/>
      <c r="J155" s="28"/>
      <c r="K155" s="7"/>
      <c r="L155" s="73"/>
      <c r="M155" s="22"/>
      <c r="N155" s="7"/>
      <c r="O155" s="23"/>
      <c r="P155" s="81"/>
      <c r="Q155" s="79"/>
    </row>
    <row r="156" spans="1:17" ht="12.75">
      <c r="A156" s="44" t="s">
        <v>324</v>
      </c>
      <c r="B156" s="98">
        <v>2074</v>
      </c>
      <c r="C156" s="145"/>
      <c r="D156" s="114">
        <f>612.62</f>
        <v>612.62</v>
      </c>
      <c r="E156" s="160"/>
      <c r="F156" s="189">
        <f t="shared" si="43"/>
        <v>612.62</v>
      </c>
      <c r="G156" s="87"/>
      <c r="H156" s="7"/>
      <c r="I156" s="73"/>
      <c r="J156" s="28"/>
      <c r="K156" s="7"/>
      <c r="L156" s="73"/>
      <c r="M156" s="22"/>
      <c r="N156" s="7"/>
      <c r="O156" s="23"/>
      <c r="P156" s="81"/>
      <c r="Q156" s="79"/>
    </row>
    <row r="157" spans="1:17" ht="12.75">
      <c r="A157" s="44" t="s">
        <v>323</v>
      </c>
      <c r="B157" s="98">
        <v>2074</v>
      </c>
      <c r="C157" s="145"/>
      <c r="D157" s="114">
        <f>1738.53</f>
        <v>1738.53</v>
      </c>
      <c r="E157" s="160"/>
      <c r="F157" s="189">
        <f t="shared" si="43"/>
        <v>1738.53</v>
      </c>
      <c r="G157" s="87"/>
      <c r="H157" s="7"/>
      <c r="I157" s="73"/>
      <c r="J157" s="28"/>
      <c r="K157" s="7"/>
      <c r="L157" s="73"/>
      <c r="M157" s="22"/>
      <c r="N157" s="7"/>
      <c r="O157" s="23"/>
      <c r="P157" s="81"/>
      <c r="Q157" s="79"/>
    </row>
    <row r="158" spans="1:17" ht="12.75">
      <c r="A158" s="99" t="s">
        <v>321</v>
      </c>
      <c r="B158" s="98">
        <v>2068</v>
      </c>
      <c r="C158" s="145"/>
      <c r="D158" s="114">
        <f>4636.84</f>
        <v>4636.84</v>
      </c>
      <c r="E158" s="160"/>
      <c r="F158" s="189">
        <f t="shared" si="43"/>
        <v>4636.84</v>
      </c>
      <c r="G158" s="87"/>
      <c r="H158" s="7"/>
      <c r="I158" s="73"/>
      <c r="J158" s="28"/>
      <c r="K158" s="7"/>
      <c r="L158" s="73"/>
      <c r="M158" s="22"/>
      <c r="N158" s="7"/>
      <c r="O158" s="23"/>
      <c r="P158" s="81"/>
      <c r="Q158" s="79"/>
    </row>
    <row r="159" spans="1:17" ht="12.75">
      <c r="A159" s="99" t="s">
        <v>322</v>
      </c>
      <c r="B159" s="98">
        <v>2242</v>
      </c>
      <c r="C159" s="145"/>
      <c r="D159" s="114">
        <f>375.64</f>
        <v>375.64</v>
      </c>
      <c r="E159" s="160"/>
      <c r="F159" s="189">
        <f t="shared" si="43"/>
        <v>375.64</v>
      </c>
      <c r="G159" s="87"/>
      <c r="H159" s="7"/>
      <c r="I159" s="73"/>
      <c r="J159" s="28"/>
      <c r="K159" s="7"/>
      <c r="L159" s="73"/>
      <c r="M159" s="22"/>
      <c r="N159" s="7"/>
      <c r="O159" s="23"/>
      <c r="P159" s="81"/>
      <c r="Q159" s="79"/>
    </row>
    <row r="160" spans="1:17" ht="12.75" hidden="1">
      <c r="A160" s="99" t="s">
        <v>307</v>
      </c>
      <c r="B160" s="98">
        <v>2058</v>
      </c>
      <c r="C160" s="145"/>
      <c r="D160" s="114"/>
      <c r="E160" s="160"/>
      <c r="F160" s="189">
        <f t="shared" si="43"/>
        <v>0</v>
      </c>
      <c r="G160" s="87"/>
      <c r="H160" s="7"/>
      <c r="I160" s="73"/>
      <c r="J160" s="28"/>
      <c r="K160" s="7"/>
      <c r="L160" s="73"/>
      <c r="M160" s="22"/>
      <c r="N160" s="7"/>
      <c r="O160" s="23"/>
      <c r="P160" s="81"/>
      <c r="Q160" s="79"/>
    </row>
    <row r="161" spans="1:17" ht="12.75">
      <c r="A161" s="35" t="s">
        <v>78</v>
      </c>
      <c r="B161" s="98"/>
      <c r="C161" s="145">
        <v>1559.4</v>
      </c>
      <c r="D161" s="114">
        <f>954+159.54+332.5+85.99+1428.88+391.14+155.61+7243.82</f>
        <v>10751.48</v>
      </c>
      <c r="E161" s="160"/>
      <c r="F161" s="189">
        <f t="shared" si="43"/>
        <v>12310.88</v>
      </c>
      <c r="G161" s="87"/>
      <c r="H161" s="7"/>
      <c r="I161" s="73"/>
      <c r="J161" s="28"/>
      <c r="K161" s="7"/>
      <c r="L161" s="73"/>
      <c r="M161" s="22"/>
      <c r="N161" s="7"/>
      <c r="O161" s="23"/>
      <c r="P161" s="81"/>
      <c r="Q161" s="79"/>
    </row>
    <row r="162" spans="1:17" ht="12.75">
      <c r="A162" s="42" t="s">
        <v>54</v>
      </c>
      <c r="B162" s="102"/>
      <c r="C162" s="174">
        <f>SUM(C164:C170)</f>
        <v>0</v>
      </c>
      <c r="D162" s="124">
        <f aca="true" t="shared" si="44" ref="D162:Q162">SUM(D164:D170)</f>
        <v>199473.66999999998</v>
      </c>
      <c r="E162" s="164">
        <f t="shared" si="44"/>
        <v>0</v>
      </c>
      <c r="F162" s="194">
        <f t="shared" si="44"/>
        <v>199473.66999999998</v>
      </c>
      <c r="G162" s="211">
        <f t="shared" si="44"/>
        <v>0</v>
      </c>
      <c r="H162" s="124">
        <f t="shared" si="44"/>
        <v>0</v>
      </c>
      <c r="I162" s="164">
        <f t="shared" si="44"/>
        <v>0</v>
      </c>
      <c r="J162" s="174">
        <f t="shared" si="44"/>
        <v>0</v>
      </c>
      <c r="K162" s="124">
        <f t="shared" si="44"/>
        <v>0</v>
      </c>
      <c r="L162" s="164">
        <f t="shared" si="44"/>
        <v>0</v>
      </c>
      <c r="M162" s="123">
        <f t="shared" si="44"/>
        <v>0</v>
      </c>
      <c r="N162" s="123">
        <f t="shared" si="44"/>
        <v>0</v>
      </c>
      <c r="O162" s="123">
        <f t="shared" si="44"/>
        <v>0</v>
      </c>
      <c r="P162" s="123">
        <f t="shared" si="44"/>
        <v>0</v>
      </c>
      <c r="Q162" s="246">
        <f t="shared" si="44"/>
        <v>0</v>
      </c>
    </row>
    <row r="163" spans="1:17" ht="12.75">
      <c r="A163" s="44" t="s">
        <v>26</v>
      </c>
      <c r="B163" s="98"/>
      <c r="C163" s="145"/>
      <c r="D163" s="114"/>
      <c r="E163" s="160"/>
      <c r="F163" s="189"/>
      <c r="G163" s="87"/>
      <c r="H163" s="7"/>
      <c r="I163" s="73"/>
      <c r="J163" s="28"/>
      <c r="K163" s="7"/>
      <c r="L163" s="73"/>
      <c r="M163" s="22"/>
      <c r="N163" s="7"/>
      <c r="O163" s="23"/>
      <c r="P163" s="81"/>
      <c r="Q163" s="79"/>
    </row>
    <row r="164" spans="1:17" ht="12.75" hidden="1">
      <c r="A164" s="44" t="s">
        <v>320</v>
      </c>
      <c r="B164" s="98">
        <v>2057</v>
      </c>
      <c r="C164" s="145"/>
      <c r="D164" s="114"/>
      <c r="E164" s="160"/>
      <c r="F164" s="189">
        <f aca="true" t="shared" si="45" ref="F164:F170">C164+D164+E164</f>
        <v>0</v>
      </c>
      <c r="G164" s="87"/>
      <c r="H164" s="7"/>
      <c r="I164" s="73">
        <f>F164+G164+H164</f>
        <v>0</v>
      </c>
      <c r="J164" s="28"/>
      <c r="K164" s="7"/>
      <c r="L164" s="73">
        <f>I164+J164+K164</f>
        <v>0</v>
      </c>
      <c r="M164" s="22"/>
      <c r="N164" s="7"/>
      <c r="O164" s="23">
        <f>L164+M164+N164</f>
        <v>0</v>
      </c>
      <c r="P164" s="81"/>
      <c r="Q164" s="79">
        <f aca="true" t="shared" si="46" ref="Q164:Q217">O164+P164</f>
        <v>0</v>
      </c>
    </row>
    <row r="165" spans="1:17" ht="12.75" hidden="1">
      <c r="A165" s="44" t="s">
        <v>305</v>
      </c>
      <c r="B165" s="98">
        <v>2064</v>
      </c>
      <c r="C165" s="145"/>
      <c r="D165" s="114"/>
      <c r="E165" s="160"/>
      <c r="F165" s="189">
        <f t="shared" si="45"/>
        <v>0</v>
      </c>
      <c r="G165" s="87"/>
      <c r="H165" s="7"/>
      <c r="I165" s="73"/>
      <c r="J165" s="28"/>
      <c r="K165" s="7"/>
      <c r="L165" s="73"/>
      <c r="M165" s="22"/>
      <c r="N165" s="7"/>
      <c r="O165" s="23"/>
      <c r="P165" s="81"/>
      <c r="Q165" s="79"/>
    </row>
    <row r="166" spans="1:17" ht="12.75">
      <c r="A166" s="44" t="s">
        <v>318</v>
      </c>
      <c r="B166" s="98">
        <v>2079</v>
      </c>
      <c r="C166" s="145"/>
      <c r="D166" s="114">
        <f>99736.83</f>
        <v>99736.83</v>
      </c>
      <c r="E166" s="160"/>
      <c r="F166" s="189">
        <f t="shared" si="45"/>
        <v>99736.83</v>
      </c>
      <c r="G166" s="87"/>
      <c r="H166" s="7"/>
      <c r="I166" s="73"/>
      <c r="J166" s="28"/>
      <c r="K166" s="7"/>
      <c r="L166" s="73"/>
      <c r="M166" s="22"/>
      <c r="N166" s="7"/>
      <c r="O166" s="23"/>
      <c r="P166" s="81"/>
      <c r="Q166" s="79"/>
    </row>
    <row r="167" spans="1:17" ht="12.75">
      <c r="A167" s="272" t="s">
        <v>319</v>
      </c>
      <c r="B167" s="101">
        <v>2079</v>
      </c>
      <c r="C167" s="173"/>
      <c r="D167" s="122">
        <f>99736.84</f>
        <v>99736.84</v>
      </c>
      <c r="E167" s="261"/>
      <c r="F167" s="193">
        <f t="shared" si="45"/>
        <v>99736.84</v>
      </c>
      <c r="G167" s="87"/>
      <c r="H167" s="7"/>
      <c r="I167" s="73"/>
      <c r="J167" s="28"/>
      <c r="K167" s="7"/>
      <c r="L167" s="73"/>
      <c r="M167" s="22"/>
      <c r="N167" s="7"/>
      <c r="O167" s="23"/>
      <c r="P167" s="81"/>
      <c r="Q167" s="79"/>
    </row>
    <row r="168" spans="1:17" ht="12.75" hidden="1">
      <c r="A168" s="35" t="s">
        <v>69</v>
      </c>
      <c r="B168" s="98"/>
      <c r="C168" s="145"/>
      <c r="D168" s="114"/>
      <c r="E168" s="160"/>
      <c r="F168" s="189">
        <f t="shared" si="45"/>
        <v>0</v>
      </c>
      <c r="G168" s="87"/>
      <c r="H168" s="7"/>
      <c r="I168" s="73">
        <f>F168+G168+H168</f>
        <v>0</v>
      </c>
      <c r="J168" s="28"/>
      <c r="K168" s="7"/>
      <c r="L168" s="73">
        <f>I168+J168+K168</f>
        <v>0</v>
      </c>
      <c r="M168" s="22"/>
      <c r="N168" s="7"/>
      <c r="O168" s="23">
        <f>L168+M168+N168</f>
        <v>0</v>
      </c>
      <c r="P168" s="81"/>
      <c r="Q168" s="79">
        <f t="shared" si="46"/>
        <v>0</v>
      </c>
    </row>
    <row r="169" spans="1:17" ht="12.75" hidden="1">
      <c r="A169" s="38" t="s">
        <v>55</v>
      </c>
      <c r="B169" s="101"/>
      <c r="C169" s="173"/>
      <c r="D169" s="122"/>
      <c r="E169" s="261"/>
      <c r="F169" s="193">
        <f t="shared" si="45"/>
        <v>0</v>
      </c>
      <c r="G169" s="87"/>
      <c r="H169" s="7"/>
      <c r="I169" s="73">
        <f>F169+G169+H169</f>
        <v>0</v>
      </c>
      <c r="J169" s="28"/>
      <c r="K169" s="7"/>
      <c r="L169" s="73">
        <f>I169+J169+K169</f>
        <v>0</v>
      </c>
      <c r="M169" s="22"/>
      <c r="N169" s="7"/>
      <c r="O169" s="23">
        <f>L169+M169+N169</f>
        <v>0</v>
      </c>
      <c r="P169" s="81"/>
      <c r="Q169" s="79">
        <f t="shared" si="46"/>
        <v>0</v>
      </c>
    </row>
    <row r="170" spans="1:17" ht="12.75" hidden="1">
      <c r="A170" s="38" t="s">
        <v>78</v>
      </c>
      <c r="B170" s="101"/>
      <c r="C170" s="173"/>
      <c r="D170" s="122"/>
      <c r="E170" s="261"/>
      <c r="F170" s="193">
        <f t="shared" si="45"/>
        <v>0</v>
      </c>
      <c r="G170" s="212"/>
      <c r="H170" s="10"/>
      <c r="I170" s="72">
        <f>F170+G170+H170</f>
        <v>0</v>
      </c>
      <c r="J170" s="227"/>
      <c r="K170" s="10"/>
      <c r="L170" s="72">
        <f>I170+J170+K170</f>
        <v>0</v>
      </c>
      <c r="M170" s="26"/>
      <c r="N170" s="10"/>
      <c r="O170" s="27">
        <f>L170+M170+N170</f>
        <v>0</v>
      </c>
      <c r="P170" s="84"/>
      <c r="Q170" s="85">
        <f t="shared" si="46"/>
        <v>0</v>
      </c>
    </row>
    <row r="171" spans="1:17" ht="12.75">
      <c r="A171" s="32" t="s">
        <v>82</v>
      </c>
      <c r="B171" s="102"/>
      <c r="C171" s="152">
        <f aca="true" t="shared" si="47" ref="C171:Q171">C172+C209</f>
        <v>401602.02</v>
      </c>
      <c r="D171" s="113">
        <f t="shared" si="47"/>
        <v>8246377.53</v>
      </c>
      <c r="E171" s="136">
        <f t="shared" si="47"/>
        <v>0</v>
      </c>
      <c r="F171" s="167">
        <f t="shared" si="47"/>
        <v>8647979.550000003</v>
      </c>
      <c r="G171" s="153">
        <f t="shared" si="47"/>
        <v>0</v>
      </c>
      <c r="H171" s="113">
        <f t="shared" si="47"/>
        <v>0</v>
      </c>
      <c r="I171" s="136">
        <f t="shared" si="47"/>
        <v>526504.05</v>
      </c>
      <c r="J171" s="152">
        <f t="shared" si="47"/>
        <v>0</v>
      </c>
      <c r="K171" s="113">
        <f t="shared" si="47"/>
        <v>0</v>
      </c>
      <c r="L171" s="136">
        <f t="shared" si="47"/>
        <v>526504.05</v>
      </c>
      <c r="M171" s="112">
        <f t="shared" si="47"/>
        <v>0</v>
      </c>
      <c r="N171" s="112">
        <f t="shared" si="47"/>
        <v>0</v>
      </c>
      <c r="O171" s="112">
        <f t="shared" si="47"/>
        <v>526504.05</v>
      </c>
      <c r="P171" s="112">
        <f t="shared" si="47"/>
        <v>0</v>
      </c>
      <c r="Q171" s="240">
        <f t="shared" si="47"/>
        <v>526504.05</v>
      </c>
    </row>
    <row r="172" spans="1:17" ht="12.75">
      <c r="A172" s="41" t="s">
        <v>49</v>
      </c>
      <c r="B172" s="102"/>
      <c r="C172" s="172">
        <f aca="true" t="shared" si="48" ref="C172:Q172">SUM(C174:C208)</f>
        <v>400862.02</v>
      </c>
      <c r="D172" s="121">
        <f t="shared" si="48"/>
        <v>8245836.890000001</v>
      </c>
      <c r="E172" s="163">
        <f t="shared" si="48"/>
        <v>0</v>
      </c>
      <c r="F172" s="192">
        <f t="shared" si="48"/>
        <v>8646698.910000002</v>
      </c>
      <c r="G172" s="210">
        <f t="shared" si="48"/>
        <v>0</v>
      </c>
      <c r="H172" s="121">
        <f t="shared" si="48"/>
        <v>0</v>
      </c>
      <c r="I172" s="163">
        <f t="shared" si="48"/>
        <v>525223.41</v>
      </c>
      <c r="J172" s="172">
        <f t="shared" si="48"/>
        <v>0</v>
      </c>
      <c r="K172" s="121">
        <f t="shared" si="48"/>
        <v>0</v>
      </c>
      <c r="L172" s="163">
        <f t="shared" si="48"/>
        <v>525223.41</v>
      </c>
      <c r="M172" s="120">
        <f t="shared" si="48"/>
        <v>0</v>
      </c>
      <c r="N172" s="120">
        <f t="shared" si="48"/>
        <v>0</v>
      </c>
      <c r="O172" s="120">
        <f t="shared" si="48"/>
        <v>525223.41</v>
      </c>
      <c r="P172" s="120">
        <f t="shared" si="48"/>
        <v>0</v>
      </c>
      <c r="Q172" s="245">
        <f t="shared" si="48"/>
        <v>525223.41</v>
      </c>
    </row>
    <row r="173" spans="1:17" ht="12.75">
      <c r="A173" s="33" t="s">
        <v>26</v>
      </c>
      <c r="B173" s="98"/>
      <c r="C173" s="145"/>
      <c r="D173" s="114"/>
      <c r="E173" s="160"/>
      <c r="F173" s="189"/>
      <c r="G173" s="87"/>
      <c r="H173" s="7"/>
      <c r="I173" s="73"/>
      <c r="J173" s="28"/>
      <c r="K173" s="7"/>
      <c r="L173" s="73"/>
      <c r="M173" s="22"/>
      <c r="N173" s="7"/>
      <c r="O173" s="23"/>
      <c r="P173" s="81"/>
      <c r="Q173" s="79"/>
    </row>
    <row r="174" spans="1:17" ht="12.75">
      <c r="A174" s="39" t="s">
        <v>74</v>
      </c>
      <c r="B174" s="98"/>
      <c r="C174" s="145">
        <v>362078.95</v>
      </c>
      <c r="D174" s="114">
        <f>3980.63+15002.59</f>
        <v>18983.22</v>
      </c>
      <c r="E174" s="160"/>
      <c r="F174" s="189">
        <f aca="true" t="shared" si="49" ref="F174:F208">C174+D174+E174</f>
        <v>381062.17000000004</v>
      </c>
      <c r="G174" s="87"/>
      <c r="H174" s="7"/>
      <c r="I174" s="73">
        <f>F174+G174+H174</f>
        <v>381062.17000000004</v>
      </c>
      <c r="J174" s="28"/>
      <c r="K174" s="7"/>
      <c r="L174" s="73">
        <f>I174+J174+K174</f>
        <v>381062.17000000004</v>
      </c>
      <c r="M174" s="22"/>
      <c r="N174" s="7"/>
      <c r="O174" s="23">
        <f>L174+M174+N174</f>
        <v>381062.17000000004</v>
      </c>
      <c r="P174" s="81"/>
      <c r="Q174" s="79">
        <f t="shared" si="46"/>
        <v>381062.17000000004</v>
      </c>
    </row>
    <row r="175" spans="1:17" ht="12.75">
      <c r="A175" s="39" t="s">
        <v>294</v>
      </c>
      <c r="B175" s="98">
        <v>33353</v>
      </c>
      <c r="C175" s="145"/>
      <c r="D175" s="114">
        <f>8106896.7</f>
        <v>8106896.7</v>
      </c>
      <c r="E175" s="160"/>
      <c r="F175" s="189">
        <f t="shared" si="49"/>
        <v>8106896.7</v>
      </c>
      <c r="G175" s="87"/>
      <c r="H175" s="7"/>
      <c r="I175" s="73"/>
      <c r="J175" s="28"/>
      <c r="K175" s="7"/>
      <c r="L175" s="73"/>
      <c r="M175" s="22"/>
      <c r="N175" s="7"/>
      <c r="O175" s="23"/>
      <c r="P175" s="81"/>
      <c r="Q175" s="79"/>
    </row>
    <row r="176" spans="1:17" ht="12.75" hidden="1">
      <c r="A176" s="39" t="s">
        <v>83</v>
      </c>
      <c r="B176" s="98">
        <v>33353</v>
      </c>
      <c r="C176" s="145"/>
      <c r="D176" s="125"/>
      <c r="E176" s="160"/>
      <c r="F176" s="189">
        <f t="shared" si="49"/>
        <v>0</v>
      </c>
      <c r="G176" s="87"/>
      <c r="H176" s="7"/>
      <c r="I176" s="73">
        <f aca="true" t="shared" si="50" ref="I176:I208">F176+G176+H176</f>
        <v>0</v>
      </c>
      <c r="J176" s="28"/>
      <c r="K176" s="7"/>
      <c r="L176" s="73">
        <f aca="true" t="shared" si="51" ref="L176:L208">I176+J176+K176</f>
        <v>0</v>
      </c>
      <c r="M176" s="22"/>
      <c r="N176" s="7"/>
      <c r="O176" s="23">
        <f aca="true" t="shared" si="52" ref="O176:O208">L176+M176+N176</f>
        <v>0</v>
      </c>
      <c r="P176" s="81"/>
      <c r="Q176" s="79">
        <f t="shared" si="46"/>
        <v>0</v>
      </c>
    </row>
    <row r="177" spans="1:19" ht="13.5" hidden="1" thickBot="1">
      <c r="A177" s="255" t="s">
        <v>84</v>
      </c>
      <c r="B177" s="143">
        <v>33353</v>
      </c>
      <c r="C177" s="175"/>
      <c r="D177" s="144"/>
      <c r="E177" s="262"/>
      <c r="F177" s="195">
        <f t="shared" si="49"/>
        <v>0</v>
      </c>
      <c r="G177" s="87"/>
      <c r="H177" s="7"/>
      <c r="I177" s="73">
        <f t="shared" si="50"/>
        <v>0</v>
      </c>
      <c r="J177" s="28"/>
      <c r="K177" s="7"/>
      <c r="L177" s="73">
        <f t="shared" si="51"/>
        <v>0</v>
      </c>
      <c r="M177" s="22"/>
      <c r="N177" s="7"/>
      <c r="O177" s="23">
        <f t="shared" si="52"/>
        <v>0</v>
      </c>
      <c r="P177" s="81"/>
      <c r="Q177" s="79">
        <f t="shared" si="46"/>
        <v>0</v>
      </c>
      <c r="S177" s="70"/>
    </row>
    <row r="178" spans="1:17" ht="12.75">
      <c r="A178" s="39" t="s">
        <v>295</v>
      </c>
      <c r="B178" s="98">
        <v>33155</v>
      </c>
      <c r="C178" s="145"/>
      <c r="D178" s="125">
        <v>100779.32</v>
      </c>
      <c r="E178" s="160"/>
      <c r="F178" s="189">
        <f t="shared" si="49"/>
        <v>100779.32</v>
      </c>
      <c r="G178" s="87"/>
      <c r="H178" s="7"/>
      <c r="I178" s="73">
        <f t="shared" si="50"/>
        <v>100779.32</v>
      </c>
      <c r="J178" s="28"/>
      <c r="K178" s="7"/>
      <c r="L178" s="73">
        <f t="shared" si="51"/>
        <v>100779.32</v>
      </c>
      <c r="M178" s="22"/>
      <c r="N178" s="7"/>
      <c r="O178" s="23">
        <f t="shared" si="52"/>
        <v>100779.32</v>
      </c>
      <c r="P178" s="81"/>
      <c r="Q178" s="79">
        <f t="shared" si="46"/>
        <v>100779.32</v>
      </c>
    </row>
    <row r="179" spans="1:17" ht="12.75" hidden="1">
      <c r="A179" s="39" t="s">
        <v>85</v>
      </c>
      <c r="B179" s="98" t="s">
        <v>217</v>
      </c>
      <c r="C179" s="145"/>
      <c r="D179" s="114"/>
      <c r="E179" s="160"/>
      <c r="F179" s="189">
        <f t="shared" si="49"/>
        <v>0</v>
      </c>
      <c r="G179" s="87"/>
      <c r="H179" s="7"/>
      <c r="I179" s="73">
        <f t="shared" si="50"/>
        <v>0</v>
      </c>
      <c r="J179" s="28"/>
      <c r="K179" s="7"/>
      <c r="L179" s="73">
        <f t="shared" si="51"/>
        <v>0</v>
      </c>
      <c r="M179" s="22"/>
      <c r="N179" s="7"/>
      <c r="O179" s="23">
        <f t="shared" si="52"/>
        <v>0</v>
      </c>
      <c r="P179" s="81"/>
      <c r="Q179" s="79">
        <f t="shared" si="46"/>
        <v>0</v>
      </c>
    </row>
    <row r="180" spans="1:17" ht="12.75" hidden="1">
      <c r="A180" s="39" t="s">
        <v>140</v>
      </c>
      <c r="B180" s="98"/>
      <c r="C180" s="145"/>
      <c r="D180" s="114"/>
      <c r="E180" s="160"/>
      <c r="F180" s="189">
        <f t="shared" si="49"/>
        <v>0</v>
      </c>
      <c r="G180" s="87"/>
      <c r="H180" s="7"/>
      <c r="I180" s="73">
        <f t="shared" si="50"/>
        <v>0</v>
      </c>
      <c r="J180" s="28"/>
      <c r="K180" s="7"/>
      <c r="L180" s="73">
        <f t="shared" si="51"/>
        <v>0</v>
      </c>
      <c r="M180" s="22"/>
      <c r="N180" s="7"/>
      <c r="O180" s="23">
        <f t="shared" si="52"/>
        <v>0</v>
      </c>
      <c r="P180" s="81"/>
      <c r="Q180" s="79">
        <f t="shared" si="46"/>
        <v>0</v>
      </c>
    </row>
    <row r="181" spans="1:17" ht="12.75" hidden="1">
      <c r="A181" s="39" t="s">
        <v>214</v>
      </c>
      <c r="B181" s="98">
        <v>33215</v>
      </c>
      <c r="C181" s="145"/>
      <c r="D181" s="114"/>
      <c r="E181" s="160"/>
      <c r="F181" s="189">
        <f t="shared" si="49"/>
        <v>0</v>
      </c>
      <c r="G181" s="87"/>
      <c r="H181" s="7"/>
      <c r="I181" s="73">
        <f t="shared" si="50"/>
        <v>0</v>
      </c>
      <c r="J181" s="28"/>
      <c r="K181" s="7"/>
      <c r="L181" s="73">
        <f t="shared" si="51"/>
        <v>0</v>
      </c>
      <c r="M181" s="22"/>
      <c r="N181" s="7"/>
      <c r="O181" s="23">
        <f t="shared" si="52"/>
        <v>0</v>
      </c>
      <c r="P181" s="81"/>
      <c r="Q181" s="79">
        <f t="shared" si="46"/>
        <v>0</v>
      </c>
    </row>
    <row r="182" spans="1:17" ht="12.75" hidden="1">
      <c r="A182" s="39" t="s">
        <v>215</v>
      </c>
      <c r="B182" s="98">
        <v>33457</v>
      </c>
      <c r="C182" s="145"/>
      <c r="D182" s="114"/>
      <c r="E182" s="160"/>
      <c r="F182" s="189">
        <f t="shared" si="49"/>
        <v>0</v>
      </c>
      <c r="G182" s="87"/>
      <c r="H182" s="7"/>
      <c r="I182" s="73">
        <f t="shared" si="50"/>
        <v>0</v>
      </c>
      <c r="J182" s="28"/>
      <c r="K182" s="7"/>
      <c r="L182" s="73">
        <f t="shared" si="51"/>
        <v>0</v>
      </c>
      <c r="M182" s="22"/>
      <c r="N182" s="7"/>
      <c r="O182" s="23">
        <f t="shared" si="52"/>
        <v>0</v>
      </c>
      <c r="P182" s="81"/>
      <c r="Q182" s="79">
        <f t="shared" si="46"/>
        <v>0</v>
      </c>
    </row>
    <row r="183" spans="1:17" ht="12.75" hidden="1">
      <c r="A183" s="56" t="s">
        <v>196</v>
      </c>
      <c r="B183" s="98">
        <v>33052</v>
      </c>
      <c r="C183" s="145"/>
      <c r="D183" s="114"/>
      <c r="E183" s="160"/>
      <c r="F183" s="189">
        <f t="shared" si="49"/>
        <v>0</v>
      </c>
      <c r="G183" s="87"/>
      <c r="H183" s="7"/>
      <c r="I183" s="73">
        <f t="shared" si="50"/>
        <v>0</v>
      </c>
      <c r="J183" s="28"/>
      <c r="K183" s="7"/>
      <c r="L183" s="73">
        <f t="shared" si="51"/>
        <v>0</v>
      </c>
      <c r="M183" s="22"/>
      <c r="N183" s="7"/>
      <c r="O183" s="23">
        <f t="shared" si="52"/>
        <v>0</v>
      </c>
      <c r="P183" s="81"/>
      <c r="Q183" s="79">
        <f t="shared" si="46"/>
        <v>0</v>
      </c>
    </row>
    <row r="184" spans="1:17" ht="12.75" hidden="1">
      <c r="A184" s="56" t="s">
        <v>278</v>
      </c>
      <c r="B184" s="98">
        <v>33076</v>
      </c>
      <c r="C184" s="145"/>
      <c r="D184" s="114"/>
      <c r="E184" s="160"/>
      <c r="F184" s="189">
        <f t="shared" si="49"/>
        <v>0</v>
      </c>
      <c r="G184" s="87"/>
      <c r="H184" s="7"/>
      <c r="I184" s="73"/>
      <c r="J184" s="28"/>
      <c r="K184" s="7"/>
      <c r="L184" s="73"/>
      <c r="M184" s="22"/>
      <c r="N184" s="7"/>
      <c r="O184" s="23"/>
      <c r="P184" s="81"/>
      <c r="Q184" s="79"/>
    </row>
    <row r="185" spans="1:17" ht="12.75" hidden="1">
      <c r="A185" s="56" t="s">
        <v>232</v>
      </c>
      <c r="B185" s="98">
        <v>33069</v>
      </c>
      <c r="C185" s="145"/>
      <c r="D185" s="114"/>
      <c r="E185" s="160"/>
      <c r="F185" s="189">
        <f t="shared" si="49"/>
        <v>0</v>
      </c>
      <c r="G185" s="87"/>
      <c r="H185" s="7"/>
      <c r="I185" s="73"/>
      <c r="J185" s="28"/>
      <c r="K185" s="7"/>
      <c r="L185" s="73"/>
      <c r="M185" s="22"/>
      <c r="N185" s="7"/>
      <c r="O185" s="23"/>
      <c r="P185" s="81"/>
      <c r="Q185" s="79"/>
    </row>
    <row r="186" spans="1:17" ht="12.75" hidden="1">
      <c r="A186" s="56" t="s">
        <v>267</v>
      </c>
      <c r="B186" s="98">
        <v>33070</v>
      </c>
      <c r="C186" s="145"/>
      <c r="D186" s="114"/>
      <c r="E186" s="160"/>
      <c r="F186" s="189">
        <f t="shared" si="49"/>
        <v>0</v>
      </c>
      <c r="G186" s="87"/>
      <c r="H186" s="7"/>
      <c r="I186" s="73"/>
      <c r="J186" s="28"/>
      <c r="K186" s="7"/>
      <c r="L186" s="73"/>
      <c r="M186" s="22"/>
      <c r="N186" s="7"/>
      <c r="O186" s="23"/>
      <c r="P186" s="81"/>
      <c r="Q186" s="79"/>
    </row>
    <row r="187" spans="1:17" ht="12.75" hidden="1">
      <c r="A187" s="39" t="s">
        <v>259</v>
      </c>
      <c r="B187" s="98">
        <v>33071</v>
      </c>
      <c r="C187" s="145"/>
      <c r="D187" s="114"/>
      <c r="E187" s="160"/>
      <c r="F187" s="189">
        <f t="shared" si="49"/>
        <v>0</v>
      </c>
      <c r="G187" s="87"/>
      <c r="H187" s="7"/>
      <c r="I187" s="73">
        <f t="shared" si="50"/>
        <v>0</v>
      </c>
      <c r="J187" s="28"/>
      <c r="K187" s="7"/>
      <c r="L187" s="73">
        <f t="shared" si="51"/>
        <v>0</v>
      </c>
      <c r="M187" s="22"/>
      <c r="N187" s="7"/>
      <c r="O187" s="23">
        <f t="shared" si="52"/>
        <v>0</v>
      </c>
      <c r="P187" s="81"/>
      <c r="Q187" s="79">
        <f t="shared" si="46"/>
        <v>0</v>
      </c>
    </row>
    <row r="188" spans="1:17" ht="12.75" hidden="1">
      <c r="A188" s="39" t="s">
        <v>197</v>
      </c>
      <c r="B188" s="98">
        <v>33050</v>
      </c>
      <c r="C188" s="145"/>
      <c r="D188" s="114"/>
      <c r="E188" s="160"/>
      <c r="F188" s="189">
        <f t="shared" si="49"/>
        <v>0</v>
      </c>
      <c r="G188" s="87"/>
      <c r="H188" s="7"/>
      <c r="I188" s="73"/>
      <c r="J188" s="28"/>
      <c r="K188" s="7"/>
      <c r="L188" s="73">
        <f t="shared" si="51"/>
        <v>0</v>
      </c>
      <c r="M188" s="22"/>
      <c r="N188" s="7"/>
      <c r="O188" s="23">
        <f t="shared" si="52"/>
        <v>0</v>
      </c>
      <c r="P188" s="81"/>
      <c r="Q188" s="79">
        <f t="shared" si="46"/>
        <v>0</v>
      </c>
    </row>
    <row r="189" spans="1:17" ht="12.75" hidden="1">
      <c r="A189" s="39" t="s">
        <v>152</v>
      </c>
      <c r="B189" s="98">
        <v>33435</v>
      </c>
      <c r="C189" s="145"/>
      <c r="D189" s="114"/>
      <c r="E189" s="160"/>
      <c r="F189" s="189">
        <f t="shared" si="49"/>
        <v>0</v>
      </c>
      <c r="G189" s="87"/>
      <c r="H189" s="7"/>
      <c r="I189" s="73">
        <f t="shared" si="50"/>
        <v>0</v>
      </c>
      <c r="J189" s="28"/>
      <c r="K189" s="7"/>
      <c r="L189" s="73">
        <f t="shared" si="51"/>
        <v>0</v>
      </c>
      <c r="M189" s="22"/>
      <c r="N189" s="7"/>
      <c r="O189" s="23">
        <f t="shared" si="52"/>
        <v>0</v>
      </c>
      <c r="P189" s="81"/>
      <c r="Q189" s="79">
        <f t="shared" si="46"/>
        <v>0</v>
      </c>
    </row>
    <row r="190" spans="1:17" ht="12.75" hidden="1">
      <c r="A190" s="39" t="s">
        <v>220</v>
      </c>
      <c r="B190" s="98">
        <v>33049</v>
      </c>
      <c r="C190" s="145"/>
      <c r="D190" s="114"/>
      <c r="E190" s="160"/>
      <c r="F190" s="189">
        <f t="shared" si="49"/>
        <v>0</v>
      </c>
      <c r="G190" s="87"/>
      <c r="H190" s="7"/>
      <c r="I190" s="73"/>
      <c r="J190" s="28"/>
      <c r="K190" s="7"/>
      <c r="L190" s="73"/>
      <c r="M190" s="22"/>
      <c r="N190" s="7"/>
      <c r="O190" s="23"/>
      <c r="P190" s="81"/>
      <c r="Q190" s="79"/>
    </row>
    <row r="191" spans="1:17" ht="12.75" hidden="1">
      <c r="A191" s="39" t="s">
        <v>198</v>
      </c>
      <c r="B191" s="98">
        <v>33044</v>
      </c>
      <c r="C191" s="145"/>
      <c r="D191" s="114"/>
      <c r="E191" s="160"/>
      <c r="F191" s="189">
        <f t="shared" si="49"/>
        <v>0</v>
      </c>
      <c r="G191" s="87"/>
      <c r="H191" s="7"/>
      <c r="I191" s="73"/>
      <c r="J191" s="28"/>
      <c r="K191" s="7"/>
      <c r="L191" s="73">
        <f t="shared" si="51"/>
        <v>0</v>
      </c>
      <c r="M191" s="22"/>
      <c r="N191" s="7"/>
      <c r="O191" s="23">
        <f t="shared" si="52"/>
        <v>0</v>
      </c>
      <c r="P191" s="81"/>
      <c r="Q191" s="79">
        <f t="shared" si="46"/>
        <v>0</v>
      </c>
    </row>
    <row r="192" spans="1:17" ht="12.75" hidden="1">
      <c r="A192" s="39" t="s">
        <v>203</v>
      </c>
      <c r="B192" s="98">
        <v>33024</v>
      </c>
      <c r="C192" s="145"/>
      <c r="D192" s="114"/>
      <c r="E192" s="160"/>
      <c r="F192" s="189">
        <f t="shared" si="49"/>
        <v>0</v>
      </c>
      <c r="G192" s="87"/>
      <c r="H192" s="7"/>
      <c r="I192" s="73"/>
      <c r="J192" s="28"/>
      <c r="K192" s="7"/>
      <c r="L192" s="73"/>
      <c r="M192" s="22"/>
      <c r="N192" s="7"/>
      <c r="O192" s="23"/>
      <c r="P192" s="81"/>
      <c r="Q192" s="79"/>
    </row>
    <row r="193" spans="1:17" ht="12.75" hidden="1">
      <c r="A193" s="56" t="s">
        <v>157</v>
      </c>
      <c r="B193" s="98">
        <v>33018</v>
      </c>
      <c r="C193" s="145"/>
      <c r="D193" s="114"/>
      <c r="E193" s="160"/>
      <c r="F193" s="189">
        <f t="shared" si="49"/>
        <v>0</v>
      </c>
      <c r="G193" s="87"/>
      <c r="H193" s="7"/>
      <c r="I193" s="73"/>
      <c r="J193" s="28"/>
      <c r="K193" s="7"/>
      <c r="L193" s="73">
        <f t="shared" si="51"/>
        <v>0</v>
      </c>
      <c r="M193" s="22"/>
      <c r="N193" s="7"/>
      <c r="O193" s="23">
        <f t="shared" si="52"/>
        <v>0</v>
      </c>
      <c r="P193" s="81"/>
      <c r="Q193" s="79">
        <f t="shared" si="46"/>
        <v>0</v>
      </c>
    </row>
    <row r="194" spans="1:17" ht="12.75" hidden="1">
      <c r="A194" s="37" t="s">
        <v>158</v>
      </c>
      <c r="B194" s="98"/>
      <c r="C194" s="145"/>
      <c r="D194" s="114"/>
      <c r="E194" s="160"/>
      <c r="F194" s="189">
        <f t="shared" si="49"/>
        <v>0</v>
      </c>
      <c r="G194" s="87"/>
      <c r="H194" s="7"/>
      <c r="I194" s="73"/>
      <c r="J194" s="28"/>
      <c r="K194" s="7"/>
      <c r="L194" s="73">
        <f t="shared" si="51"/>
        <v>0</v>
      </c>
      <c r="M194" s="22"/>
      <c r="N194" s="7"/>
      <c r="O194" s="23">
        <f t="shared" si="52"/>
        <v>0</v>
      </c>
      <c r="P194" s="81"/>
      <c r="Q194" s="79">
        <f t="shared" si="46"/>
        <v>0</v>
      </c>
    </row>
    <row r="195" spans="1:17" ht="12.75" hidden="1">
      <c r="A195" s="56" t="s">
        <v>177</v>
      </c>
      <c r="B195" s="98">
        <v>33160</v>
      </c>
      <c r="C195" s="145"/>
      <c r="D195" s="114"/>
      <c r="E195" s="160"/>
      <c r="F195" s="189">
        <f t="shared" si="49"/>
        <v>0</v>
      </c>
      <c r="G195" s="87"/>
      <c r="H195" s="7"/>
      <c r="I195" s="73">
        <f t="shared" si="50"/>
        <v>0</v>
      </c>
      <c r="J195" s="28"/>
      <c r="K195" s="7"/>
      <c r="L195" s="73">
        <f t="shared" si="51"/>
        <v>0</v>
      </c>
      <c r="M195" s="22"/>
      <c r="N195" s="7"/>
      <c r="O195" s="23">
        <f t="shared" si="52"/>
        <v>0</v>
      </c>
      <c r="P195" s="81"/>
      <c r="Q195" s="79">
        <f t="shared" si="46"/>
        <v>0</v>
      </c>
    </row>
    <row r="196" spans="1:17" ht="12.75" hidden="1">
      <c r="A196" s="39" t="s">
        <v>145</v>
      </c>
      <c r="B196" s="98"/>
      <c r="C196" s="145"/>
      <c r="D196" s="114"/>
      <c r="E196" s="160"/>
      <c r="F196" s="189">
        <f t="shared" si="49"/>
        <v>0</v>
      </c>
      <c r="G196" s="87"/>
      <c r="H196" s="7"/>
      <c r="I196" s="73">
        <f t="shared" si="50"/>
        <v>0</v>
      </c>
      <c r="J196" s="28"/>
      <c r="K196" s="7"/>
      <c r="L196" s="73">
        <f t="shared" si="51"/>
        <v>0</v>
      </c>
      <c r="M196" s="22"/>
      <c r="N196" s="7"/>
      <c r="O196" s="23">
        <f t="shared" si="52"/>
        <v>0</v>
      </c>
      <c r="P196" s="81"/>
      <c r="Q196" s="79">
        <f t="shared" si="46"/>
        <v>0</v>
      </c>
    </row>
    <row r="197" spans="1:17" ht="12.75" hidden="1">
      <c r="A197" s="56" t="s">
        <v>135</v>
      </c>
      <c r="B197" s="98"/>
      <c r="C197" s="145"/>
      <c r="D197" s="114"/>
      <c r="E197" s="160"/>
      <c r="F197" s="189">
        <f t="shared" si="49"/>
        <v>0</v>
      </c>
      <c r="G197" s="87"/>
      <c r="H197" s="7"/>
      <c r="I197" s="73">
        <f t="shared" si="50"/>
        <v>0</v>
      </c>
      <c r="J197" s="28"/>
      <c r="K197" s="7"/>
      <c r="L197" s="73">
        <f t="shared" si="51"/>
        <v>0</v>
      </c>
      <c r="M197" s="22"/>
      <c r="N197" s="7"/>
      <c r="O197" s="23">
        <f t="shared" si="52"/>
        <v>0</v>
      </c>
      <c r="P197" s="81"/>
      <c r="Q197" s="79">
        <f t="shared" si="46"/>
        <v>0</v>
      </c>
    </row>
    <row r="198" spans="1:17" ht="12.75" hidden="1">
      <c r="A198" s="56" t="s">
        <v>144</v>
      </c>
      <c r="B198" s="98"/>
      <c r="C198" s="145"/>
      <c r="D198" s="114"/>
      <c r="E198" s="160"/>
      <c r="F198" s="189">
        <f t="shared" si="49"/>
        <v>0</v>
      </c>
      <c r="G198" s="87"/>
      <c r="H198" s="7"/>
      <c r="I198" s="73">
        <f t="shared" si="50"/>
        <v>0</v>
      </c>
      <c r="J198" s="28"/>
      <c r="K198" s="7"/>
      <c r="L198" s="73">
        <f t="shared" si="51"/>
        <v>0</v>
      </c>
      <c r="M198" s="22"/>
      <c r="N198" s="7"/>
      <c r="O198" s="23">
        <f t="shared" si="52"/>
        <v>0</v>
      </c>
      <c r="P198" s="81"/>
      <c r="Q198" s="79">
        <f t="shared" si="46"/>
        <v>0</v>
      </c>
    </row>
    <row r="199" spans="1:17" ht="12.75" hidden="1">
      <c r="A199" s="39" t="s">
        <v>86</v>
      </c>
      <c r="B199" s="98">
        <v>33025</v>
      </c>
      <c r="C199" s="145"/>
      <c r="D199" s="114"/>
      <c r="E199" s="160"/>
      <c r="F199" s="189">
        <f t="shared" si="49"/>
        <v>0</v>
      </c>
      <c r="G199" s="87"/>
      <c r="H199" s="7"/>
      <c r="I199" s="73">
        <f t="shared" si="50"/>
        <v>0</v>
      </c>
      <c r="J199" s="28"/>
      <c r="K199" s="7"/>
      <c r="L199" s="73">
        <f t="shared" si="51"/>
        <v>0</v>
      </c>
      <c r="M199" s="22"/>
      <c r="N199" s="7"/>
      <c r="O199" s="23">
        <f t="shared" si="52"/>
        <v>0</v>
      </c>
      <c r="P199" s="81"/>
      <c r="Q199" s="79">
        <f t="shared" si="46"/>
        <v>0</v>
      </c>
    </row>
    <row r="200" spans="1:17" ht="12.75" hidden="1">
      <c r="A200" s="39" t="s">
        <v>166</v>
      </c>
      <c r="B200" s="98">
        <v>33038</v>
      </c>
      <c r="C200" s="145"/>
      <c r="D200" s="114"/>
      <c r="E200" s="160"/>
      <c r="F200" s="189">
        <f t="shared" si="49"/>
        <v>0</v>
      </c>
      <c r="G200" s="87"/>
      <c r="H200" s="7"/>
      <c r="I200" s="73">
        <f t="shared" si="50"/>
        <v>0</v>
      </c>
      <c r="J200" s="28"/>
      <c r="K200" s="7"/>
      <c r="L200" s="73">
        <f t="shared" si="51"/>
        <v>0</v>
      </c>
      <c r="M200" s="22"/>
      <c r="N200" s="7"/>
      <c r="O200" s="23">
        <f t="shared" si="52"/>
        <v>0</v>
      </c>
      <c r="P200" s="81"/>
      <c r="Q200" s="79">
        <f t="shared" si="46"/>
        <v>0</v>
      </c>
    </row>
    <row r="201" spans="1:17" ht="12.75">
      <c r="A201" s="39" t="s">
        <v>279</v>
      </c>
      <c r="B201" s="98">
        <v>33063</v>
      </c>
      <c r="C201" s="145"/>
      <c r="D201" s="114">
        <f>10991.83+1658.34</f>
        <v>12650.17</v>
      </c>
      <c r="E201" s="160"/>
      <c r="F201" s="189">
        <f t="shared" si="49"/>
        <v>12650.17</v>
      </c>
      <c r="G201" s="87"/>
      <c r="H201" s="7"/>
      <c r="I201" s="73"/>
      <c r="J201" s="28"/>
      <c r="K201" s="7"/>
      <c r="L201" s="73"/>
      <c r="M201" s="22"/>
      <c r="N201" s="7"/>
      <c r="O201" s="23"/>
      <c r="P201" s="81"/>
      <c r="Q201" s="79"/>
    </row>
    <row r="202" spans="1:17" ht="12.75" hidden="1">
      <c r="A202" s="39" t="s">
        <v>272</v>
      </c>
      <c r="B202" s="98" t="s">
        <v>273</v>
      </c>
      <c r="C202" s="145"/>
      <c r="D202" s="114"/>
      <c r="E202" s="160"/>
      <c r="F202" s="189">
        <f t="shared" si="49"/>
        <v>0</v>
      </c>
      <c r="G202" s="87"/>
      <c r="H202" s="7"/>
      <c r="I202" s="73"/>
      <c r="J202" s="28"/>
      <c r="K202" s="7"/>
      <c r="L202" s="73"/>
      <c r="M202" s="22"/>
      <c r="N202" s="7"/>
      <c r="O202" s="23"/>
      <c r="P202" s="81"/>
      <c r="Q202" s="79"/>
    </row>
    <row r="203" spans="1:17" ht="12.75">
      <c r="A203" s="39" t="s">
        <v>312</v>
      </c>
      <c r="B203" s="98">
        <v>2054</v>
      </c>
      <c r="C203" s="145"/>
      <c r="D203" s="114">
        <f>183.89</f>
        <v>183.89</v>
      </c>
      <c r="E203" s="160"/>
      <c r="F203" s="189">
        <f t="shared" si="49"/>
        <v>183.89</v>
      </c>
      <c r="G203" s="87"/>
      <c r="H203" s="7"/>
      <c r="I203" s="73"/>
      <c r="J203" s="28"/>
      <c r="K203" s="7"/>
      <c r="L203" s="73"/>
      <c r="M203" s="22"/>
      <c r="N203" s="7"/>
      <c r="O203" s="23"/>
      <c r="P203" s="81"/>
      <c r="Q203" s="79"/>
    </row>
    <row r="204" spans="1:17" ht="12.75">
      <c r="A204" s="39" t="s">
        <v>317</v>
      </c>
      <c r="B204" s="98">
        <v>2054</v>
      </c>
      <c r="C204" s="145"/>
      <c r="D204" s="114">
        <f>1744.74</f>
        <v>1744.74</v>
      </c>
      <c r="E204" s="160"/>
      <c r="F204" s="189">
        <f t="shared" si="49"/>
        <v>1744.74</v>
      </c>
      <c r="G204" s="87"/>
      <c r="H204" s="7"/>
      <c r="I204" s="73"/>
      <c r="J204" s="28"/>
      <c r="K204" s="7"/>
      <c r="L204" s="73"/>
      <c r="M204" s="22"/>
      <c r="N204" s="7"/>
      <c r="O204" s="23"/>
      <c r="P204" s="81"/>
      <c r="Q204" s="79"/>
    </row>
    <row r="205" spans="1:17" ht="12.75">
      <c r="A205" s="39" t="s">
        <v>313</v>
      </c>
      <c r="B205" s="98">
        <v>2066</v>
      </c>
      <c r="C205" s="145"/>
      <c r="D205" s="114">
        <f>636.23</f>
        <v>636.23</v>
      </c>
      <c r="E205" s="160"/>
      <c r="F205" s="189">
        <f t="shared" si="49"/>
        <v>636.23</v>
      </c>
      <c r="G205" s="87"/>
      <c r="H205" s="7"/>
      <c r="I205" s="73">
        <f t="shared" si="50"/>
        <v>636.23</v>
      </c>
      <c r="J205" s="28"/>
      <c r="K205" s="7"/>
      <c r="L205" s="73">
        <f t="shared" si="51"/>
        <v>636.23</v>
      </c>
      <c r="M205" s="22"/>
      <c r="N205" s="7"/>
      <c r="O205" s="23">
        <f t="shared" si="52"/>
        <v>636.23</v>
      </c>
      <c r="P205" s="81"/>
      <c r="Q205" s="79">
        <f t="shared" si="46"/>
        <v>636.23</v>
      </c>
    </row>
    <row r="206" spans="1:17" ht="12.75" hidden="1">
      <c r="A206" s="39" t="s">
        <v>284</v>
      </c>
      <c r="B206" s="98">
        <v>2066</v>
      </c>
      <c r="C206" s="145"/>
      <c r="D206" s="114"/>
      <c r="E206" s="160"/>
      <c r="F206" s="189">
        <f t="shared" si="49"/>
        <v>0</v>
      </c>
      <c r="G206" s="87"/>
      <c r="H206" s="7"/>
      <c r="I206" s="73"/>
      <c r="J206" s="28"/>
      <c r="K206" s="7"/>
      <c r="L206" s="73"/>
      <c r="M206" s="22"/>
      <c r="N206" s="7"/>
      <c r="O206" s="23"/>
      <c r="P206" s="81"/>
      <c r="Q206" s="79"/>
    </row>
    <row r="207" spans="1:17" ht="12.75">
      <c r="A207" s="39" t="s">
        <v>77</v>
      </c>
      <c r="B207" s="232" t="s">
        <v>270</v>
      </c>
      <c r="C207" s="145"/>
      <c r="D207" s="114">
        <f>213.18+6902+349.03+6964.2</f>
        <v>14428.41</v>
      </c>
      <c r="E207" s="160"/>
      <c r="F207" s="189">
        <f t="shared" si="49"/>
        <v>14428.41</v>
      </c>
      <c r="G207" s="87"/>
      <c r="H207" s="7"/>
      <c r="I207" s="73">
        <f t="shared" si="50"/>
        <v>14428.41</v>
      </c>
      <c r="J207" s="28"/>
      <c r="K207" s="7"/>
      <c r="L207" s="73">
        <f t="shared" si="51"/>
        <v>14428.41</v>
      </c>
      <c r="M207" s="31"/>
      <c r="N207" s="7"/>
      <c r="O207" s="23">
        <f t="shared" si="52"/>
        <v>14428.41</v>
      </c>
      <c r="P207" s="81"/>
      <c r="Q207" s="79">
        <f t="shared" si="46"/>
        <v>14428.41</v>
      </c>
    </row>
    <row r="208" spans="1:17" ht="12.75">
      <c r="A208" s="39" t="s">
        <v>51</v>
      </c>
      <c r="B208" s="98"/>
      <c r="C208" s="145">
        <v>38783.07</v>
      </c>
      <c r="D208" s="114">
        <f>-4500+1190.66-12156.45+5000</f>
        <v>-10465.79</v>
      </c>
      <c r="E208" s="160"/>
      <c r="F208" s="189">
        <f t="shared" si="49"/>
        <v>28317.28</v>
      </c>
      <c r="G208" s="87"/>
      <c r="H208" s="7"/>
      <c r="I208" s="73">
        <f t="shared" si="50"/>
        <v>28317.28</v>
      </c>
      <c r="J208" s="28"/>
      <c r="K208" s="7"/>
      <c r="L208" s="73">
        <f t="shared" si="51"/>
        <v>28317.28</v>
      </c>
      <c r="M208" s="31"/>
      <c r="N208" s="7"/>
      <c r="O208" s="23">
        <f t="shared" si="52"/>
        <v>28317.28</v>
      </c>
      <c r="P208" s="81"/>
      <c r="Q208" s="79">
        <f t="shared" si="46"/>
        <v>28317.28</v>
      </c>
    </row>
    <row r="209" spans="1:17" ht="12.75">
      <c r="A209" s="42" t="s">
        <v>54</v>
      </c>
      <c r="B209" s="102"/>
      <c r="C209" s="174">
        <f>SUM(C211:C217)</f>
        <v>740</v>
      </c>
      <c r="D209" s="124">
        <f aca="true" t="shared" si="53" ref="D209:Q209">SUM(D211:D217)</f>
        <v>540.64</v>
      </c>
      <c r="E209" s="164">
        <f t="shared" si="53"/>
        <v>0</v>
      </c>
      <c r="F209" s="194">
        <f t="shared" si="53"/>
        <v>1280.6399999999999</v>
      </c>
      <c r="G209" s="211">
        <f t="shared" si="53"/>
        <v>0</v>
      </c>
      <c r="H209" s="124">
        <f t="shared" si="53"/>
        <v>0</v>
      </c>
      <c r="I209" s="164">
        <f t="shared" si="53"/>
        <v>1280.6399999999999</v>
      </c>
      <c r="J209" s="174">
        <f t="shared" si="53"/>
        <v>0</v>
      </c>
      <c r="K209" s="124">
        <f t="shared" si="53"/>
        <v>0</v>
      </c>
      <c r="L209" s="164">
        <f t="shared" si="53"/>
        <v>1280.6399999999999</v>
      </c>
      <c r="M209" s="123">
        <f t="shared" si="53"/>
        <v>0</v>
      </c>
      <c r="N209" s="123">
        <f t="shared" si="53"/>
        <v>0</v>
      </c>
      <c r="O209" s="123">
        <f t="shared" si="53"/>
        <v>1280.6399999999999</v>
      </c>
      <c r="P209" s="123">
        <f t="shared" si="53"/>
        <v>0</v>
      </c>
      <c r="Q209" s="246">
        <f t="shared" si="53"/>
        <v>1280.6399999999999</v>
      </c>
    </row>
    <row r="210" spans="1:17" ht="12.75">
      <c r="A210" s="37" t="s">
        <v>26</v>
      </c>
      <c r="B210" s="98"/>
      <c r="C210" s="145"/>
      <c r="D210" s="114"/>
      <c r="E210" s="160"/>
      <c r="F210" s="189"/>
      <c r="G210" s="87"/>
      <c r="H210" s="7"/>
      <c r="I210" s="69"/>
      <c r="J210" s="28"/>
      <c r="K210" s="7"/>
      <c r="L210" s="69"/>
      <c r="M210" s="22"/>
      <c r="N210" s="7"/>
      <c r="O210" s="21"/>
      <c r="P210" s="81"/>
      <c r="Q210" s="79"/>
    </row>
    <row r="211" spans="1:17" ht="12.75">
      <c r="A211" s="39" t="s">
        <v>87</v>
      </c>
      <c r="B211" s="98"/>
      <c r="C211" s="145">
        <v>740</v>
      </c>
      <c r="D211" s="114">
        <f>519.37</f>
        <v>519.37</v>
      </c>
      <c r="E211" s="160"/>
      <c r="F211" s="189">
        <f aca="true" t="shared" si="54" ref="F211:F217">C211+D211+E211</f>
        <v>1259.37</v>
      </c>
      <c r="G211" s="87"/>
      <c r="H211" s="7"/>
      <c r="I211" s="73">
        <f>F211+G211+H211</f>
        <v>1259.37</v>
      </c>
      <c r="J211" s="28"/>
      <c r="K211" s="7"/>
      <c r="L211" s="73">
        <f>I211+J211+K211</f>
        <v>1259.37</v>
      </c>
      <c r="M211" s="22"/>
      <c r="N211" s="7"/>
      <c r="O211" s="23">
        <f>L211+M211+N211</f>
        <v>1259.37</v>
      </c>
      <c r="P211" s="81"/>
      <c r="Q211" s="79">
        <f t="shared" si="46"/>
        <v>1259.37</v>
      </c>
    </row>
    <row r="212" spans="1:17" ht="12.75" hidden="1">
      <c r="A212" s="39" t="s">
        <v>272</v>
      </c>
      <c r="B212" s="98" t="s">
        <v>274</v>
      </c>
      <c r="C212" s="145"/>
      <c r="D212" s="114"/>
      <c r="E212" s="160"/>
      <c r="F212" s="189">
        <f t="shared" si="54"/>
        <v>0</v>
      </c>
      <c r="G212" s="87"/>
      <c r="H212" s="7"/>
      <c r="I212" s="73"/>
      <c r="J212" s="28"/>
      <c r="K212" s="7"/>
      <c r="L212" s="73"/>
      <c r="M212" s="22"/>
      <c r="N212" s="7"/>
      <c r="O212" s="23"/>
      <c r="P212" s="81"/>
      <c r="Q212" s="79"/>
    </row>
    <row r="213" spans="1:17" ht="12.75" hidden="1">
      <c r="A213" s="39" t="s">
        <v>284</v>
      </c>
      <c r="B213" s="98"/>
      <c r="C213" s="145"/>
      <c r="D213" s="114"/>
      <c r="E213" s="160"/>
      <c r="F213" s="189">
        <f t="shared" si="54"/>
        <v>0</v>
      </c>
      <c r="G213" s="87"/>
      <c r="H213" s="7"/>
      <c r="I213" s="73"/>
      <c r="J213" s="28"/>
      <c r="K213" s="7"/>
      <c r="L213" s="73"/>
      <c r="M213" s="22"/>
      <c r="N213" s="7"/>
      <c r="O213" s="23"/>
      <c r="P213" s="81"/>
      <c r="Q213" s="79"/>
    </row>
    <row r="214" spans="1:17" ht="12.75" hidden="1">
      <c r="A214" s="39" t="s">
        <v>69</v>
      </c>
      <c r="B214" s="98"/>
      <c r="C214" s="145"/>
      <c r="D214" s="114"/>
      <c r="E214" s="160"/>
      <c r="F214" s="189">
        <f t="shared" si="54"/>
        <v>0</v>
      </c>
      <c r="G214" s="87"/>
      <c r="H214" s="7"/>
      <c r="I214" s="73">
        <f>F214+G214+H214</f>
        <v>0</v>
      </c>
      <c r="J214" s="28"/>
      <c r="K214" s="7"/>
      <c r="L214" s="73">
        <f>I214+J214+K214</f>
        <v>0</v>
      </c>
      <c r="M214" s="22"/>
      <c r="N214" s="7"/>
      <c r="O214" s="23">
        <f>L214+M214+N214</f>
        <v>0</v>
      </c>
      <c r="P214" s="81"/>
      <c r="Q214" s="79">
        <f t="shared" si="46"/>
        <v>0</v>
      </c>
    </row>
    <row r="215" spans="1:17" ht="12.75" hidden="1">
      <c r="A215" s="39" t="s">
        <v>88</v>
      </c>
      <c r="B215" s="98"/>
      <c r="C215" s="145"/>
      <c r="D215" s="114"/>
      <c r="E215" s="160"/>
      <c r="F215" s="189">
        <f t="shared" si="54"/>
        <v>0</v>
      </c>
      <c r="G215" s="87"/>
      <c r="H215" s="7"/>
      <c r="I215" s="73">
        <f>F215+G215+H215</f>
        <v>0</v>
      </c>
      <c r="J215" s="28"/>
      <c r="K215" s="7"/>
      <c r="L215" s="73">
        <f>I215+J215+K215</f>
        <v>0</v>
      </c>
      <c r="M215" s="22"/>
      <c r="N215" s="7"/>
      <c r="O215" s="23">
        <f>L215+M215+N215</f>
        <v>0</v>
      </c>
      <c r="P215" s="81"/>
      <c r="Q215" s="79">
        <f t="shared" si="46"/>
        <v>0</v>
      </c>
    </row>
    <row r="216" spans="1:17" ht="12.75" hidden="1">
      <c r="A216" s="39" t="s">
        <v>55</v>
      </c>
      <c r="B216" s="98"/>
      <c r="C216" s="145"/>
      <c r="D216" s="114"/>
      <c r="E216" s="160"/>
      <c r="F216" s="189">
        <f t="shared" si="54"/>
        <v>0</v>
      </c>
      <c r="G216" s="87"/>
      <c r="H216" s="7"/>
      <c r="I216" s="73">
        <f>F216+G216+H216</f>
        <v>0</v>
      </c>
      <c r="J216" s="28"/>
      <c r="K216" s="9"/>
      <c r="L216" s="73">
        <f>I216+J216+K216</f>
        <v>0</v>
      </c>
      <c r="M216" s="22"/>
      <c r="N216" s="7"/>
      <c r="O216" s="23">
        <f>L216+M216+N216</f>
        <v>0</v>
      </c>
      <c r="P216" s="81"/>
      <c r="Q216" s="79">
        <f t="shared" si="46"/>
        <v>0</v>
      </c>
    </row>
    <row r="217" spans="1:17" ht="12.75">
      <c r="A217" s="46" t="s">
        <v>77</v>
      </c>
      <c r="B217" s="101"/>
      <c r="C217" s="173"/>
      <c r="D217" s="122">
        <f>21.27</f>
        <v>21.27</v>
      </c>
      <c r="E217" s="261"/>
      <c r="F217" s="193">
        <f t="shared" si="54"/>
        <v>21.27</v>
      </c>
      <c r="G217" s="212"/>
      <c r="H217" s="10"/>
      <c r="I217" s="72">
        <f>F217+G217+H217</f>
        <v>21.27</v>
      </c>
      <c r="J217" s="227"/>
      <c r="K217" s="68"/>
      <c r="L217" s="72">
        <f>I217+J217+K217</f>
        <v>21.27</v>
      </c>
      <c r="M217" s="26"/>
      <c r="N217" s="10"/>
      <c r="O217" s="27">
        <f>L217+M217+N217</f>
        <v>21.27</v>
      </c>
      <c r="P217" s="84"/>
      <c r="Q217" s="85">
        <f t="shared" si="46"/>
        <v>21.27</v>
      </c>
    </row>
    <row r="218" spans="1:17" ht="12.75">
      <c r="A218" s="32" t="s">
        <v>89</v>
      </c>
      <c r="B218" s="102"/>
      <c r="C218" s="152">
        <f aca="true" t="shared" si="55" ref="C218:Q218">C219+C230</f>
        <v>644136.8</v>
      </c>
      <c r="D218" s="113">
        <f t="shared" si="55"/>
        <v>59414.100000000006</v>
      </c>
      <c r="E218" s="136">
        <f t="shared" si="55"/>
        <v>0</v>
      </c>
      <c r="F218" s="167">
        <f t="shared" si="55"/>
        <v>703550.9</v>
      </c>
      <c r="G218" s="153">
        <f t="shared" si="55"/>
        <v>0</v>
      </c>
      <c r="H218" s="113">
        <f t="shared" si="55"/>
        <v>0</v>
      </c>
      <c r="I218" s="136">
        <f t="shared" si="55"/>
        <v>665700.13</v>
      </c>
      <c r="J218" s="152">
        <f t="shared" si="55"/>
        <v>0</v>
      </c>
      <c r="K218" s="113">
        <f t="shared" si="55"/>
        <v>0</v>
      </c>
      <c r="L218" s="136">
        <f t="shared" si="55"/>
        <v>665700.13</v>
      </c>
      <c r="M218" s="112">
        <f t="shared" si="55"/>
        <v>0</v>
      </c>
      <c r="N218" s="112">
        <f t="shared" si="55"/>
        <v>0</v>
      </c>
      <c r="O218" s="112">
        <f t="shared" si="55"/>
        <v>665700.13</v>
      </c>
      <c r="P218" s="112">
        <f t="shared" si="55"/>
        <v>0</v>
      </c>
      <c r="Q218" s="240">
        <f t="shared" si="55"/>
        <v>665700.13</v>
      </c>
    </row>
    <row r="219" spans="1:17" ht="12.75">
      <c r="A219" s="41" t="s">
        <v>49</v>
      </c>
      <c r="B219" s="102"/>
      <c r="C219" s="172">
        <f aca="true" t="shared" si="56" ref="C219:Q219">SUM(C221:C229)</f>
        <v>644136.8</v>
      </c>
      <c r="D219" s="121">
        <f t="shared" si="56"/>
        <v>51563.33</v>
      </c>
      <c r="E219" s="163">
        <f t="shared" si="56"/>
        <v>0</v>
      </c>
      <c r="F219" s="192">
        <f t="shared" si="56"/>
        <v>695700.13</v>
      </c>
      <c r="G219" s="210">
        <f t="shared" si="56"/>
        <v>0</v>
      </c>
      <c r="H219" s="121">
        <f t="shared" si="56"/>
        <v>0</v>
      </c>
      <c r="I219" s="163">
        <f t="shared" si="56"/>
        <v>665700.13</v>
      </c>
      <c r="J219" s="172">
        <f t="shared" si="56"/>
        <v>0</v>
      </c>
      <c r="K219" s="121">
        <f t="shared" si="56"/>
        <v>0</v>
      </c>
      <c r="L219" s="163">
        <f t="shared" si="56"/>
        <v>665700.13</v>
      </c>
      <c r="M219" s="120">
        <f t="shared" si="56"/>
        <v>0</v>
      </c>
      <c r="N219" s="120">
        <f t="shared" si="56"/>
        <v>0</v>
      </c>
      <c r="O219" s="120">
        <f t="shared" si="56"/>
        <v>665700.13</v>
      </c>
      <c r="P219" s="120">
        <f t="shared" si="56"/>
        <v>0</v>
      </c>
      <c r="Q219" s="245">
        <f t="shared" si="56"/>
        <v>665700.13</v>
      </c>
    </row>
    <row r="220" spans="1:17" ht="12.75">
      <c r="A220" s="37" t="s">
        <v>26</v>
      </c>
      <c r="B220" s="98"/>
      <c r="C220" s="145"/>
      <c r="D220" s="114"/>
      <c r="E220" s="160"/>
      <c r="F220" s="167"/>
      <c r="G220" s="87"/>
      <c r="H220" s="7"/>
      <c r="I220" s="69"/>
      <c r="J220" s="28"/>
      <c r="K220" s="7"/>
      <c r="L220" s="69"/>
      <c r="M220" s="22"/>
      <c r="N220" s="7"/>
      <c r="O220" s="21"/>
      <c r="P220" s="81"/>
      <c r="Q220" s="79"/>
    </row>
    <row r="221" spans="1:17" ht="12.75">
      <c r="A221" s="34" t="s">
        <v>74</v>
      </c>
      <c r="B221" s="98"/>
      <c r="C221" s="145">
        <v>296650</v>
      </c>
      <c r="D221" s="114"/>
      <c r="E221" s="160"/>
      <c r="F221" s="189">
        <f aca="true" t="shared" si="57" ref="F221:F229">C221+D221+E221</f>
        <v>296650</v>
      </c>
      <c r="G221" s="87"/>
      <c r="H221" s="7"/>
      <c r="I221" s="73">
        <f aca="true" t="shared" si="58" ref="I221:I229">F221+G221+H221</f>
        <v>296650</v>
      </c>
      <c r="J221" s="28"/>
      <c r="K221" s="7"/>
      <c r="L221" s="73">
        <f aca="true" t="shared" si="59" ref="L221:L229">I221+J221+K221</f>
        <v>296650</v>
      </c>
      <c r="M221" s="22"/>
      <c r="N221" s="7"/>
      <c r="O221" s="23">
        <f aca="true" t="shared" si="60" ref="O221:O229">L221+M221+N221</f>
        <v>296650</v>
      </c>
      <c r="P221" s="81"/>
      <c r="Q221" s="79">
        <f>O221+P221</f>
        <v>296650</v>
      </c>
    </row>
    <row r="222" spans="1:17" ht="12.75">
      <c r="A222" s="99" t="s">
        <v>210</v>
      </c>
      <c r="B222" s="98"/>
      <c r="C222" s="145">
        <v>12000</v>
      </c>
      <c r="D222" s="114">
        <f>18000</f>
        <v>18000</v>
      </c>
      <c r="E222" s="160"/>
      <c r="F222" s="189">
        <f t="shared" si="57"/>
        <v>30000</v>
      </c>
      <c r="G222" s="87"/>
      <c r="H222" s="7"/>
      <c r="I222" s="73"/>
      <c r="J222" s="28"/>
      <c r="K222" s="7"/>
      <c r="L222" s="73"/>
      <c r="M222" s="22"/>
      <c r="N222" s="7"/>
      <c r="O222" s="23"/>
      <c r="P222" s="81"/>
      <c r="Q222" s="79"/>
    </row>
    <row r="223" spans="1:17" ht="12.75">
      <c r="A223" s="39" t="s">
        <v>64</v>
      </c>
      <c r="B223" s="98"/>
      <c r="C223" s="145">
        <v>236200</v>
      </c>
      <c r="D223" s="114"/>
      <c r="E223" s="160"/>
      <c r="F223" s="189">
        <f t="shared" si="57"/>
        <v>236200</v>
      </c>
      <c r="G223" s="87"/>
      <c r="H223" s="7"/>
      <c r="I223" s="73">
        <f t="shared" si="58"/>
        <v>236200</v>
      </c>
      <c r="J223" s="28"/>
      <c r="K223" s="7"/>
      <c r="L223" s="73">
        <f t="shared" si="59"/>
        <v>236200</v>
      </c>
      <c r="M223" s="22"/>
      <c r="N223" s="7"/>
      <c r="O223" s="23">
        <f t="shared" si="60"/>
        <v>236200</v>
      </c>
      <c r="P223" s="81"/>
      <c r="Q223" s="79">
        <f>O223+P223</f>
        <v>236200</v>
      </c>
    </row>
    <row r="224" spans="1:17" ht="12.75" hidden="1">
      <c r="A224" s="39" t="s">
        <v>172</v>
      </c>
      <c r="B224" s="98"/>
      <c r="C224" s="145">
        <v>0</v>
      </c>
      <c r="D224" s="125"/>
      <c r="E224" s="160"/>
      <c r="F224" s="189">
        <f t="shared" si="57"/>
        <v>0</v>
      </c>
      <c r="G224" s="87"/>
      <c r="H224" s="7"/>
      <c r="I224" s="73"/>
      <c r="J224" s="28"/>
      <c r="K224" s="7"/>
      <c r="L224" s="73"/>
      <c r="M224" s="22"/>
      <c r="N224" s="7"/>
      <c r="O224" s="23"/>
      <c r="P224" s="81"/>
      <c r="Q224" s="79"/>
    </row>
    <row r="225" spans="1:17" ht="12.75">
      <c r="A225" s="39" t="s">
        <v>51</v>
      </c>
      <c r="B225" s="98"/>
      <c r="C225" s="147">
        <v>99286.8</v>
      </c>
      <c r="D225" s="114">
        <f>18317</f>
        <v>18317</v>
      </c>
      <c r="E225" s="160"/>
      <c r="F225" s="189">
        <f t="shared" si="57"/>
        <v>117603.8</v>
      </c>
      <c r="G225" s="87"/>
      <c r="H225" s="7"/>
      <c r="I225" s="73">
        <f t="shared" si="58"/>
        <v>117603.8</v>
      </c>
      <c r="J225" s="28"/>
      <c r="K225" s="7"/>
      <c r="L225" s="73">
        <f t="shared" si="59"/>
        <v>117603.8</v>
      </c>
      <c r="M225" s="22"/>
      <c r="N225" s="7"/>
      <c r="O225" s="23">
        <f t="shared" si="60"/>
        <v>117603.8</v>
      </c>
      <c r="P225" s="81"/>
      <c r="Q225" s="79">
        <f>O225+P225</f>
        <v>117603.8</v>
      </c>
    </row>
    <row r="226" spans="1:17" ht="12.75">
      <c r="A226" s="39" t="s">
        <v>78</v>
      </c>
      <c r="B226" s="98"/>
      <c r="C226" s="147"/>
      <c r="D226" s="114">
        <f>7500+7500</f>
        <v>15000</v>
      </c>
      <c r="E226" s="160"/>
      <c r="F226" s="189">
        <f t="shared" si="57"/>
        <v>15000</v>
      </c>
      <c r="G226" s="87"/>
      <c r="H226" s="7"/>
      <c r="I226" s="73">
        <f t="shared" si="58"/>
        <v>15000</v>
      </c>
      <c r="J226" s="28"/>
      <c r="K226" s="7"/>
      <c r="L226" s="73">
        <f t="shared" si="59"/>
        <v>15000</v>
      </c>
      <c r="M226" s="22"/>
      <c r="N226" s="7"/>
      <c r="O226" s="23">
        <f t="shared" si="60"/>
        <v>15000</v>
      </c>
      <c r="P226" s="81"/>
      <c r="Q226" s="79">
        <f>O226+P226</f>
        <v>15000</v>
      </c>
    </row>
    <row r="227" spans="1:17" ht="12.75" hidden="1">
      <c r="A227" s="39" t="s">
        <v>281</v>
      </c>
      <c r="B227" s="98"/>
      <c r="C227" s="147"/>
      <c r="D227" s="114"/>
      <c r="E227" s="160"/>
      <c r="F227" s="189">
        <f t="shared" si="57"/>
        <v>0</v>
      </c>
      <c r="G227" s="87"/>
      <c r="H227" s="7"/>
      <c r="I227" s="73"/>
      <c r="J227" s="28"/>
      <c r="K227" s="7"/>
      <c r="L227" s="73"/>
      <c r="M227" s="22"/>
      <c r="N227" s="7"/>
      <c r="O227" s="23"/>
      <c r="P227" s="81"/>
      <c r="Q227" s="79"/>
    </row>
    <row r="228" spans="1:17" ht="12.75">
      <c r="A228" s="39" t="s">
        <v>338</v>
      </c>
      <c r="B228" s="98"/>
      <c r="C228" s="147"/>
      <c r="D228" s="114">
        <f>13.91+232.42</f>
        <v>246.32999999999998</v>
      </c>
      <c r="E228" s="160"/>
      <c r="F228" s="189">
        <f t="shared" si="57"/>
        <v>246.32999999999998</v>
      </c>
      <c r="G228" s="87"/>
      <c r="H228" s="7"/>
      <c r="I228" s="73">
        <f t="shared" si="58"/>
        <v>246.32999999999998</v>
      </c>
      <c r="J228" s="28"/>
      <c r="K228" s="7"/>
      <c r="L228" s="73">
        <f t="shared" si="59"/>
        <v>246.32999999999998</v>
      </c>
      <c r="M228" s="22"/>
      <c r="N228" s="7"/>
      <c r="O228" s="23">
        <f t="shared" si="60"/>
        <v>246.32999999999998</v>
      </c>
      <c r="P228" s="81"/>
      <c r="Q228" s="79">
        <f>O228+P228</f>
        <v>246.32999999999998</v>
      </c>
    </row>
    <row r="229" spans="1:17" ht="12.75" hidden="1">
      <c r="A229" s="39" t="s">
        <v>90</v>
      </c>
      <c r="B229" s="98"/>
      <c r="C229" s="145"/>
      <c r="D229" s="114"/>
      <c r="E229" s="160"/>
      <c r="F229" s="189">
        <f t="shared" si="57"/>
        <v>0</v>
      </c>
      <c r="G229" s="87"/>
      <c r="H229" s="7"/>
      <c r="I229" s="73">
        <f t="shared" si="58"/>
        <v>0</v>
      </c>
      <c r="J229" s="28"/>
      <c r="K229" s="7"/>
      <c r="L229" s="73">
        <f t="shared" si="59"/>
        <v>0</v>
      </c>
      <c r="M229" s="22"/>
      <c r="N229" s="7"/>
      <c r="O229" s="23">
        <f t="shared" si="60"/>
        <v>0</v>
      </c>
      <c r="P229" s="81"/>
      <c r="Q229" s="79">
        <f>O229+P229</f>
        <v>0</v>
      </c>
    </row>
    <row r="230" spans="1:17" ht="12.75">
      <c r="A230" s="41" t="s">
        <v>54</v>
      </c>
      <c r="B230" s="102"/>
      <c r="C230" s="172">
        <f>SUM(C232:C236)</f>
        <v>0</v>
      </c>
      <c r="D230" s="121">
        <f aca="true" t="shared" si="61" ref="D230:Q230">SUM(D232:D236)</f>
        <v>7850.77</v>
      </c>
      <c r="E230" s="163">
        <f t="shared" si="61"/>
        <v>0</v>
      </c>
      <c r="F230" s="192">
        <f t="shared" si="61"/>
        <v>7850.77</v>
      </c>
      <c r="G230" s="210">
        <f t="shared" si="61"/>
        <v>0</v>
      </c>
      <c r="H230" s="121">
        <f t="shared" si="61"/>
        <v>0</v>
      </c>
      <c r="I230" s="163">
        <f t="shared" si="61"/>
        <v>0</v>
      </c>
      <c r="J230" s="172">
        <f t="shared" si="61"/>
        <v>0</v>
      </c>
      <c r="K230" s="121">
        <f t="shared" si="61"/>
        <v>0</v>
      </c>
      <c r="L230" s="163">
        <f t="shared" si="61"/>
        <v>0</v>
      </c>
      <c r="M230" s="120">
        <f t="shared" si="61"/>
        <v>0</v>
      </c>
      <c r="N230" s="120">
        <f t="shared" si="61"/>
        <v>0</v>
      </c>
      <c r="O230" s="120">
        <f t="shared" si="61"/>
        <v>0</v>
      </c>
      <c r="P230" s="120">
        <f t="shared" si="61"/>
        <v>0</v>
      </c>
      <c r="Q230" s="245">
        <f t="shared" si="61"/>
        <v>0</v>
      </c>
    </row>
    <row r="231" spans="1:17" ht="12.75">
      <c r="A231" s="37" t="s">
        <v>26</v>
      </c>
      <c r="B231" s="98"/>
      <c r="C231" s="145"/>
      <c r="D231" s="114"/>
      <c r="E231" s="160"/>
      <c r="F231" s="189"/>
      <c r="G231" s="87"/>
      <c r="H231" s="7"/>
      <c r="I231" s="73"/>
      <c r="J231" s="28"/>
      <c r="K231" s="7"/>
      <c r="L231" s="73"/>
      <c r="M231" s="22"/>
      <c r="N231" s="7"/>
      <c r="O231" s="23"/>
      <c r="P231" s="81"/>
      <c r="Q231" s="79"/>
    </row>
    <row r="232" spans="1:17" ht="12.75">
      <c r="A232" s="46" t="s">
        <v>55</v>
      </c>
      <c r="B232" s="101"/>
      <c r="C232" s="173">
        <v>0</v>
      </c>
      <c r="D232" s="122">
        <f>7850.77</f>
        <v>7850.77</v>
      </c>
      <c r="E232" s="261"/>
      <c r="F232" s="193">
        <f>C232+D232+E232</f>
        <v>7850.77</v>
      </c>
      <c r="G232" s="87"/>
      <c r="H232" s="7"/>
      <c r="I232" s="73"/>
      <c r="J232" s="28"/>
      <c r="K232" s="7"/>
      <c r="L232" s="73"/>
      <c r="M232" s="22"/>
      <c r="N232" s="7"/>
      <c r="O232" s="23"/>
      <c r="P232" s="81"/>
      <c r="Q232" s="79"/>
    </row>
    <row r="233" spans="1:17" ht="12.75" hidden="1">
      <c r="A233" s="39" t="s">
        <v>244</v>
      </c>
      <c r="B233" s="98"/>
      <c r="C233" s="145"/>
      <c r="D233" s="114"/>
      <c r="E233" s="160"/>
      <c r="F233" s="189">
        <f>C233+D233+E233</f>
        <v>0</v>
      </c>
      <c r="G233" s="87"/>
      <c r="H233" s="7"/>
      <c r="I233" s="73"/>
      <c r="J233" s="28"/>
      <c r="K233" s="7"/>
      <c r="L233" s="73"/>
      <c r="M233" s="22"/>
      <c r="N233" s="7"/>
      <c r="O233" s="23"/>
      <c r="P233" s="81"/>
      <c r="Q233" s="79"/>
    </row>
    <row r="234" spans="1:17" ht="12.75" hidden="1">
      <c r="A234" s="39" t="s">
        <v>69</v>
      </c>
      <c r="B234" s="98"/>
      <c r="C234" s="145"/>
      <c r="D234" s="114"/>
      <c r="E234" s="160"/>
      <c r="F234" s="189">
        <f>C234+D234+E234</f>
        <v>0</v>
      </c>
      <c r="G234" s="87"/>
      <c r="H234" s="7"/>
      <c r="I234" s="73">
        <f>F234+G234+H234</f>
        <v>0</v>
      </c>
      <c r="J234" s="28"/>
      <c r="K234" s="7"/>
      <c r="L234" s="73">
        <f>I234+J234+K234</f>
        <v>0</v>
      </c>
      <c r="M234" s="22"/>
      <c r="N234" s="7"/>
      <c r="O234" s="23">
        <f>L234+M234+N234</f>
        <v>0</v>
      </c>
      <c r="P234" s="81"/>
      <c r="Q234" s="79">
        <f>O234+P234</f>
        <v>0</v>
      </c>
    </row>
    <row r="235" spans="1:17" ht="12.75" hidden="1">
      <c r="A235" s="39" t="s">
        <v>216</v>
      </c>
      <c r="B235" s="98"/>
      <c r="C235" s="145"/>
      <c r="D235" s="114"/>
      <c r="E235" s="160"/>
      <c r="F235" s="189">
        <f>C235+D235+E235</f>
        <v>0</v>
      </c>
      <c r="G235" s="212"/>
      <c r="H235" s="10"/>
      <c r="I235" s="72">
        <f>F235+G235+H235</f>
        <v>0</v>
      </c>
      <c r="J235" s="227"/>
      <c r="K235" s="10"/>
      <c r="L235" s="72">
        <f>I235+J235+K235</f>
        <v>0</v>
      </c>
      <c r="M235" s="26"/>
      <c r="N235" s="10"/>
      <c r="O235" s="27">
        <f>L235+M235+N235</f>
        <v>0</v>
      </c>
      <c r="P235" s="84"/>
      <c r="Q235" s="85">
        <f>O235+P235</f>
        <v>0</v>
      </c>
    </row>
    <row r="236" spans="1:17" ht="12.75" hidden="1">
      <c r="A236" s="38" t="s">
        <v>78</v>
      </c>
      <c r="B236" s="101"/>
      <c r="C236" s="173"/>
      <c r="D236" s="122"/>
      <c r="E236" s="261"/>
      <c r="F236" s="193">
        <f>C236+D236+E236</f>
        <v>0</v>
      </c>
      <c r="G236" s="212"/>
      <c r="H236" s="10"/>
      <c r="I236" s="72">
        <f>F236+G236+H236</f>
        <v>0</v>
      </c>
      <c r="J236" s="227"/>
      <c r="K236" s="10"/>
      <c r="L236" s="72">
        <f>I236+J236+K236</f>
        <v>0</v>
      </c>
      <c r="M236" s="26"/>
      <c r="N236" s="10"/>
      <c r="O236" s="27">
        <f>L236+M236+N236</f>
        <v>0</v>
      </c>
      <c r="P236" s="84"/>
      <c r="Q236" s="85">
        <f>O236+P236</f>
        <v>0</v>
      </c>
    </row>
    <row r="237" spans="1:17" ht="12.75">
      <c r="A237" s="47" t="s">
        <v>91</v>
      </c>
      <c r="B237" s="103"/>
      <c r="C237" s="139">
        <f>C238+C248</f>
        <v>228552.1</v>
      </c>
      <c r="D237" s="117">
        <f aca="true" t="shared" si="62" ref="D237:Q237">D238+D248</f>
        <v>16061.180000000002</v>
      </c>
      <c r="E237" s="161">
        <f t="shared" si="62"/>
        <v>0</v>
      </c>
      <c r="F237" s="190">
        <f t="shared" si="62"/>
        <v>244613.28</v>
      </c>
      <c r="G237" s="140">
        <f t="shared" si="62"/>
        <v>0</v>
      </c>
      <c r="H237" s="117">
        <f t="shared" si="62"/>
        <v>0</v>
      </c>
      <c r="I237" s="161">
        <f t="shared" si="62"/>
        <v>240443.84</v>
      </c>
      <c r="J237" s="139">
        <f t="shared" si="62"/>
        <v>0</v>
      </c>
      <c r="K237" s="117">
        <f t="shared" si="62"/>
        <v>0</v>
      </c>
      <c r="L237" s="161">
        <f t="shared" si="62"/>
        <v>240443.84</v>
      </c>
      <c r="M237" s="116">
        <f t="shared" si="62"/>
        <v>0</v>
      </c>
      <c r="N237" s="116">
        <f t="shared" si="62"/>
        <v>0</v>
      </c>
      <c r="O237" s="116">
        <f t="shared" si="62"/>
        <v>240443.84</v>
      </c>
      <c r="P237" s="116">
        <f t="shared" si="62"/>
        <v>0</v>
      </c>
      <c r="Q237" s="243">
        <f t="shared" si="62"/>
        <v>240443.84</v>
      </c>
    </row>
    <row r="238" spans="1:17" ht="12.75">
      <c r="A238" s="41" t="s">
        <v>49</v>
      </c>
      <c r="B238" s="102"/>
      <c r="C238" s="172">
        <f>SUM(C240:C247)</f>
        <v>225172.1</v>
      </c>
      <c r="D238" s="121">
        <f aca="true" t="shared" si="63" ref="D238:Q238">SUM(D240:D247)</f>
        <v>12691.180000000002</v>
      </c>
      <c r="E238" s="163">
        <f t="shared" si="63"/>
        <v>0</v>
      </c>
      <c r="F238" s="192">
        <f t="shared" si="63"/>
        <v>237863.28</v>
      </c>
      <c r="G238" s="210">
        <f t="shared" si="63"/>
        <v>0</v>
      </c>
      <c r="H238" s="121">
        <f t="shared" si="63"/>
        <v>0</v>
      </c>
      <c r="I238" s="163">
        <f t="shared" si="63"/>
        <v>237593.84</v>
      </c>
      <c r="J238" s="172">
        <f t="shared" si="63"/>
        <v>0</v>
      </c>
      <c r="K238" s="121">
        <f t="shared" si="63"/>
        <v>0</v>
      </c>
      <c r="L238" s="163">
        <f t="shared" si="63"/>
        <v>237593.84</v>
      </c>
      <c r="M238" s="120">
        <f t="shared" si="63"/>
        <v>0</v>
      </c>
      <c r="N238" s="120">
        <f t="shared" si="63"/>
        <v>0</v>
      </c>
      <c r="O238" s="120">
        <f t="shared" si="63"/>
        <v>237593.84</v>
      </c>
      <c r="P238" s="120">
        <f t="shared" si="63"/>
        <v>0</v>
      </c>
      <c r="Q238" s="245">
        <f t="shared" si="63"/>
        <v>237593.84</v>
      </c>
    </row>
    <row r="239" spans="1:17" ht="12.75">
      <c r="A239" s="37" t="s">
        <v>26</v>
      </c>
      <c r="B239" s="98"/>
      <c r="C239" s="145"/>
      <c r="D239" s="114"/>
      <c r="E239" s="160"/>
      <c r="F239" s="189"/>
      <c r="G239" s="87"/>
      <c r="H239" s="7"/>
      <c r="I239" s="73"/>
      <c r="J239" s="28"/>
      <c r="K239" s="7"/>
      <c r="L239" s="73"/>
      <c r="M239" s="22"/>
      <c r="N239" s="7"/>
      <c r="O239" s="23"/>
      <c r="P239" s="81"/>
      <c r="Q239" s="79"/>
    </row>
    <row r="240" spans="1:17" ht="12.75">
      <c r="A240" s="39" t="s">
        <v>74</v>
      </c>
      <c r="B240" s="98"/>
      <c r="C240" s="145">
        <v>190968.5</v>
      </c>
      <c r="D240" s="114">
        <f>2154.6+7724.6</f>
        <v>9879.2</v>
      </c>
      <c r="E240" s="160"/>
      <c r="F240" s="189">
        <f aca="true" t="shared" si="64" ref="F240:F247">C240+D240+E240</f>
        <v>200847.7</v>
      </c>
      <c r="G240" s="87"/>
      <c r="H240" s="7"/>
      <c r="I240" s="73">
        <f>F240+G240+H240</f>
        <v>200847.7</v>
      </c>
      <c r="J240" s="28"/>
      <c r="K240" s="7"/>
      <c r="L240" s="73">
        <f>I240+J240+K240</f>
        <v>200847.7</v>
      </c>
      <c r="M240" s="22"/>
      <c r="N240" s="7"/>
      <c r="O240" s="23">
        <f>L240+M240+N240</f>
        <v>200847.7</v>
      </c>
      <c r="P240" s="81"/>
      <c r="Q240" s="79">
        <f aca="true" t="shared" si="65" ref="Q240:Q247">O240+P240</f>
        <v>200847.7</v>
      </c>
    </row>
    <row r="241" spans="1:17" ht="12.75">
      <c r="A241" s="39" t="s">
        <v>51</v>
      </c>
      <c r="B241" s="98"/>
      <c r="C241" s="145">
        <v>30515.6</v>
      </c>
      <c r="D241" s="114">
        <f>-1130-6273+556-2490.05+2641.14+1500</f>
        <v>-5195.91</v>
      </c>
      <c r="E241" s="160"/>
      <c r="F241" s="189">
        <f t="shared" si="64"/>
        <v>25319.69</v>
      </c>
      <c r="G241" s="87"/>
      <c r="H241" s="7"/>
      <c r="I241" s="73">
        <f aca="true" t="shared" si="66" ref="I241:I247">F241+G241+H241</f>
        <v>25319.69</v>
      </c>
      <c r="J241" s="28"/>
      <c r="K241" s="7"/>
      <c r="L241" s="73">
        <f aca="true" t="shared" si="67" ref="L241:L247">I241+J241+K241</f>
        <v>25319.69</v>
      </c>
      <c r="M241" s="22"/>
      <c r="N241" s="7"/>
      <c r="O241" s="23">
        <f aca="true" t="shared" si="68" ref="O241:O247">L241+M241+N241</f>
        <v>25319.69</v>
      </c>
      <c r="P241" s="81"/>
      <c r="Q241" s="79">
        <f t="shared" si="65"/>
        <v>25319.69</v>
      </c>
    </row>
    <row r="242" spans="1:17" ht="12.75">
      <c r="A242" s="39" t="s">
        <v>133</v>
      </c>
      <c r="B242" s="98"/>
      <c r="C242" s="145">
        <v>3388</v>
      </c>
      <c r="D242" s="114">
        <f>94.86</f>
        <v>94.86</v>
      </c>
      <c r="E242" s="160"/>
      <c r="F242" s="189">
        <f t="shared" si="64"/>
        <v>3482.86</v>
      </c>
      <c r="G242" s="87"/>
      <c r="H242" s="7"/>
      <c r="I242" s="73">
        <f t="shared" si="66"/>
        <v>3482.86</v>
      </c>
      <c r="J242" s="28"/>
      <c r="K242" s="7"/>
      <c r="L242" s="73">
        <f t="shared" si="67"/>
        <v>3482.86</v>
      </c>
      <c r="M242" s="22"/>
      <c r="N242" s="7"/>
      <c r="O242" s="23">
        <f t="shared" si="68"/>
        <v>3482.86</v>
      </c>
      <c r="P242" s="81"/>
      <c r="Q242" s="79">
        <f t="shared" si="65"/>
        <v>3482.86</v>
      </c>
    </row>
    <row r="243" spans="1:17" ht="12.75">
      <c r="A243" s="39" t="s">
        <v>65</v>
      </c>
      <c r="B243" s="98"/>
      <c r="C243" s="145"/>
      <c r="D243" s="114">
        <f>1130+6273+240.59</f>
        <v>7643.59</v>
      </c>
      <c r="E243" s="160"/>
      <c r="F243" s="189">
        <f t="shared" si="64"/>
        <v>7643.59</v>
      </c>
      <c r="G243" s="87"/>
      <c r="H243" s="7"/>
      <c r="I243" s="73">
        <f t="shared" si="66"/>
        <v>7643.59</v>
      </c>
      <c r="J243" s="28"/>
      <c r="K243" s="7"/>
      <c r="L243" s="73">
        <f t="shared" si="67"/>
        <v>7643.59</v>
      </c>
      <c r="M243" s="22"/>
      <c r="N243" s="7"/>
      <c r="O243" s="23">
        <f t="shared" si="68"/>
        <v>7643.59</v>
      </c>
      <c r="P243" s="81"/>
      <c r="Q243" s="79">
        <f t="shared" si="65"/>
        <v>7643.59</v>
      </c>
    </row>
    <row r="244" spans="1:17" ht="12.75" hidden="1">
      <c r="A244" s="39" t="s">
        <v>92</v>
      </c>
      <c r="B244" s="98">
        <v>34070</v>
      </c>
      <c r="C244" s="145"/>
      <c r="D244" s="114"/>
      <c r="E244" s="160"/>
      <c r="F244" s="189">
        <f t="shared" si="64"/>
        <v>0</v>
      </c>
      <c r="G244" s="87"/>
      <c r="H244" s="7"/>
      <c r="I244" s="73">
        <f t="shared" si="66"/>
        <v>0</v>
      </c>
      <c r="J244" s="28"/>
      <c r="K244" s="7"/>
      <c r="L244" s="73">
        <f t="shared" si="67"/>
        <v>0</v>
      </c>
      <c r="M244" s="22"/>
      <c r="N244" s="7"/>
      <c r="O244" s="23">
        <f t="shared" si="68"/>
        <v>0</v>
      </c>
      <c r="P244" s="81"/>
      <c r="Q244" s="79">
        <f t="shared" si="65"/>
        <v>0</v>
      </c>
    </row>
    <row r="245" spans="1:17" ht="12.75" hidden="1">
      <c r="A245" s="39" t="s">
        <v>93</v>
      </c>
      <c r="B245" s="98">
        <v>34053</v>
      </c>
      <c r="C245" s="145"/>
      <c r="D245" s="114"/>
      <c r="E245" s="160"/>
      <c r="F245" s="189">
        <f t="shared" si="64"/>
        <v>0</v>
      </c>
      <c r="G245" s="87"/>
      <c r="H245" s="7"/>
      <c r="I245" s="73">
        <f t="shared" si="66"/>
        <v>0</v>
      </c>
      <c r="J245" s="28"/>
      <c r="K245" s="7"/>
      <c r="L245" s="73">
        <f t="shared" si="67"/>
        <v>0</v>
      </c>
      <c r="M245" s="22"/>
      <c r="N245" s="7"/>
      <c r="O245" s="23">
        <f t="shared" si="68"/>
        <v>0</v>
      </c>
      <c r="P245" s="81"/>
      <c r="Q245" s="79">
        <f t="shared" si="65"/>
        <v>0</v>
      </c>
    </row>
    <row r="246" spans="1:17" ht="12.75">
      <c r="A246" s="39" t="s">
        <v>334</v>
      </c>
      <c r="B246" s="98"/>
      <c r="C246" s="145"/>
      <c r="D246" s="114">
        <f>269.44</f>
        <v>269.44</v>
      </c>
      <c r="E246" s="160"/>
      <c r="F246" s="189">
        <f t="shared" si="64"/>
        <v>269.44</v>
      </c>
      <c r="G246" s="87"/>
      <c r="H246" s="7"/>
      <c r="I246" s="73"/>
      <c r="J246" s="28"/>
      <c r="K246" s="7"/>
      <c r="L246" s="73"/>
      <c r="M246" s="22"/>
      <c r="N246" s="7"/>
      <c r="O246" s="23"/>
      <c r="P246" s="81"/>
      <c r="Q246" s="79"/>
    </row>
    <row r="247" spans="1:17" ht="12.75">
      <c r="A247" s="39" t="s">
        <v>78</v>
      </c>
      <c r="B247" s="98"/>
      <c r="C247" s="145">
        <v>300</v>
      </c>
      <c r="D247" s="114"/>
      <c r="E247" s="160"/>
      <c r="F247" s="189">
        <f t="shared" si="64"/>
        <v>300</v>
      </c>
      <c r="G247" s="87"/>
      <c r="H247" s="7"/>
      <c r="I247" s="73">
        <f t="shared" si="66"/>
        <v>300</v>
      </c>
      <c r="J247" s="28"/>
      <c r="K247" s="7"/>
      <c r="L247" s="73">
        <f t="shared" si="67"/>
        <v>300</v>
      </c>
      <c r="M247" s="22"/>
      <c r="N247" s="7"/>
      <c r="O247" s="23">
        <f t="shared" si="68"/>
        <v>300</v>
      </c>
      <c r="P247" s="81"/>
      <c r="Q247" s="79">
        <f t="shared" si="65"/>
        <v>300</v>
      </c>
    </row>
    <row r="248" spans="1:17" ht="12.75">
      <c r="A248" s="41" t="s">
        <v>54</v>
      </c>
      <c r="B248" s="102"/>
      <c r="C248" s="172">
        <f>SUM(C250:C253)</f>
        <v>3380</v>
      </c>
      <c r="D248" s="121">
        <f aca="true" t="shared" si="69" ref="D248:Q248">SUM(D250:D253)</f>
        <v>3370</v>
      </c>
      <c r="E248" s="163">
        <f t="shared" si="69"/>
        <v>0</v>
      </c>
      <c r="F248" s="192">
        <f t="shared" si="69"/>
        <v>6750</v>
      </c>
      <c r="G248" s="210">
        <f t="shared" si="69"/>
        <v>0</v>
      </c>
      <c r="H248" s="121">
        <f t="shared" si="69"/>
        <v>0</v>
      </c>
      <c r="I248" s="163">
        <f t="shared" si="69"/>
        <v>2850</v>
      </c>
      <c r="J248" s="172">
        <f t="shared" si="69"/>
        <v>0</v>
      </c>
      <c r="K248" s="121">
        <f t="shared" si="69"/>
        <v>0</v>
      </c>
      <c r="L248" s="163">
        <f t="shared" si="69"/>
        <v>2850</v>
      </c>
      <c r="M248" s="120">
        <f t="shared" si="69"/>
        <v>0</v>
      </c>
      <c r="N248" s="120">
        <f t="shared" si="69"/>
        <v>0</v>
      </c>
      <c r="O248" s="120">
        <f t="shared" si="69"/>
        <v>2850</v>
      </c>
      <c r="P248" s="120">
        <f t="shared" si="69"/>
        <v>0</v>
      </c>
      <c r="Q248" s="245">
        <f t="shared" si="69"/>
        <v>2850</v>
      </c>
    </row>
    <row r="249" spans="1:17" ht="12.75">
      <c r="A249" s="37" t="s">
        <v>26</v>
      </c>
      <c r="B249" s="98"/>
      <c r="C249" s="145"/>
      <c r="D249" s="114"/>
      <c r="E249" s="160"/>
      <c r="F249" s="189"/>
      <c r="G249" s="87"/>
      <c r="H249" s="7"/>
      <c r="I249" s="73"/>
      <c r="J249" s="28"/>
      <c r="K249" s="7"/>
      <c r="L249" s="73"/>
      <c r="M249" s="22"/>
      <c r="N249" s="7"/>
      <c r="O249" s="23"/>
      <c r="P249" s="81"/>
      <c r="Q249" s="79"/>
    </row>
    <row r="250" spans="1:17" ht="12.75" hidden="1">
      <c r="A250" s="39" t="s">
        <v>93</v>
      </c>
      <c r="B250" s="98">
        <v>34544</v>
      </c>
      <c r="C250" s="145"/>
      <c r="D250" s="114"/>
      <c r="E250" s="160"/>
      <c r="F250" s="189">
        <f>C250+D250+E250</f>
        <v>0</v>
      </c>
      <c r="G250" s="87"/>
      <c r="H250" s="7"/>
      <c r="I250" s="73"/>
      <c r="J250" s="28"/>
      <c r="K250" s="7"/>
      <c r="L250" s="73">
        <f>I250+J250+K250</f>
        <v>0</v>
      </c>
      <c r="M250" s="22"/>
      <c r="N250" s="7"/>
      <c r="O250" s="23">
        <f>L250+M250+N250</f>
        <v>0</v>
      </c>
      <c r="P250" s="81"/>
      <c r="Q250" s="79">
        <f>O250+P250</f>
        <v>0</v>
      </c>
    </row>
    <row r="251" spans="1:17" ht="12.75">
      <c r="A251" s="96" t="s">
        <v>87</v>
      </c>
      <c r="B251" s="98"/>
      <c r="C251" s="145">
        <v>2850</v>
      </c>
      <c r="D251" s="114"/>
      <c r="E251" s="160"/>
      <c r="F251" s="189">
        <f>C251+D251+E251</f>
        <v>2850</v>
      </c>
      <c r="G251" s="87"/>
      <c r="H251" s="7"/>
      <c r="I251" s="73">
        <f>F251+G251+H251</f>
        <v>2850</v>
      </c>
      <c r="J251" s="28"/>
      <c r="K251" s="7"/>
      <c r="L251" s="73">
        <f>I251+J251+K251</f>
        <v>2850</v>
      </c>
      <c r="M251" s="22"/>
      <c r="N251" s="7"/>
      <c r="O251" s="23">
        <f>L251+M251+N251</f>
        <v>2850</v>
      </c>
      <c r="P251" s="81"/>
      <c r="Q251" s="79">
        <f>O251+P251</f>
        <v>2850</v>
      </c>
    </row>
    <row r="252" spans="1:17" ht="12.75">
      <c r="A252" s="239" t="s">
        <v>55</v>
      </c>
      <c r="B252" s="101"/>
      <c r="C252" s="173">
        <v>530</v>
      </c>
      <c r="D252" s="122">
        <f>3370</f>
        <v>3370</v>
      </c>
      <c r="E252" s="261"/>
      <c r="F252" s="193">
        <f>C252+D252+E252</f>
        <v>3900</v>
      </c>
      <c r="G252" s="87"/>
      <c r="H252" s="7"/>
      <c r="I252" s="73"/>
      <c r="J252" s="28"/>
      <c r="K252" s="7"/>
      <c r="L252" s="73">
        <f>I252+J252+K252</f>
        <v>0</v>
      </c>
      <c r="M252" s="22"/>
      <c r="N252" s="7"/>
      <c r="O252" s="23">
        <f>L252+M252+N252</f>
        <v>0</v>
      </c>
      <c r="P252" s="81"/>
      <c r="Q252" s="79">
        <f>O252+P252</f>
        <v>0</v>
      </c>
    </row>
    <row r="253" spans="1:17" ht="12.75" hidden="1">
      <c r="A253" s="46" t="s">
        <v>78</v>
      </c>
      <c r="B253" s="101"/>
      <c r="C253" s="173"/>
      <c r="D253" s="122"/>
      <c r="E253" s="261"/>
      <c r="F253" s="193">
        <f>C253+D253+E253</f>
        <v>0</v>
      </c>
      <c r="G253" s="212"/>
      <c r="H253" s="10"/>
      <c r="I253" s="72">
        <f>F253+G253+H253</f>
        <v>0</v>
      </c>
      <c r="J253" s="227"/>
      <c r="K253" s="10"/>
      <c r="L253" s="72">
        <f>I253+J253+K253</f>
        <v>0</v>
      </c>
      <c r="M253" s="76"/>
      <c r="N253" s="10"/>
      <c r="O253" s="27">
        <f>L253+M253+N253</f>
        <v>0</v>
      </c>
      <c r="P253" s="84"/>
      <c r="Q253" s="85">
        <f>O253+P253</f>
        <v>0</v>
      </c>
    </row>
    <row r="254" spans="1:28" ht="12.75">
      <c r="A254" s="32" t="s">
        <v>286</v>
      </c>
      <c r="B254" s="102"/>
      <c r="C254" s="152">
        <f>C255+C258</f>
        <v>1365.7</v>
      </c>
      <c r="D254" s="113">
        <f>D255+D258</f>
        <v>160</v>
      </c>
      <c r="E254" s="136">
        <f>E255+E260</f>
        <v>0</v>
      </c>
      <c r="F254" s="167">
        <f>F255+F258</f>
        <v>1525.7</v>
      </c>
      <c r="G254" s="87"/>
      <c r="H254" s="7"/>
      <c r="I254" s="87"/>
      <c r="J254" s="28"/>
      <c r="K254" s="7"/>
      <c r="L254" s="87"/>
      <c r="M254" s="31"/>
      <c r="N254" s="135"/>
      <c r="O254" s="87"/>
      <c r="P254" s="81"/>
      <c r="Q254" s="79"/>
      <c r="AA254" s="242"/>
      <c r="AB254" s="153"/>
    </row>
    <row r="255" spans="1:17" ht="12.75">
      <c r="A255" s="41" t="s">
        <v>49</v>
      </c>
      <c r="B255" s="102"/>
      <c r="C255" s="172">
        <f>SUM(C257:C257)</f>
        <v>1365.7</v>
      </c>
      <c r="D255" s="121">
        <f>SUM(D257:D257)</f>
        <v>160</v>
      </c>
      <c r="E255" s="163">
        <f>SUM(E257:E257)</f>
        <v>0</v>
      </c>
      <c r="F255" s="192">
        <f>SUM(F257:F257)</f>
        <v>1525.7</v>
      </c>
      <c r="G255" s="87"/>
      <c r="H255" s="7"/>
      <c r="I255" s="87"/>
      <c r="J255" s="28"/>
      <c r="K255" s="7"/>
      <c r="L255" s="87"/>
      <c r="M255" s="31"/>
      <c r="N255" s="135"/>
      <c r="O255" s="87"/>
      <c r="P255" s="81"/>
      <c r="Q255" s="79"/>
    </row>
    <row r="256" spans="1:17" ht="12.75">
      <c r="A256" s="37" t="s">
        <v>26</v>
      </c>
      <c r="B256" s="98"/>
      <c r="C256" s="145"/>
      <c r="D256" s="114"/>
      <c r="E256" s="160"/>
      <c r="F256" s="189"/>
      <c r="G256" s="87"/>
      <c r="H256" s="7"/>
      <c r="I256" s="87"/>
      <c r="J256" s="28"/>
      <c r="K256" s="7"/>
      <c r="L256" s="87"/>
      <c r="M256" s="31"/>
      <c r="N256" s="135"/>
      <c r="O256" s="87"/>
      <c r="P256" s="81"/>
      <c r="Q256" s="79"/>
    </row>
    <row r="257" spans="1:17" ht="12.75">
      <c r="A257" s="38" t="s">
        <v>51</v>
      </c>
      <c r="B257" s="101"/>
      <c r="C257" s="173">
        <v>1365.7</v>
      </c>
      <c r="D257" s="122">
        <f>-40+200</f>
        <v>160</v>
      </c>
      <c r="E257" s="261"/>
      <c r="F257" s="193">
        <f>C257+D257+E257</f>
        <v>1525.7</v>
      </c>
      <c r="G257" s="87"/>
      <c r="H257" s="7"/>
      <c r="I257" s="87"/>
      <c r="J257" s="28"/>
      <c r="K257" s="7"/>
      <c r="L257" s="87"/>
      <c r="M257" s="31"/>
      <c r="N257" s="135"/>
      <c r="O257" s="87"/>
      <c r="P257" s="81"/>
      <c r="Q257" s="79"/>
    </row>
    <row r="258" spans="1:17" ht="12.75" hidden="1">
      <c r="A258" s="41" t="s">
        <v>54</v>
      </c>
      <c r="B258" s="102"/>
      <c r="C258" s="172">
        <f>C260</f>
        <v>0</v>
      </c>
      <c r="D258" s="121">
        <f>D260</f>
        <v>0</v>
      </c>
      <c r="E258" s="163">
        <f>SUM(E260:E262)</f>
        <v>20000</v>
      </c>
      <c r="F258" s="192">
        <f>F260</f>
        <v>0</v>
      </c>
      <c r="G258" s="210">
        <f aca="true" t="shared" si="70" ref="G258:Q258">SUM(G260:G262)</f>
        <v>0</v>
      </c>
      <c r="H258" s="121">
        <f t="shared" si="70"/>
        <v>0</v>
      </c>
      <c r="I258" s="163">
        <f t="shared" si="70"/>
        <v>110858.07999999999</v>
      </c>
      <c r="J258" s="172">
        <f t="shared" si="70"/>
        <v>0</v>
      </c>
      <c r="K258" s="121">
        <f t="shared" si="70"/>
        <v>0</v>
      </c>
      <c r="L258" s="163">
        <f t="shared" si="70"/>
        <v>110858.07999999999</v>
      </c>
      <c r="M258" s="120">
        <f t="shared" si="70"/>
        <v>0</v>
      </c>
      <c r="N258" s="120">
        <f t="shared" si="70"/>
        <v>0</v>
      </c>
      <c r="O258" s="120">
        <f t="shared" si="70"/>
        <v>110858.07999999999</v>
      </c>
      <c r="P258" s="120">
        <f t="shared" si="70"/>
        <v>0</v>
      </c>
      <c r="Q258" s="245">
        <f t="shared" si="70"/>
        <v>110858.07999999999</v>
      </c>
    </row>
    <row r="259" spans="1:17" ht="12.75" hidden="1">
      <c r="A259" s="37" t="s">
        <v>26</v>
      </c>
      <c r="B259" s="98"/>
      <c r="C259" s="145"/>
      <c r="D259" s="114"/>
      <c r="E259" s="160"/>
      <c r="F259" s="189"/>
      <c r="G259" s="87"/>
      <c r="H259" s="7"/>
      <c r="I259" s="73"/>
      <c r="J259" s="28"/>
      <c r="K259" s="7"/>
      <c r="L259" s="73"/>
      <c r="M259" s="22"/>
      <c r="N259" s="7"/>
      <c r="O259" s="23"/>
      <c r="P259" s="81"/>
      <c r="Q259" s="79"/>
    </row>
    <row r="260" spans="1:17" ht="12.75" hidden="1">
      <c r="A260" s="239" t="s">
        <v>55</v>
      </c>
      <c r="B260" s="101"/>
      <c r="C260" s="173"/>
      <c r="D260" s="122"/>
      <c r="E260" s="261"/>
      <c r="F260" s="193">
        <f>C260+D260+E260</f>
        <v>0</v>
      </c>
      <c r="G260" s="87"/>
      <c r="H260" s="7"/>
      <c r="I260" s="73"/>
      <c r="J260" s="28"/>
      <c r="K260" s="7"/>
      <c r="L260" s="73">
        <f>I260+J260+K260</f>
        <v>0</v>
      </c>
      <c r="M260" s="22"/>
      <c r="N260" s="7"/>
      <c r="O260" s="23">
        <f>L260+M260+N260</f>
        <v>0</v>
      </c>
      <c r="P260" s="81"/>
      <c r="Q260" s="79">
        <f>O260+P260</f>
        <v>0</v>
      </c>
    </row>
    <row r="261" spans="1:17" ht="12.75">
      <c r="A261" s="32" t="s">
        <v>48</v>
      </c>
      <c r="B261" s="100"/>
      <c r="C261" s="152">
        <f aca="true" t="shared" si="71" ref="C261:Q261">C262+C274</f>
        <v>63729.03999999999</v>
      </c>
      <c r="D261" s="113">
        <f t="shared" si="71"/>
        <v>208525.06</v>
      </c>
      <c r="E261" s="136">
        <f t="shared" si="71"/>
        <v>10000</v>
      </c>
      <c r="F261" s="167">
        <f t="shared" si="71"/>
        <v>282254.1</v>
      </c>
      <c r="G261" s="153">
        <f t="shared" si="71"/>
        <v>0</v>
      </c>
      <c r="H261" s="113">
        <f t="shared" si="71"/>
        <v>0</v>
      </c>
      <c r="I261" s="136">
        <f t="shared" si="71"/>
        <v>55429.03999999999</v>
      </c>
      <c r="J261" s="152">
        <f t="shared" si="71"/>
        <v>0</v>
      </c>
      <c r="K261" s="113">
        <f t="shared" si="71"/>
        <v>0</v>
      </c>
      <c r="L261" s="136">
        <f t="shared" si="71"/>
        <v>55429.03999999999</v>
      </c>
      <c r="M261" s="112">
        <f t="shared" si="71"/>
        <v>0</v>
      </c>
      <c r="N261" s="112">
        <f t="shared" si="71"/>
        <v>0</v>
      </c>
      <c r="O261" s="112">
        <f t="shared" si="71"/>
        <v>55429.03999999999</v>
      </c>
      <c r="P261" s="112">
        <f t="shared" si="71"/>
        <v>0</v>
      </c>
      <c r="Q261" s="240">
        <f t="shared" si="71"/>
        <v>55429.03999999999</v>
      </c>
    </row>
    <row r="262" spans="1:17" ht="12.75">
      <c r="A262" s="41" t="s">
        <v>49</v>
      </c>
      <c r="B262" s="100"/>
      <c r="C262" s="172">
        <f aca="true" t="shared" si="72" ref="C262:Q262">SUM(C264:C273)</f>
        <v>63729.03999999999</v>
      </c>
      <c r="D262" s="121">
        <f t="shared" si="72"/>
        <v>204113</v>
      </c>
      <c r="E262" s="163">
        <f t="shared" si="72"/>
        <v>10000</v>
      </c>
      <c r="F262" s="192">
        <f t="shared" si="72"/>
        <v>277842.04</v>
      </c>
      <c r="G262" s="210">
        <f t="shared" si="72"/>
        <v>0</v>
      </c>
      <c r="H262" s="121">
        <f t="shared" si="72"/>
        <v>0</v>
      </c>
      <c r="I262" s="163">
        <f t="shared" si="72"/>
        <v>55429.03999999999</v>
      </c>
      <c r="J262" s="172">
        <f t="shared" si="72"/>
        <v>0</v>
      </c>
      <c r="K262" s="121">
        <f t="shared" si="72"/>
        <v>0</v>
      </c>
      <c r="L262" s="163">
        <f t="shared" si="72"/>
        <v>55429.03999999999</v>
      </c>
      <c r="M262" s="120">
        <f t="shared" si="72"/>
        <v>0</v>
      </c>
      <c r="N262" s="120">
        <f t="shared" si="72"/>
        <v>0</v>
      </c>
      <c r="O262" s="120">
        <f t="shared" si="72"/>
        <v>55429.03999999999</v>
      </c>
      <c r="P262" s="120">
        <f t="shared" si="72"/>
        <v>0</v>
      </c>
      <c r="Q262" s="245">
        <f t="shared" si="72"/>
        <v>55429.03999999999</v>
      </c>
    </row>
    <row r="263" spans="1:17" ht="12.75">
      <c r="A263" s="37" t="s">
        <v>26</v>
      </c>
      <c r="B263" s="71"/>
      <c r="C263" s="145"/>
      <c r="D263" s="114"/>
      <c r="E263" s="160"/>
      <c r="F263" s="189"/>
      <c r="G263" s="87"/>
      <c r="H263" s="7"/>
      <c r="I263" s="73"/>
      <c r="J263" s="28"/>
      <c r="K263" s="7"/>
      <c r="L263" s="73"/>
      <c r="M263" s="22"/>
      <c r="N263" s="7"/>
      <c r="O263" s="23"/>
      <c r="P263" s="81"/>
      <c r="Q263" s="79"/>
    </row>
    <row r="264" spans="1:17" ht="12.75">
      <c r="A264" s="35" t="s">
        <v>137</v>
      </c>
      <c r="B264" s="98"/>
      <c r="C264" s="145">
        <v>28272.67</v>
      </c>
      <c r="D264" s="114"/>
      <c r="E264" s="160"/>
      <c r="F264" s="189">
        <f aca="true" t="shared" si="73" ref="F264:F273">C264+D264+E264</f>
        <v>28272.67</v>
      </c>
      <c r="G264" s="87"/>
      <c r="H264" s="7"/>
      <c r="I264" s="73">
        <f>F264+G264+H264</f>
        <v>28272.67</v>
      </c>
      <c r="J264" s="28"/>
      <c r="K264" s="7"/>
      <c r="L264" s="73">
        <f>I264+J264+K264</f>
        <v>28272.67</v>
      </c>
      <c r="M264" s="22"/>
      <c r="N264" s="7"/>
      <c r="O264" s="23">
        <f>L264+M264+N264</f>
        <v>28272.67</v>
      </c>
      <c r="P264" s="81"/>
      <c r="Q264" s="79">
        <f>O264+P264</f>
        <v>28272.67</v>
      </c>
    </row>
    <row r="265" spans="1:17" ht="12.75">
      <c r="A265" s="35" t="s">
        <v>50</v>
      </c>
      <c r="B265" s="98"/>
      <c r="C265" s="145">
        <v>7192.59</v>
      </c>
      <c r="D265" s="114"/>
      <c r="E265" s="160"/>
      <c r="F265" s="189">
        <f t="shared" si="73"/>
        <v>7192.59</v>
      </c>
      <c r="G265" s="87"/>
      <c r="H265" s="7"/>
      <c r="I265" s="73">
        <f>F265+G265+H265</f>
        <v>7192.59</v>
      </c>
      <c r="J265" s="28"/>
      <c r="K265" s="7"/>
      <c r="L265" s="73">
        <f>I265+J265+K265</f>
        <v>7192.59</v>
      </c>
      <c r="M265" s="22"/>
      <c r="N265" s="7"/>
      <c r="O265" s="23">
        <f>L265+M265+N265</f>
        <v>7192.59</v>
      </c>
      <c r="P265" s="81"/>
      <c r="Q265" s="79">
        <f>O265+P265</f>
        <v>7192.59</v>
      </c>
    </row>
    <row r="266" spans="1:17" ht="12.75">
      <c r="A266" s="35" t="s">
        <v>252</v>
      </c>
      <c r="B266" s="98"/>
      <c r="C266" s="145">
        <v>1450</v>
      </c>
      <c r="D266" s="114"/>
      <c r="E266" s="160"/>
      <c r="F266" s="189">
        <f t="shared" si="73"/>
        <v>1450</v>
      </c>
      <c r="G266" s="87"/>
      <c r="H266" s="7"/>
      <c r="I266" s="73">
        <f>F266+G266+H266</f>
        <v>1450</v>
      </c>
      <c r="J266" s="28"/>
      <c r="K266" s="7"/>
      <c r="L266" s="73">
        <f>I266+J266+K266</f>
        <v>1450</v>
      </c>
      <c r="M266" s="22"/>
      <c r="N266" s="7"/>
      <c r="O266" s="23">
        <f>L266+M266+N266</f>
        <v>1450</v>
      </c>
      <c r="P266" s="81"/>
      <c r="Q266" s="79">
        <f>O266+P266</f>
        <v>1450</v>
      </c>
    </row>
    <row r="267" spans="1:17" ht="12.75">
      <c r="A267" s="35" t="s">
        <v>51</v>
      </c>
      <c r="B267" s="98"/>
      <c r="C267" s="145">
        <v>16713.78</v>
      </c>
      <c r="D267" s="114">
        <f>1300</f>
        <v>1300</v>
      </c>
      <c r="E267" s="160"/>
      <c r="F267" s="189">
        <f t="shared" si="73"/>
        <v>18013.78</v>
      </c>
      <c r="G267" s="87"/>
      <c r="H267" s="7"/>
      <c r="I267" s="73">
        <f>F267+G267+H267</f>
        <v>18013.78</v>
      </c>
      <c r="J267" s="28"/>
      <c r="K267" s="7"/>
      <c r="L267" s="73">
        <f>I267+J267+K267</f>
        <v>18013.78</v>
      </c>
      <c r="M267" s="22"/>
      <c r="N267" s="7"/>
      <c r="O267" s="23">
        <f>L267+M267+N267</f>
        <v>18013.78</v>
      </c>
      <c r="P267" s="81"/>
      <c r="Q267" s="79">
        <f>O267+P267</f>
        <v>18013.78</v>
      </c>
    </row>
    <row r="268" spans="1:17" ht="12.75" hidden="1">
      <c r="A268" s="35" t="s">
        <v>78</v>
      </c>
      <c r="B268" s="98"/>
      <c r="C268" s="145"/>
      <c r="D268" s="114"/>
      <c r="E268" s="160"/>
      <c r="F268" s="189">
        <f t="shared" si="73"/>
        <v>0</v>
      </c>
      <c r="G268" s="87"/>
      <c r="H268" s="7"/>
      <c r="I268" s="73"/>
      <c r="J268" s="28"/>
      <c r="K268" s="7"/>
      <c r="L268" s="73"/>
      <c r="M268" s="22"/>
      <c r="N268" s="7"/>
      <c r="O268" s="23"/>
      <c r="P268" s="81"/>
      <c r="Q268" s="79"/>
    </row>
    <row r="269" spans="1:17" ht="12.75">
      <c r="A269" s="35" t="s">
        <v>52</v>
      </c>
      <c r="B269" s="98"/>
      <c r="C269" s="145">
        <v>500</v>
      </c>
      <c r="D269" s="114"/>
      <c r="E269" s="160"/>
      <c r="F269" s="189">
        <f t="shared" si="73"/>
        <v>500</v>
      </c>
      <c r="G269" s="87"/>
      <c r="H269" s="7"/>
      <c r="I269" s="73">
        <f>F269+G269+H269</f>
        <v>500</v>
      </c>
      <c r="J269" s="28"/>
      <c r="K269" s="7"/>
      <c r="L269" s="73">
        <f>I269+J269+K269</f>
        <v>500</v>
      </c>
      <c r="M269" s="22"/>
      <c r="N269" s="7"/>
      <c r="O269" s="23">
        <f>L269+M269+N269</f>
        <v>500</v>
      </c>
      <c r="P269" s="81"/>
      <c r="Q269" s="79">
        <f>O269+P269</f>
        <v>500</v>
      </c>
    </row>
    <row r="270" spans="1:17" ht="12.75">
      <c r="A270" s="35" t="s">
        <v>339</v>
      </c>
      <c r="B270" s="98"/>
      <c r="C270" s="145"/>
      <c r="D270" s="114">
        <v>200000</v>
      </c>
      <c r="E270" s="160">
        <v>10000</v>
      </c>
      <c r="F270" s="189">
        <f t="shared" si="73"/>
        <v>210000</v>
      </c>
      <c r="G270" s="87"/>
      <c r="H270" s="7"/>
      <c r="I270" s="73"/>
      <c r="J270" s="28"/>
      <c r="K270" s="7"/>
      <c r="L270" s="73"/>
      <c r="M270" s="22"/>
      <c r="N270" s="7"/>
      <c r="O270" s="23"/>
      <c r="P270" s="81"/>
      <c r="Q270" s="79"/>
    </row>
    <row r="271" spans="1:17" ht="12.75">
      <c r="A271" s="35" t="s">
        <v>253</v>
      </c>
      <c r="B271" s="98"/>
      <c r="C271" s="145">
        <v>9000</v>
      </c>
      <c r="D271" s="114">
        <f>2600+40</f>
        <v>2640</v>
      </c>
      <c r="E271" s="160"/>
      <c r="F271" s="189">
        <f t="shared" si="73"/>
        <v>11640</v>
      </c>
      <c r="G271" s="87"/>
      <c r="H271" s="7"/>
      <c r="I271" s="73"/>
      <c r="J271" s="28"/>
      <c r="K271" s="7"/>
      <c r="L271" s="73"/>
      <c r="M271" s="22"/>
      <c r="N271" s="7"/>
      <c r="O271" s="23"/>
      <c r="P271" s="81"/>
      <c r="Q271" s="79"/>
    </row>
    <row r="272" spans="1:17" ht="12.75">
      <c r="A272" s="35" t="s">
        <v>254</v>
      </c>
      <c r="B272" s="98"/>
      <c r="C272" s="145">
        <v>600</v>
      </c>
      <c r="D272" s="114">
        <f>173</f>
        <v>173</v>
      </c>
      <c r="E272" s="160"/>
      <c r="F272" s="189">
        <f t="shared" si="73"/>
        <v>773</v>
      </c>
      <c r="G272" s="87"/>
      <c r="H272" s="7"/>
      <c r="I272" s="73"/>
      <c r="J272" s="28"/>
      <c r="K272" s="7"/>
      <c r="L272" s="73"/>
      <c r="M272" s="22"/>
      <c r="N272" s="7"/>
      <c r="O272" s="23"/>
      <c r="P272" s="81"/>
      <c r="Q272" s="79"/>
    </row>
    <row r="273" spans="1:17" ht="12.75" hidden="1">
      <c r="A273" s="35" t="s">
        <v>53</v>
      </c>
      <c r="B273" s="98"/>
      <c r="C273" s="145"/>
      <c r="D273" s="114"/>
      <c r="E273" s="160"/>
      <c r="F273" s="189">
        <f t="shared" si="73"/>
        <v>0</v>
      </c>
      <c r="G273" s="87"/>
      <c r="H273" s="7"/>
      <c r="I273" s="73">
        <f>F273+G273+H273</f>
        <v>0</v>
      </c>
      <c r="J273" s="28"/>
      <c r="K273" s="7"/>
      <c r="L273" s="73">
        <f>I273+J273+K273</f>
        <v>0</v>
      </c>
      <c r="M273" s="22"/>
      <c r="N273" s="7"/>
      <c r="O273" s="23">
        <f>L273+M273+N273</f>
        <v>0</v>
      </c>
      <c r="P273" s="81"/>
      <c r="Q273" s="79">
        <f>O273+P273</f>
        <v>0</v>
      </c>
    </row>
    <row r="274" spans="1:17" ht="12.75">
      <c r="A274" s="42" t="s">
        <v>54</v>
      </c>
      <c r="B274" s="102"/>
      <c r="C274" s="174">
        <f aca="true" t="shared" si="74" ref="C274:Q274">SUM(C276:C280)</f>
        <v>0</v>
      </c>
      <c r="D274" s="124">
        <f t="shared" si="74"/>
        <v>4412.0599999999995</v>
      </c>
      <c r="E274" s="164">
        <f t="shared" si="74"/>
        <v>0</v>
      </c>
      <c r="F274" s="194">
        <f t="shared" si="74"/>
        <v>4412.0599999999995</v>
      </c>
      <c r="G274" s="211">
        <f t="shared" si="74"/>
        <v>0</v>
      </c>
      <c r="H274" s="124">
        <f t="shared" si="74"/>
        <v>0</v>
      </c>
      <c r="I274" s="164">
        <f t="shared" si="74"/>
        <v>0</v>
      </c>
      <c r="J274" s="174">
        <f t="shared" si="74"/>
        <v>0</v>
      </c>
      <c r="K274" s="124">
        <f t="shared" si="74"/>
        <v>0</v>
      </c>
      <c r="L274" s="164">
        <f t="shared" si="74"/>
        <v>0</v>
      </c>
      <c r="M274" s="123">
        <f t="shared" si="74"/>
        <v>0</v>
      </c>
      <c r="N274" s="123">
        <f t="shared" si="74"/>
        <v>0</v>
      </c>
      <c r="O274" s="123">
        <f t="shared" si="74"/>
        <v>0</v>
      </c>
      <c r="P274" s="123">
        <f t="shared" si="74"/>
        <v>0</v>
      </c>
      <c r="Q274" s="246">
        <f t="shared" si="74"/>
        <v>0</v>
      </c>
    </row>
    <row r="275" spans="1:17" ht="12.75">
      <c r="A275" s="33" t="s">
        <v>26</v>
      </c>
      <c r="B275" s="98"/>
      <c r="C275" s="139"/>
      <c r="D275" s="117"/>
      <c r="E275" s="161"/>
      <c r="F275" s="190"/>
      <c r="G275" s="208"/>
      <c r="H275" s="8"/>
      <c r="I275" s="29"/>
      <c r="J275" s="226"/>
      <c r="K275" s="8"/>
      <c r="L275" s="29"/>
      <c r="M275" s="24"/>
      <c r="N275" s="8"/>
      <c r="O275" s="25"/>
      <c r="P275" s="81"/>
      <c r="Q275" s="79"/>
    </row>
    <row r="276" spans="1:17" ht="12.75" hidden="1">
      <c r="A276" s="35" t="s">
        <v>156</v>
      </c>
      <c r="B276" s="98"/>
      <c r="C276" s="145"/>
      <c r="D276" s="114"/>
      <c r="E276" s="160"/>
      <c r="F276" s="189">
        <f>C276+D276+E276</f>
        <v>0</v>
      </c>
      <c r="G276" s="87"/>
      <c r="H276" s="7"/>
      <c r="I276" s="73">
        <f>F276+G276+H276</f>
        <v>0</v>
      </c>
      <c r="J276" s="28"/>
      <c r="K276" s="7"/>
      <c r="L276" s="73">
        <f>I276+J276+K276</f>
        <v>0</v>
      </c>
      <c r="M276" s="22"/>
      <c r="N276" s="7"/>
      <c r="O276" s="23">
        <f>L276+M276+N276</f>
        <v>0</v>
      </c>
      <c r="P276" s="81"/>
      <c r="Q276" s="79">
        <f>O276+P276</f>
        <v>0</v>
      </c>
    </row>
    <row r="277" spans="1:17" ht="12.75">
      <c r="A277" s="35" t="s">
        <v>253</v>
      </c>
      <c r="B277" s="98"/>
      <c r="C277" s="145"/>
      <c r="D277" s="114">
        <f>321+450</f>
        <v>771</v>
      </c>
      <c r="E277" s="160"/>
      <c r="F277" s="189">
        <f>C277+D277+E277</f>
        <v>771</v>
      </c>
      <c r="G277" s="87"/>
      <c r="H277" s="7"/>
      <c r="I277" s="73"/>
      <c r="J277" s="28"/>
      <c r="K277" s="7"/>
      <c r="L277" s="73"/>
      <c r="M277" s="22"/>
      <c r="N277" s="7"/>
      <c r="O277" s="23"/>
      <c r="P277" s="81"/>
      <c r="Q277" s="79"/>
    </row>
    <row r="278" spans="1:17" ht="12.75">
      <c r="A278" s="38" t="s">
        <v>254</v>
      </c>
      <c r="B278" s="101"/>
      <c r="C278" s="173"/>
      <c r="D278" s="122">
        <f>3641.06</f>
        <v>3641.06</v>
      </c>
      <c r="E278" s="261"/>
      <c r="F278" s="193">
        <f>C278+D278+E278</f>
        <v>3641.06</v>
      </c>
      <c r="G278" s="87"/>
      <c r="H278" s="7"/>
      <c r="I278" s="73"/>
      <c r="J278" s="28"/>
      <c r="K278" s="7"/>
      <c r="L278" s="73"/>
      <c r="M278" s="22"/>
      <c r="N278" s="7"/>
      <c r="O278" s="23"/>
      <c r="P278" s="81"/>
      <c r="Q278" s="79"/>
    </row>
    <row r="279" spans="1:17" ht="12.75" hidden="1">
      <c r="A279" s="35" t="s">
        <v>53</v>
      </c>
      <c r="B279" s="98"/>
      <c r="C279" s="145"/>
      <c r="D279" s="114"/>
      <c r="E279" s="160"/>
      <c r="F279" s="189">
        <f>C279+D279+E279</f>
        <v>0</v>
      </c>
      <c r="G279" s="212"/>
      <c r="H279" s="10"/>
      <c r="I279" s="72">
        <f>F279+G279+H279</f>
        <v>0</v>
      </c>
      <c r="J279" s="227"/>
      <c r="K279" s="10"/>
      <c r="L279" s="72">
        <f>I279+J279+K279</f>
        <v>0</v>
      </c>
      <c r="M279" s="26"/>
      <c r="N279" s="10"/>
      <c r="O279" s="27">
        <f>L279+M279+N279</f>
        <v>0</v>
      </c>
      <c r="P279" s="84"/>
      <c r="Q279" s="85">
        <f>O279+P279</f>
        <v>0</v>
      </c>
    </row>
    <row r="280" spans="1:17" ht="12.75" hidden="1">
      <c r="A280" s="38" t="s">
        <v>55</v>
      </c>
      <c r="B280" s="101"/>
      <c r="C280" s="173"/>
      <c r="D280" s="122"/>
      <c r="E280" s="261"/>
      <c r="F280" s="193">
        <f>C280+D280+E280</f>
        <v>0</v>
      </c>
      <c r="G280" s="212"/>
      <c r="H280" s="10"/>
      <c r="I280" s="72">
        <f>F280+G280+H280</f>
        <v>0</v>
      </c>
      <c r="J280" s="227"/>
      <c r="K280" s="10"/>
      <c r="L280" s="72">
        <f>I280+J280+K280</f>
        <v>0</v>
      </c>
      <c r="M280" s="26"/>
      <c r="N280" s="10"/>
      <c r="O280" s="27">
        <f>L280+M280+N280</f>
        <v>0</v>
      </c>
      <c r="P280" s="81"/>
      <c r="Q280" s="79">
        <f>O280+P280</f>
        <v>0</v>
      </c>
    </row>
    <row r="281" spans="1:17" ht="12.75">
      <c r="A281" s="32" t="s">
        <v>258</v>
      </c>
      <c r="B281" s="102"/>
      <c r="C281" s="152">
        <f aca="true" t="shared" si="75" ref="C281:Q281">C282+C299</f>
        <v>448158.94</v>
      </c>
      <c r="D281" s="113">
        <f t="shared" si="75"/>
        <v>11224.98</v>
      </c>
      <c r="E281" s="136">
        <f t="shared" si="75"/>
        <v>0</v>
      </c>
      <c r="F281" s="167">
        <f t="shared" si="75"/>
        <v>459383.92</v>
      </c>
      <c r="G281" s="153">
        <f t="shared" si="75"/>
        <v>0</v>
      </c>
      <c r="H281" s="113">
        <f t="shared" si="75"/>
        <v>0</v>
      </c>
      <c r="I281" s="136">
        <f t="shared" si="75"/>
        <v>459383.92</v>
      </c>
      <c r="J281" s="152">
        <f t="shared" si="75"/>
        <v>0</v>
      </c>
      <c r="K281" s="113">
        <f t="shared" si="75"/>
        <v>0</v>
      </c>
      <c r="L281" s="136">
        <f t="shared" si="75"/>
        <v>459383.92</v>
      </c>
      <c r="M281" s="112">
        <f t="shared" si="75"/>
        <v>0</v>
      </c>
      <c r="N281" s="112">
        <f t="shared" si="75"/>
        <v>0</v>
      </c>
      <c r="O281" s="112">
        <f t="shared" si="75"/>
        <v>459383.92</v>
      </c>
      <c r="P281" s="112">
        <f t="shared" si="75"/>
        <v>0</v>
      </c>
      <c r="Q281" s="240">
        <f t="shared" si="75"/>
        <v>459383.92</v>
      </c>
    </row>
    <row r="282" spans="1:17" ht="12.75">
      <c r="A282" s="41" t="s">
        <v>49</v>
      </c>
      <c r="B282" s="102"/>
      <c r="C282" s="172">
        <f aca="true" t="shared" si="76" ref="C282:Q282">SUM(C284:C298)</f>
        <v>448158.94</v>
      </c>
      <c r="D282" s="121">
        <f t="shared" si="76"/>
        <v>11224.98</v>
      </c>
      <c r="E282" s="163">
        <f t="shared" si="76"/>
        <v>0</v>
      </c>
      <c r="F282" s="192">
        <f t="shared" si="76"/>
        <v>459383.92</v>
      </c>
      <c r="G282" s="210">
        <f t="shared" si="76"/>
        <v>0</v>
      </c>
      <c r="H282" s="121">
        <f t="shared" si="76"/>
        <v>0</v>
      </c>
      <c r="I282" s="163">
        <f t="shared" si="76"/>
        <v>459383.92</v>
      </c>
      <c r="J282" s="172">
        <f t="shared" si="76"/>
        <v>0</v>
      </c>
      <c r="K282" s="121">
        <f t="shared" si="76"/>
        <v>0</v>
      </c>
      <c r="L282" s="163">
        <f t="shared" si="76"/>
        <v>459383.92</v>
      </c>
      <c r="M282" s="120">
        <f t="shared" si="76"/>
        <v>0</v>
      </c>
      <c r="N282" s="120">
        <f t="shared" si="76"/>
        <v>0</v>
      </c>
      <c r="O282" s="120">
        <f t="shared" si="76"/>
        <v>459383.92</v>
      </c>
      <c r="P282" s="120">
        <f t="shared" si="76"/>
        <v>0</v>
      </c>
      <c r="Q282" s="245">
        <f t="shared" si="76"/>
        <v>459383.92</v>
      </c>
    </row>
    <row r="283" spans="1:17" ht="12.75">
      <c r="A283" s="37" t="s">
        <v>26</v>
      </c>
      <c r="B283" s="98"/>
      <c r="C283" s="145"/>
      <c r="D283" s="114"/>
      <c r="E283" s="160"/>
      <c r="F283" s="189"/>
      <c r="G283" s="87"/>
      <c r="H283" s="7"/>
      <c r="I283" s="73"/>
      <c r="J283" s="28"/>
      <c r="K283" s="7"/>
      <c r="L283" s="73"/>
      <c r="M283" s="22"/>
      <c r="N283" s="7"/>
      <c r="O283" s="23"/>
      <c r="P283" s="81"/>
      <c r="Q283" s="79"/>
    </row>
    <row r="284" spans="1:17" ht="12.75">
      <c r="A284" s="44" t="s">
        <v>138</v>
      </c>
      <c r="B284" s="98"/>
      <c r="C284" s="145">
        <v>237478.44</v>
      </c>
      <c r="D284" s="114"/>
      <c r="E284" s="160"/>
      <c r="F284" s="189">
        <f aca="true" t="shared" si="77" ref="F284:F298">C284+D284+E284</f>
        <v>237478.44</v>
      </c>
      <c r="G284" s="87"/>
      <c r="H284" s="7"/>
      <c r="I284" s="73">
        <f>F284+G284+H284</f>
        <v>237478.44</v>
      </c>
      <c r="J284" s="28"/>
      <c r="K284" s="7"/>
      <c r="L284" s="73">
        <f>I284+J284+K284</f>
        <v>237478.44</v>
      </c>
      <c r="M284" s="22"/>
      <c r="N284" s="7"/>
      <c r="O284" s="23">
        <f>L284+M284+N284</f>
        <v>237478.44</v>
      </c>
      <c r="P284" s="81"/>
      <c r="Q284" s="79">
        <f aca="true" t="shared" si="78" ref="Q284:Q291">O284+P284</f>
        <v>237478.44</v>
      </c>
    </row>
    <row r="285" spans="1:17" ht="12.75">
      <c r="A285" s="35" t="s">
        <v>50</v>
      </c>
      <c r="B285" s="98"/>
      <c r="C285" s="145">
        <v>80587.27</v>
      </c>
      <c r="D285" s="114"/>
      <c r="E285" s="160"/>
      <c r="F285" s="189">
        <f t="shared" si="77"/>
        <v>80587.27</v>
      </c>
      <c r="G285" s="87"/>
      <c r="H285" s="7"/>
      <c r="I285" s="73">
        <f aca="true" t="shared" si="79" ref="I285:I291">F285+G285+H285</f>
        <v>80587.27</v>
      </c>
      <c r="J285" s="28"/>
      <c r="K285" s="7"/>
      <c r="L285" s="73">
        <f aca="true" t="shared" si="80" ref="L285:L291">I285+J285+K285</f>
        <v>80587.27</v>
      </c>
      <c r="M285" s="22"/>
      <c r="N285" s="7"/>
      <c r="O285" s="23">
        <f aca="true" t="shared" si="81" ref="O285:O291">L285+M285+N285</f>
        <v>80587.27</v>
      </c>
      <c r="P285" s="81"/>
      <c r="Q285" s="79">
        <f t="shared" si="78"/>
        <v>80587.27</v>
      </c>
    </row>
    <row r="286" spans="1:17" ht="12.75">
      <c r="A286" s="35" t="s">
        <v>252</v>
      </c>
      <c r="B286" s="98"/>
      <c r="C286" s="145">
        <v>200</v>
      </c>
      <c r="D286" s="114"/>
      <c r="E286" s="160"/>
      <c r="F286" s="189">
        <f t="shared" si="77"/>
        <v>200</v>
      </c>
      <c r="G286" s="87"/>
      <c r="H286" s="7"/>
      <c r="I286" s="73">
        <f t="shared" si="79"/>
        <v>200</v>
      </c>
      <c r="J286" s="28"/>
      <c r="K286" s="7"/>
      <c r="L286" s="73">
        <f t="shared" si="80"/>
        <v>200</v>
      </c>
      <c r="M286" s="22"/>
      <c r="N286" s="7"/>
      <c r="O286" s="23">
        <f t="shared" si="81"/>
        <v>200</v>
      </c>
      <c r="P286" s="81"/>
      <c r="Q286" s="79">
        <f t="shared" si="78"/>
        <v>200</v>
      </c>
    </row>
    <row r="287" spans="1:17" ht="12.75">
      <c r="A287" s="35" t="s">
        <v>51</v>
      </c>
      <c r="B287" s="98"/>
      <c r="C287" s="145">
        <v>65726.5</v>
      </c>
      <c r="D287" s="142">
        <f>9011+418.98</f>
        <v>9429.98</v>
      </c>
      <c r="E287" s="160"/>
      <c r="F287" s="189">
        <f t="shared" si="77"/>
        <v>75156.48</v>
      </c>
      <c r="G287" s="87"/>
      <c r="H287" s="7"/>
      <c r="I287" s="73">
        <f t="shared" si="79"/>
        <v>75156.48</v>
      </c>
      <c r="J287" s="28"/>
      <c r="K287" s="7"/>
      <c r="L287" s="73">
        <f t="shared" si="80"/>
        <v>75156.48</v>
      </c>
      <c r="M287" s="22"/>
      <c r="N287" s="7"/>
      <c r="O287" s="23">
        <f t="shared" si="81"/>
        <v>75156.48</v>
      </c>
      <c r="P287" s="81"/>
      <c r="Q287" s="79">
        <f t="shared" si="78"/>
        <v>75156.48</v>
      </c>
    </row>
    <row r="288" spans="1:17" ht="12.75">
      <c r="A288" s="35" t="s">
        <v>56</v>
      </c>
      <c r="B288" s="98">
        <v>1115</v>
      </c>
      <c r="C288" s="145">
        <v>350</v>
      </c>
      <c r="D288" s="114">
        <f>80</f>
        <v>80</v>
      </c>
      <c r="E288" s="160"/>
      <c r="F288" s="189">
        <f t="shared" si="77"/>
        <v>430</v>
      </c>
      <c r="G288" s="87"/>
      <c r="H288" s="7"/>
      <c r="I288" s="73">
        <f t="shared" si="79"/>
        <v>430</v>
      </c>
      <c r="J288" s="28"/>
      <c r="K288" s="7"/>
      <c r="L288" s="73">
        <f t="shared" si="80"/>
        <v>430</v>
      </c>
      <c r="M288" s="22"/>
      <c r="N288" s="7"/>
      <c r="O288" s="23">
        <f t="shared" si="81"/>
        <v>430</v>
      </c>
      <c r="P288" s="81"/>
      <c r="Q288" s="79">
        <f t="shared" si="78"/>
        <v>430</v>
      </c>
    </row>
    <row r="289" spans="1:17" ht="12.75" hidden="1">
      <c r="A289" s="35" t="s">
        <v>57</v>
      </c>
      <c r="B289" s="98"/>
      <c r="C289" s="145"/>
      <c r="D289" s="114"/>
      <c r="E289" s="160"/>
      <c r="F289" s="189">
        <f t="shared" si="77"/>
        <v>0</v>
      </c>
      <c r="G289" s="87"/>
      <c r="H289" s="7"/>
      <c r="I289" s="73">
        <f t="shared" si="79"/>
        <v>0</v>
      </c>
      <c r="J289" s="28"/>
      <c r="K289" s="7"/>
      <c r="L289" s="73">
        <f t="shared" si="80"/>
        <v>0</v>
      </c>
      <c r="M289" s="22"/>
      <c r="N289" s="7"/>
      <c r="O289" s="23">
        <f t="shared" si="81"/>
        <v>0</v>
      </c>
      <c r="P289" s="81"/>
      <c r="Q289" s="79">
        <f t="shared" si="78"/>
        <v>0</v>
      </c>
    </row>
    <row r="290" spans="1:17" ht="12.75">
      <c r="A290" s="35" t="s">
        <v>58</v>
      </c>
      <c r="B290" s="98">
        <v>51</v>
      </c>
      <c r="C290" s="145">
        <v>63816.73</v>
      </c>
      <c r="D290" s="114">
        <f>1700</f>
        <v>1700</v>
      </c>
      <c r="E290" s="160"/>
      <c r="F290" s="189">
        <f t="shared" si="77"/>
        <v>65516.73</v>
      </c>
      <c r="G290" s="87"/>
      <c r="H290" s="7"/>
      <c r="I290" s="73">
        <f t="shared" si="79"/>
        <v>65516.73</v>
      </c>
      <c r="J290" s="28"/>
      <c r="K290" s="7"/>
      <c r="L290" s="73">
        <f t="shared" si="80"/>
        <v>65516.73</v>
      </c>
      <c r="M290" s="22"/>
      <c r="N290" s="7"/>
      <c r="O290" s="23">
        <f t="shared" si="81"/>
        <v>65516.73</v>
      </c>
      <c r="P290" s="81"/>
      <c r="Q290" s="79">
        <f t="shared" si="78"/>
        <v>65516.73</v>
      </c>
    </row>
    <row r="291" spans="1:17" ht="12.75" hidden="1">
      <c r="A291" s="35" t="s">
        <v>77</v>
      </c>
      <c r="B291" s="98"/>
      <c r="C291" s="145"/>
      <c r="D291" s="114"/>
      <c r="E291" s="160"/>
      <c r="F291" s="189">
        <f t="shared" si="77"/>
        <v>0</v>
      </c>
      <c r="G291" s="87"/>
      <c r="H291" s="7"/>
      <c r="I291" s="73">
        <f t="shared" si="79"/>
        <v>0</v>
      </c>
      <c r="J291" s="28"/>
      <c r="K291" s="7"/>
      <c r="L291" s="73">
        <f t="shared" si="80"/>
        <v>0</v>
      </c>
      <c r="M291" s="22"/>
      <c r="N291" s="7"/>
      <c r="O291" s="23">
        <f t="shared" si="81"/>
        <v>0</v>
      </c>
      <c r="P291" s="81"/>
      <c r="Q291" s="79">
        <f t="shared" si="78"/>
        <v>0</v>
      </c>
    </row>
    <row r="292" spans="1:17" ht="12.75" hidden="1">
      <c r="A292" s="35" t="s">
        <v>202</v>
      </c>
      <c r="B292" s="98">
        <v>13234</v>
      </c>
      <c r="C292" s="145"/>
      <c r="D292" s="114"/>
      <c r="E292" s="160"/>
      <c r="F292" s="189">
        <f t="shared" si="77"/>
        <v>0</v>
      </c>
      <c r="G292" s="87"/>
      <c r="H292" s="7"/>
      <c r="I292" s="73"/>
      <c r="J292" s="28"/>
      <c r="K292" s="7"/>
      <c r="L292" s="73"/>
      <c r="M292" s="22"/>
      <c r="N292" s="7"/>
      <c r="O292" s="23"/>
      <c r="P292" s="81"/>
      <c r="Q292" s="79"/>
    </row>
    <row r="293" spans="1:17" ht="12.75" hidden="1">
      <c r="A293" s="35" t="s">
        <v>59</v>
      </c>
      <c r="B293" s="98"/>
      <c r="C293" s="145"/>
      <c r="D293" s="114"/>
      <c r="E293" s="160"/>
      <c r="F293" s="189">
        <f t="shared" si="77"/>
        <v>0</v>
      </c>
      <c r="G293" s="87"/>
      <c r="H293" s="7"/>
      <c r="I293" s="73">
        <f>F293+G293+H293</f>
        <v>0</v>
      </c>
      <c r="J293" s="28"/>
      <c r="K293" s="7"/>
      <c r="L293" s="73">
        <f>I293+J293+K293</f>
        <v>0</v>
      </c>
      <c r="M293" s="22"/>
      <c r="N293" s="7"/>
      <c r="O293" s="23">
        <f>L293+M293+N293</f>
        <v>0</v>
      </c>
      <c r="P293" s="81"/>
      <c r="Q293" s="79">
        <f>O293+P293</f>
        <v>0</v>
      </c>
    </row>
    <row r="294" spans="1:17" ht="12.75" hidden="1">
      <c r="A294" s="35" t="s">
        <v>261</v>
      </c>
      <c r="B294" s="98">
        <v>98008</v>
      </c>
      <c r="C294" s="145"/>
      <c r="D294" s="114"/>
      <c r="E294" s="160"/>
      <c r="F294" s="189">
        <f t="shared" si="77"/>
        <v>0</v>
      </c>
      <c r="G294" s="87"/>
      <c r="H294" s="7"/>
      <c r="I294" s="73"/>
      <c r="J294" s="28"/>
      <c r="K294" s="7"/>
      <c r="L294" s="73"/>
      <c r="M294" s="22"/>
      <c r="N294" s="7"/>
      <c r="O294" s="23"/>
      <c r="P294" s="81"/>
      <c r="Q294" s="79"/>
    </row>
    <row r="295" spans="1:17" ht="12.75" hidden="1">
      <c r="A295" s="35" t="s">
        <v>262</v>
      </c>
      <c r="B295" s="98">
        <v>98071</v>
      </c>
      <c r="C295" s="145"/>
      <c r="D295" s="114"/>
      <c r="E295" s="160"/>
      <c r="F295" s="189">
        <f t="shared" si="77"/>
        <v>0</v>
      </c>
      <c r="G295" s="87"/>
      <c r="H295" s="7"/>
      <c r="I295" s="73"/>
      <c r="J295" s="28"/>
      <c r="K295" s="7"/>
      <c r="L295" s="73"/>
      <c r="M295" s="22"/>
      <c r="N295" s="7"/>
      <c r="O295" s="23"/>
      <c r="P295" s="81"/>
      <c r="Q295" s="79"/>
    </row>
    <row r="296" spans="1:17" ht="12.75">
      <c r="A296" s="38" t="s">
        <v>60</v>
      </c>
      <c r="B296" s="101">
        <v>98074</v>
      </c>
      <c r="C296" s="173"/>
      <c r="D296" s="122">
        <f>15</f>
        <v>15</v>
      </c>
      <c r="E296" s="261"/>
      <c r="F296" s="193">
        <f t="shared" si="77"/>
        <v>15</v>
      </c>
      <c r="G296" s="87"/>
      <c r="H296" s="7"/>
      <c r="I296" s="73">
        <f>F296+G296+H296</f>
        <v>15</v>
      </c>
      <c r="J296" s="28"/>
      <c r="K296" s="7"/>
      <c r="L296" s="73">
        <f>I296+J296+K296</f>
        <v>15</v>
      </c>
      <c r="M296" s="22"/>
      <c r="N296" s="7"/>
      <c r="O296" s="23">
        <f>L296+M296+N296</f>
        <v>15</v>
      </c>
      <c r="P296" s="81"/>
      <c r="Q296" s="79">
        <f>O296+P296</f>
        <v>15</v>
      </c>
    </row>
    <row r="297" spans="1:17" ht="12.75" hidden="1">
      <c r="A297" s="35" t="s">
        <v>61</v>
      </c>
      <c r="B297" s="98"/>
      <c r="C297" s="145"/>
      <c r="D297" s="114"/>
      <c r="E297" s="160"/>
      <c r="F297" s="189">
        <f t="shared" si="77"/>
        <v>0</v>
      </c>
      <c r="G297" s="87"/>
      <c r="H297" s="7"/>
      <c r="I297" s="73">
        <f>F297+G297+H297</f>
        <v>0</v>
      </c>
      <c r="J297" s="28"/>
      <c r="K297" s="7"/>
      <c r="L297" s="73">
        <f>I297+J297+K297</f>
        <v>0</v>
      </c>
      <c r="M297" s="22"/>
      <c r="N297" s="7"/>
      <c r="O297" s="23">
        <f>L297+M297+N297</f>
        <v>0</v>
      </c>
      <c r="P297" s="81"/>
      <c r="Q297" s="79">
        <f>O297+P297</f>
        <v>0</v>
      </c>
    </row>
    <row r="298" spans="1:17" ht="12.75" hidden="1">
      <c r="A298" s="35" t="s">
        <v>62</v>
      </c>
      <c r="B298" s="98">
        <v>4001</v>
      </c>
      <c r="C298" s="145"/>
      <c r="D298" s="114"/>
      <c r="E298" s="160"/>
      <c r="F298" s="189">
        <f t="shared" si="77"/>
        <v>0</v>
      </c>
      <c r="G298" s="87"/>
      <c r="H298" s="7"/>
      <c r="I298" s="73">
        <f>F298+G298+H298</f>
        <v>0</v>
      </c>
      <c r="J298" s="28"/>
      <c r="K298" s="7"/>
      <c r="L298" s="73">
        <f>I298+J298+K298</f>
        <v>0</v>
      </c>
      <c r="M298" s="22"/>
      <c r="N298" s="7"/>
      <c r="O298" s="23">
        <f>L298+M298+N298</f>
        <v>0</v>
      </c>
      <c r="P298" s="81"/>
      <c r="Q298" s="79">
        <f>O298+P298</f>
        <v>0</v>
      </c>
    </row>
    <row r="299" spans="1:17" ht="12.75" hidden="1">
      <c r="A299" s="41" t="s">
        <v>54</v>
      </c>
      <c r="B299" s="102"/>
      <c r="C299" s="172">
        <f>C302+C301</f>
        <v>0</v>
      </c>
      <c r="D299" s="121">
        <f aca="true" t="shared" si="82" ref="D299:Q299">D302+D301</f>
        <v>0</v>
      </c>
      <c r="E299" s="163">
        <f t="shared" si="82"/>
        <v>0</v>
      </c>
      <c r="F299" s="192">
        <f t="shared" si="82"/>
        <v>0</v>
      </c>
      <c r="G299" s="210">
        <f t="shared" si="82"/>
        <v>0</v>
      </c>
      <c r="H299" s="121">
        <f t="shared" si="82"/>
        <v>0</v>
      </c>
      <c r="I299" s="163">
        <f t="shared" si="82"/>
        <v>0</v>
      </c>
      <c r="J299" s="172">
        <f t="shared" si="82"/>
        <v>0</v>
      </c>
      <c r="K299" s="121">
        <f t="shared" si="82"/>
        <v>0</v>
      </c>
      <c r="L299" s="163">
        <f t="shared" si="82"/>
        <v>0</v>
      </c>
      <c r="M299" s="120">
        <f t="shared" si="82"/>
        <v>0</v>
      </c>
      <c r="N299" s="120">
        <f t="shared" si="82"/>
        <v>0</v>
      </c>
      <c r="O299" s="120">
        <f t="shared" si="82"/>
        <v>0</v>
      </c>
      <c r="P299" s="120">
        <f t="shared" si="82"/>
        <v>0</v>
      </c>
      <c r="Q299" s="245">
        <f t="shared" si="82"/>
        <v>0</v>
      </c>
    </row>
    <row r="300" spans="1:17" ht="12.75" hidden="1">
      <c r="A300" s="37" t="s">
        <v>26</v>
      </c>
      <c r="B300" s="98"/>
      <c r="C300" s="145"/>
      <c r="D300" s="114"/>
      <c r="E300" s="160"/>
      <c r="F300" s="167"/>
      <c r="G300" s="87"/>
      <c r="H300" s="7"/>
      <c r="I300" s="69"/>
      <c r="J300" s="28"/>
      <c r="K300" s="7"/>
      <c r="L300" s="69"/>
      <c r="M300" s="22"/>
      <c r="N300" s="7"/>
      <c r="O300" s="21"/>
      <c r="P300" s="81"/>
      <c r="Q300" s="79"/>
    </row>
    <row r="301" spans="1:17" ht="12.75" hidden="1">
      <c r="A301" s="34" t="s">
        <v>55</v>
      </c>
      <c r="B301" s="98"/>
      <c r="C301" s="145"/>
      <c r="D301" s="114"/>
      <c r="E301" s="160"/>
      <c r="F301" s="189">
        <f>C301+D301+E301</f>
        <v>0</v>
      </c>
      <c r="G301" s="87"/>
      <c r="H301" s="7"/>
      <c r="I301" s="73">
        <f>F301+G301+H301</f>
        <v>0</v>
      </c>
      <c r="J301" s="28"/>
      <c r="K301" s="7"/>
      <c r="L301" s="73">
        <f>I301+J301+K301</f>
        <v>0</v>
      </c>
      <c r="M301" s="22"/>
      <c r="N301" s="7"/>
      <c r="O301" s="23">
        <f>L301+M301+N301</f>
        <v>0</v>
      </c>
      <c r="P301" s="81"/>
      <c r="Q301" s="79">
        <f>O301+P301</f>
        <v>0</v>
      </c>
    </row>
    <row r="302" spans="1:17" ht="12.75" hidden="1">
      <c r="A302" s="38" t="s">
        <v>78</v>
      </c>
      <c r="B302" s="101"/>
      <c r="C302" s="173"/>
      <c r="D302" s="122"/>
      <c r="E302" s="261"/>
      <c r="F302" s="193">
        <f>C302+D302+E302</f>
        <v>0</v>
      </c>
      <c r="G302" s="212"/>
      <c r="H302" s="10"/>
      <c r="I302" s="72">
        <f>F302+G302+H302</f>
        <v>0</v>
      </c>
      <c r="J302" s="227"/>
      <c r="K302" s="10"/>
      <c r="L302" s="72">
        <f>I302+J302+K302</f>
        <v>0</v>
      </c>
      <c r="M302" s="26"/>
      <c r="N302" s="10"/>
      <c r="O302" s="27">
        <f>L302+M302+N302</f>
        <v>0</v>
      </c>
      <c r="P302" s="84"/>
      <c r="Q302" s="85">
        <f>O302+P302</f>
        <v>0</v>
      </c>
    </row>
    <row r="303" spans="1:17" ht="12.75">
      <c r="A303" s="47" t="s">
        <v>167</v>
      </c>
      <c r="B303" s="103"/>
      <c r="C303" s="152">
        <f aca="true" t="shared" si="83" ref="C303:Q303">C304+C328</f>
        <v>829460.8700000001</v>
      </c>
      <c r="D303" s="113">
        <f t="shared" si="83"/>
        <v>1773618.5</v>
      </c>
      <c r="E303" s="136">
        <f t="shared" si="83"/>
        <v>0</v>
      </c>
      <c r="F303" s="167">
        <f t="shared" si="83"/>
        <v>2603079.37</v>
      </c>
      <c r="G303" s="153">
        <f t="shared" si="83"/>
        <v>0</v>
      </c>
      <c r="H303" s="113">
        <f t="shared" si="83"/>
        <v>0</v>
      </c>
      <c r="I303" s="136">
        <f t="shared" si="83"/>
        <v>0</v>
      </c>
      <c r="J303" s="152">
        <f t="shared" si="83"/>
        <v>0</v>
      </c>
      <c r="K303" s="113">
        <f t="shared" si="83"/>
        <v>0</v>
      </c>
      <c r="L303" s="136">
        <f t="shared" si="83"/>
        <v>0</v>
      </c>
      <c r="M303" s="112">
        <f t="shared" si="83"/>
        <v>0</v>
      </c>
      <c r="N303" s="112">
        <f t="shared" si="83"/>
        <v>0</v>
      </c>
      <c r="O303" s="112">
        <f t="shared" si="83"/>
        <v>0</v>
      </c>
      <c r="P303" s="112">
        <f t="shared" si="83"/>
        <v>0</v>
      </c>
      <c r="Q303" s="240">
        <f t="shared" si="83"/>
        <v>0</v>
      </c>
    </row>
    <row r="304" spans="1:17" ht="12.75">
      <c r="A304" s="41" t="s">
        <v>49</v>
      </c>
      <c r="B304" s="102"/>
      <c r="C304" s="172">
        <f aca="true" t="shared" si="84" ref="C304:Q304">SUM(C306:C316)</f>
        <v>76319.28</v>
      </c>
      <c r="D304" s="121">
        <f t="shared" si="84"/>
        <v>44694.51</v>
      </c>
      <c r="E304" s="163">
        <f t="shared" si="84"/>
        <v>0</v>
      </c>
      <c r="F304" s="192">
        <f t="shared" si="84"/>
        <v>121013.79000000001</v>
      </c>
      <c r="G304" s="210">
        <f t="shared" si="84"/>
        <v>0</v>
      </c>
      <c r="H304" s="121">
        <f t="shared" si="84"/>
        <v>0</v>
      </c>
      <c r="I304" s="163">
        <f t="shared" si="84"/>
        <v>0</v>
      </c>
      <c r="J304" s="172">
        <f t="shared" si="84"/>
        <v>0</v>
      </c>
      <c r="K304" s="121">
        <f t="shared" si="84"/>
        <v>0</v>
      </c>
      <c r="L304" s="163">
        <f t="shared" si="84"/>
        <v>0</v>
      </c>
      <c r="M304" s="120">
        <f t="shared" si="84"/>
        <v>0</v>
      </c>
      <c r="N304" s="120">
        <f t="shared" si="84"/>
        <v>0</v>
      </c>
      <c r="O304" s="120">
        <f t="shared" si="84"/>
        <v>0</v>
      </c>
      <c r="P304" s="120">
        <f t="shared" si="84"/>
        <v>0</v>
      </c>
      <c r="Q304" s="245">
        <f t="shared" si="84"/>
        <v>0</v>
      </c>
    </row>
    <row r="305" spans="1:17" ht="12.75">
      <c r="A305" s="37" t="s">
        <v>26</v>
      </c>
      <c r="B305" s="98"/>
      <c r="C305" s="172"/>
      <c r="D305" s="133"/>
      <c r="E305" s="263"/>
      <c r="F305" s="192"/>
      <c r="G305" s="87"/>
      <c r="H305" s="7"/>
      <c r="I305" s="73"/>
      <c r="J305" s="28"/>
      <c r="K305" s="7"/>
      <c r="L305" s="73"/>
      <c r="M305" s="31"/>
      <c r="N305" s="7"/>
      <c r="O305" s="23"/>
      <c r="P305" s="81"/>
      <c r="Q305" s="79"/>
    </row>
    <row r="306" spans="1:17" ht="12.75">
      <c r="A306" s="39" t="s">
        <v>51</v>
      </c>
      <c r="B306" s="98"/>
      <c r="C306" s="145">
        <v>6645.87</v>
      </c>
      <c r="D306" s="125">
        <f>1000</f>
        <v>1000</v>
      </c>
      <c r="E306" s="264"/>
      <c r="F306" s="189">
        <f aca="true" t="shared" si="85" ref="F306:F327">C306+D306+E306</f>
        <v>7645.87</v>
      </c>
      <c r="G306" s="87"/>
      <c r="H306" s="7"/>
      <c r="I306" s="73"/>
      <c r="J306" s="28"/>
      <c r="K306" s="7"/>
      <c r="L306" s="73"/>
      <c r="M306" s="31"/>
      <c r="N306" s="7"/>
      <c r="O306" s="23"/>
      <c r="P306" s="81"/>
      <c r="Q306" s="79"/>
    </row>
    <row r="307" spans="1:17" ht="12.75">
      <c r="A307" s="39" t="s">
        <v>173</v>
      </c>
      <c r="B307" s="98">
        <v>1080</v>
      </c>
      <c r="C307" s="145"/>
      <c r="D307" s="125">
        <f>1306.05</f>
        <v>1306.05</v>
      </c>
      <c r="E307" s="264"/>
      <c r="F307" s="189">
        <f t="shared" si="85"/>
        <v>1306.05</v>
      </c>
      <c r="G307" s="87"/>
      <c r="H307" s="7"/>
      <c r="I307" s="73"/>
      <c r="J307" s="28"/>
      <c r="K307" s="7"/>
      <c r="L307" s="73"/>
      <c r="M307" s="31"/>
      <c r="N307" s="7"/>
      <c r="O307" s="23"/>
      <c r="P307" s="81"/>
      <c r="Q307" s="79"/>
    </row>
    <row r="308" spans="1:17" ht="12.75">
      <c r="A308" s="39" t="s">
        <v>174</v>
      </c>
      <c r="B308" s="233">
        <v>1081.1202</v>
      </c>
      <c r="C308" s="145">
        <v>2182</v>
      </c>
      <c r="D308" s="125">
        <f>457.11</f>
        <v>457.11</v>
      </c>
      <c r="E308" s="264"/>
      <c r="F308" s="189">
        <f t="shared" si="85"/>
        <v>2639.11</v>
      </c>
      <c r="G308" s="87"/>
      <c r="H308" s="7"/>
      <c r="I308" s="73"/>
      <c r="J308" s="28"/>
      <c r="K308" s="7"/>
      <c r="L308" s="73"/>
      <c r="M308" s="31"/>
      <c r="N308" s="7"/>
      <c r="O308" s="23"/>
      <c r="P308" s="81"/>
      <c r="Q308" s="79"/>
    </row>
    <row r="309" spans="1:17" ht="12.75">
      <c r="A309" s="99" t="s">
        <v>81</v>
      </c>
      <c r="B309" s="98"/>
      <c r="C309" s="145">
        <v>300</v>
      </c>
      <c r="D309" s="125"/>
      <c r="E309" s="264"/>
      <c r="F309" s="189">
        <f t="shared" si="85"/>
        <v>300</v>
      </c>
      <c r="G309" s="87"/>
      <c r="H309" s="7"/>
      <c r="I309" s="73"/>
      <c r="J309" s="28"/>
      <c r="K309" s="7"/>
      <c r="L309" s="73"/>
      <c r="M309" s="31"/>
      <c r="N309" s="7"/>
      <c r="O309" s="23"/>
      <c r="P309" s="81"/>
      <c r="Q309" s="79"/>
    </row>
    <row r="310" spans="1:17" ht="12.75">
      <c r="A310" s="35" t="s">
        <v>180</v>
      </c>
      <c r="B310" s="98"/>
      <c r="C310" s="145">
        <v>35554.41</v>
      </c>
      <c r="D310" s="125"/>
      <c r="E310" s="264"/>
      <c r="F310" s="189">
        <f t="shared" si="85"/>
        <v>35554.41</v>
      </c>
      <c r="G310" s="87"/>
      <c r="H310" s="7"/>
      <c r="I310" s="73"/>
      <c r="J310" s="28"/>
      <c r="K310" s="7"/>
      <c r="L310" s="73"/>
      <c r="M310" s="31"/>
      <c r="N310" s="7"/>
      <c r="O310" s="23"/>
      <c r="P310" s="81"/>
      <c r="Q310" s="79"/>
    </row>
    <row r="311" spans="1:17" ht="12.75">
      <c r="A311" s="39" t="s">
        <v>235</v>
      </c>
      <c r="B311" s="98"/>
      <c r="C311" s="145"/>
      <c r="D311" s="125">
        <f>330.16</f>
        <v>330.16</v>
      </c>
      <c r="E311" s="264"/>
      <c r="F311" s="189">
        <f t="shared" si="85"/>
        <v>330.16</v>
      </c>
      <c r="G311" s="87"/>
      <c r="H311" s="7"/>
      <c r="I311" s="73"/>
      <c r="J311" s="28"/>
      <c r="K311" s="7"/>
      <c r="L311" s="73"/>
      <c r="M311" s="31"/>
      <c r="N311" s="7"/>
      <c r="O311" s="23"/>
      <c r="P311" s="81"/>
      <c r="Q311" s="79"/>
    </row>
    <row r="312" spans="1:17" ht="12.75">
      <c r="A312" s="35" t="s">
        <v>199</v>
      </c>
      <c r="B312" s="156">
        <v>212163</v>
      </c>
      <c r="C312" s="145"/>
      <c r="D312" s="125">
        <v>0.05</v>
      </c>
      <c r="E312" s="264"/>
      <c r="F312" s="189">
        <f t="shared" si="85"/>
        <v>0.05</v>
      </c>
      <c r="G312" s="87"/>
      <c r="H312" s="7"/>
      <c r="I312" s="73"/>
      <c r="J312" s="28"/>
      <c r="K312" s="7"/>
      <c r="L312" s="73"/>
      <c r="M312" s="31"/>
      <c r="N312" s="7"/>
      <c r="O312" s="23"/>
      <c r="P312" s="81"/>
      <c r="Q312" s="79"/>
    </row>
    <row r="313" spans="1:17" ht="12.75">
      <c r="A313" s="39" t="s">
        <v>170</v>
      </c>
      <c r="B313" s="156">
        <v>212162</v>
      </c>
      <c r="C313" s="145"/>
      <c r="D313" s="125">
        <f>658.97</f>
        <v>658.97</v>
      </c>
      <c r="E313" s="264"/>
      <c r="F313" s="189">
        <f t="shared" si="85"/>
        <v>658.97</v>
      </c>
      <c r="G313" s="87"/>
      <c r="H313" s="7"/>
      <c r="I313" s="73"/>
      <c r="J313" s="28"/>
      <c r="K313" s="7"/>
      <c r="L313" s="73"/>
      <c r="M313" s="31"/>
      <c r="N313" s="7"/>
      <c r="O313" s="23"/>
      <c r="P313" s="81"/>
      <c r="Q313" s="79"/>
    </row>
    <row r="314" spans="1:17" ht="12.75">
      <c r="A314" s="39" t="s">
        <v>337</v>
      </c>
      <c r="B314" s="156"/>
      <c r="C314" s="145"/>
      <c r="D314" s="125">
        <f>558.14</f>
        <v>558.14</v>
      </c>
      <c r="E314" s="264"/>
      <c r="F314" s="189">
        <f t="shared" si="85"/>
        <v>558.14</v>
      </c>
      <c r="G314" s="87"/>
      <c r="H314" s="7"/>
      <c r="I314" s="87"/>
      <c r="J314" s="28"/>
      <c r="K314" s="7"/>
      <c r="L314" s="87"/>
      <c r="M314" s="225"/>
      <c r="N314" s="87"/>
      <c r="O314" s="87"/>
      <c r="P314" s="257"/>
      <c r="Q314" s="79"/>
    </row>
    <row r="315" spans="1:17" ht="12.75">
      <c r="A315" s="39" t="s">
        <v>314</v>
      </c>
      <c r="B315" s="156"/>
      <c r="C315" s="145"/>
      <c r="D315" s="125">
        <f>181.24</f>
        <v>181.24</v>
      </c>
      <c r="E315" s="264"/>
      <c r="F315" s="189">
        <f t="shared" si="85"/>
        <v>181.24</v>
      </c>
      <c r="G315" s="87"/>
      <c r="H315" s="7"/>
      <c r="I315" s="87"/>
      <c r="J315" s="28"/>
      <c r="K315" s="7"/>
      <c r="L315" s="87"/>
      <c r="M315" s="225"/>
      <c r="N315" s="87"/>
      <c r="O315" s="87"/>
      <c r="P315" s="257"/>
      <c r="Q315" s="79"/>
    </row>
    <row r="316" spans="1:17" ht="12.75">
      <c r="A316" s="35" t="s">
        <v>78</v>
      </c>
      <c r="B316" s="98"/>
      <c r="C316" s="147">
        <f>SUM(C317:C327)</f>
        <v>31637</v>
      </c>
      <c r="D316" s="125">
        <f>SUM(D317:D327)</f>
        <v>40202.79</v>
      </c>
      <c r="E316" s="264">
        <f aca="true" t="shared" si="86" ref="E316:Q316">SUM(E317:E327)</f>
        <v>0</v>
      </c>
      <c r="F316" s="196">
        <f t="shared" si="86"/>
        <v>71839.79000000001</v>
      </c>
      <c r="G316" s="165">
        <f t="shared" si="86"/>
        <v>0</v>
      </c>
      <c r="H316" s="125">
        <f t="shared" si="86"/>
        <v>0</v>
      </c>
      <c r="I316" s="165">
        <f t="shared" si="86"/>
        <v>0</v>
      </c>
      <c r="J316" s="147">
        <f t="shared" si="86"/>
        <v>0</v>
      </c>
      <c r="K316" s="125">
        <f t="shared" si="86"/>
        <v>0</v>
      </c>
      <c r="L316" s="165">
        <f t="shared" si="86"/>
        <v>0</v>
      </c>
      <c r="M316" s="147">
        <f t="shared" si="86"/>
        <v>0</v>
      </c>
      <c r="N316" s="147">
        <f t="shared" si="86"/>
        <v>0</v>
      </c>
      <c r="O316" s="147">
        <f t="shared" si="86"/>
        <v>0</v>
      </c>
      <c r="P316" s="147">
        <f t="shared" si="86"/>
        <v>0</v>
      </c>
      <c r="Q316" s="247">
        <f t="shared" si="86"/>
        <v>0</v>
      </c>
    </row>
    <row r="317" spans="1:17" ht="12.75">
      <c r="A317" s="35" t="s">
        <v>222</v>
      </c>
      <c r="B317" s="98"/>
      <c r="C317" s="147">
        <v>14000</v>
      </c>
      <c r="D317" s="125">
        <f>2350</f>
        <v>2350</v>
      </c>
      <c r="E317" s="160"/>
      <c r="F317" s="189">
        <f t="shared" si="85"/>
        <v>16350</v>
      </c>
      <c r="G317" s="87"/>
      <c r="H317" s="7"/>
      <c r="I317" s="73"/>
      <c r="J317" s="28"/>
      <c r="K317" s="7"/>
      <c r="L317" s="73"/>
      <c r="M317" s="31"/>
      <c r="N317" s="7"/>
      <c r="O317" s="23"/>
      <c r="P317" s="81"/>
      <c r="Q317" s="79"/>
    </row>
    <row r="318" spans="1:17" ht="12.75">
      <c r="A318" s="35" t="s">
        <v>179</v>
      </c>
      <c r="B318" s="98"/>
      <c r="C318" s="147">
        <v>300</v>
      </c>
      <c r="D318" s="125">
        <f>33986.1+236.9+224.26-2350</f>
        <v>32097.260000000002</v>
      </c>
      <c r="E318" s="160"/>
      <c r="F318" s="189">
        <f t="shared" si="85"/>
        <v>32397.260000000002</v>
      </c>
      <c r="G318" s="87"/>
      <c r="H318" s="7"/>
      <c r="I318" s="73"/>
      <c r="J318" s="28"/>
      <c r="K318" s="7"/>
      <c r="L318" s="73"/>
      <c r="M318" s="31"/>
      <c r="N318" s="7"/>
      <c r="O318" s="23"/>
      <c r="P318" s="81"/>
      <c r="Q318" s="79"/>
    </row>
    <row r="319" spans="1:17" ht="12.75" hidden="1">
      <c r="A319" s="35" t="s">
        <v>275</v>
      </c>
      <c r="B319" s="98"/>
      <c r="C319" s="147"/>
      <c r="D319" s="134"/>
      <c r="E319" s="160"/>
      <c r="F319" s="189">
        <f t="shared" si="85"/>
        <v>0</v>
      </c>
      <c r="G319" s="87"/>
      <c r="H319" s="7"/>
      <c r="I319" s="73"/>
      <c r="J319" s="28"/>
      <c r="K319" s="7"/>
      <c r="L319" s="73"/>
      <c r="M319" s="31"/>
      <c r="N319" s="7"/>
      <c r="O319" s="23"/>
      <c r="P319" s="81"/>
      <c r="Q319" s="79"/>
    </row>
    <row r="320" spans="1:17" ht="12.75" hidden="1">
      <c r="A320" s="35" t="s">
        <v>209</v>
      </c>
      <c r="B320" s="98"/>
      <c r="C320" s="147"/>
      <c r="D320" s="125"/>
      <c r="E320" s="160"/>
      <c r="F320" s="189">
        <f t="shared" si="85"/>
        <v>0</v>
      </c>
      <c r="G320" s="87"/>
      <c r="H320" s="7"/>
      <c r="I320" s="73"/>
      <c r="J320" s="28"/>
      <c r="K320" s="7"/>
      <c r="L320" s="73"/>
      <c r="M320" s="31"/>
      <c r="N320" s="7"/>
      <c r="O320" s="23"/>
      <c r="P320" s="81"/>
      <c r="Q320" s="79"/>
    </row>
    <row r="321" spans="1:17" ht="12.75">
      <c r="A321" s="35" t="s">
        <v>234</v>
      </c>
      <c r="B321" s="98"/>
      <c r="C321" s="147"/>
      <c r="D321" s="125">
        <f>11169.53</f>
        <v>11169.53</v>
      </c>
      <c r="E321" s="160"/>
      <c r="F321" s="189">
        <f t="shared" si="85"/>
        <v>11169.53</v>
      </c>
      <c r="G321" s="87"/>
      <c r="H321" s="7"/>
      <c r="I321" s="73"/>
      <c r="J321" s="28"/>
      <c r="K321" s="7"/>
      <c r="L321" s="73"/>
      <c r="M321" s="31"/>
      <c r="N321" s="7"/>
      <c r="O321" s="23"/>
      <c r="P321" s="81"/>
      <c r="Q321" s="79"/>
    </row>
    <row r="322" spans="1:17" ht="12.75">
      <c r="A322" s="35" t="s">
        <v>178</v>
      </c>
      <c r="B322" s="98"/>
      <c r="C322" s="147"/>
      <c r="D322" s="125">
        <f>2726.77+840.5+353.95+205.7</f>
        <v>4126.92</v>
      </c>
      <c r="E322" s="160"/>
      <c r="F322" s="189">
        <f t="shared" si="85"/>
        <v>4126.92</v>
      </c>
      <c r="G322" s="87"/>
      <c r="H322" s="7"/>
      <c r="I322" s="73"/>
      <c r="J322" s="28"/>
      <c r="K322" s="7"/>
      <c r="L322" s="73"/>
      <c r="M322" s="31"/>
      <c r="N322" s="7"/>
      <c r="O322" s="23"/>
      <c r="P322" s="81"/>
      <c r="Q322" s="79"/>
    </row>
    <row r="323" spans="1:17" ht="12.75">
      <c r="A323" s="35" t="s">
        <v>181</v>
      </c>
      <c r="B323" s="98"/>
      <c r="C323" s="147"/>
      <c r="D323" s="125">
        <f>2967.12</f>
        <v>2967.12</v>
      </c>
      <c r="E323" s="160"/>
      <c r="F323" s="189">
        <f t="shared" si="85"/>
        <v>2967.12</v>
      </c>
      <c r="G323" s="87"/>
      <c r="H323" s="7"/>
      <c r="I323" s="73"/>
      <c r="J323" s="28"/>
      <c r="K323" s="7"/>
      <c r="L323" s="73"/>
      <c r="M323" s="31"/>
      <c r="N323" s="7"/>
      <c r="O323" s="23"/>
      <c r="P323" s="81"/>
      <c r="Q323" s="79"/>
    </row>
    <row r="324" spans="1:17" ht="12.75">
      <c r="A324" s="35" t="s">
        <v>186</v>
      </c>
      <c r="B324" s="98"/>
      <c r="C324" s="147">
        <v>7500</v>
      </c>
      <c r="D324" s="125">
        <f>-7500+17.05</f>
        <v>-7482.95</v>
      </c>
      <c r="E324" s="160"/>
      <c r="F324" s="189">
        <f t="shared" si="85"/>
        <v>17.050000000000182</v>
      </c>
      <c r="G324" s="87"/>
      <c r="H324" s="7"/>
      <c r="I324" s="73"/>
      <c r="J324" s="28"/>
      <c r="K324" s="7"/>
      <c r="L324" s="73"/>
      <c r="M324" s="31"/>
      <c r="N324" s="7"/>
      <c r="O324" s="23"/>
      <c r="P324" s="81"/>
      <c r="Q324" s="79"/>
    </row>
    <row r="325" spans="1:17" ht="12.75">
      <c r="A325" s="35" t="s">
        <v>185</v>
      </c>
      <c r="B325" s="98"/>
      <c r="C325" s="147">
        <v>8299</v>
      </c>
      <c r="D325" s="125">
        <f>-6743.14+2500.95+129.98+169.29-1500</f>
        <v>-5442.920000000001</v>
      </c>
      <c r="E325" s="160"/>
      <c r="F325" s="189">
        <f t="shared" si="85"/>
        <v>2856.079999999999</v>
      </c>
      <c r="G325" s="87"/>
      <c r="H325" s="7"/>
      <c r="I325" s="73"/>
      <c r="J325" s="28"/>
      <c r="K325" s="7"/>
      <c r="L325" s="73"/>
      <c r="M325" s="31"/>
      <c r="N325" s="7"/>
      <c r="O325" s="23"/>
      <c r="P325" s="81"/>
      <c r="Q325" s="79"/>
    </row>
    <row r="326" spans="1:17" ht="12.75">
      <c r="A326" s="35" t="s">
        <v>213</v>
      </c>
      <c r="B326" s="98"/>
      <c r="C326" s="147">
        <v>1538</v>
      </c>
      <c r="D326" s="125">
        <f>-954+1621.52-400</f>
        <v>267.52</v>
      </c>
      <c r="E326" s="160"/>
      <c r="F326" s="189">
        <f t="shared" si="85"/>
        <v>1805.52</v>
      </c>
      <c r="G326" s="87"/>
      <c r="H326" s="7"/>
      <c r="I326" s="73"/>
      <c r="J326" s="28"/>
      <c r="K326" s="7"/>
      <c r="L326" s="73"/>
      <c r="M326" s="31"/>
      <c r="N326" s="7"/>
      <c r="O326" s="23"/>
      <c r="P326" s="81"/>
      <c r="Q326" s="79"/>
    </row>
    <row r="327" spans="1:17" ht="12.75">
      <c r="A327" s="35" t="s">
        <v>246</v>
      </c>
      <c r="B327" s="98"/>
      <c r="C327" s="147"/>
      <c r="D327" s="134">
        <f>458.38-272.68-35.39</f>
        <v>150.31</v>
      </c>
      <c r="E327" s="160"/>
      <c r="F327" s="189">
        <f t="shared" si="85"/>
        <v>150.31</v>
      </c>
      <c r="G327" s="87"/>
      <c r="H327" s="7"/>
      <c r="I327" s="73"/>
      <c r="J327" s="28"/>
      <c r="K327" s="7"/>
      <c r="L327" s="73"/>
      <c r="M327" s="31"/>
      <c r="N327" s="7"/>
      <c r="O327" s="23"/>
      <c r="P327" s="81"/>
      <c r="Q327" s="79"/>
    </row>
    <row r="328" spans="1:17" ht="12.75">
      <c r="A328" s="41" t="s">
        <v>54</v>
      </c>
      <c r="B328" s="102"/>
      <c r="C328" s="172">
        <f aca="true" t="shared" si="87" ref="C328:Q328">SUM(C330:C344)</f>
        <v>753141.5900000001</v>
      </c>
      <c r="D328" s="121">
        <f t="shared" si="87"/>
        <v>1728923.99</v>
      </c>
      <c r="E328" s="163">
        <f t="shared" si="87"/>
        <v>0</v>
      </c>
      <c r="F328" s="192">
        <f t="shared" si="87"/>
        <v>2482065.58</v>
      </c>
      <c r="G328" s="210">
        <f t="shared" si="87"/>
        <v>0</v>
      </c>
      <c r="H328" s="121">
        <f t="shared" si="87"/>
        <v>0</v>
      </c>
      <c r="I328" s="163">
        <f t="shared" si="87"/>
        <v>0</v>
      </c>
      <c r="J328" s="172">
        <f t="shared" si="87"/>
        <v>0</v>
      </c>
      <c r="K328" s="121">
        <f t="shared" si="87"/>
        <v>0</v>
      </c>
      <c r="L328" s="163">
        <f t="shared" si="87"/>
        <v>0</v>
      </c>
      <c r="M328" s="120">
        <f t="shared" si="87"/>
        <v>0</v>
      </c>
      <c r="N328" s="120">
        <f t="shared" si="87"/>
        <v>0</v>
      </c>
      <c r="O328" s="120">
        <f t="shared" si="87"/>
        <v>0</v>
      </c>
      <c r="P328" s="120">
        <f t="shared" si="87"/>
        <v>0</v>
      </c>
      <c r="Q328" s="245">
        <f t="shared" si="87"/>
        <v>0</v>
      </c>
    </row>
    <row r="329" spans="1:17" ht="12.75">
      <c r="A329" s="39" t="s">
        <v>26</v>
      </c>
      <c r="B329" s="98"/>
      <c r="C329" s="145"/>
      <c r="D329" s="114"/>
      <c r="E329" s="160"/>
      <c r="F329" s="189"/>
      <c r="G329" s="87"/>
      <c r="H329" s="7"/>
      <c r="I329" s="73"/>
      <c r="J329" s="28"/>
      <c r="K329" s="7"/>
      <c r="L329" s="73"/>
      <c r="M329" s="31"/>
      <c r="N329" s="7"/>
      <c r="O329" s="23"/>
      <c r="P329" s="81"/>
      <c r="Q329" s="79"/>
    </row>
    <row r="330" spans="1:17" ht="12.75" hidden="1">
      <c r="A330" s="39" t="s">
        <v>175</v>
      </c>
      <c r="B330" s="98"/>
      <c r="C330" s="145"/>
      <c r="D330" s="114"/>
      <c r="E330" s="160"/>
      <c r="F330" s="189">
        <f aca="true" t="shared" si="88" ref="F330:F356">C330+D330+E330</f>
        <v>0</v>
      </c>
      <c r="G330" s="87"/>
      <c r="H330" s="7"/>
      <c r="I330" s="73"/>
      <c r="J330" s="28"/>
      <c r="K330" s="7"/>
      <c r="L330" s="73"/>
      <c r="M330" s="31"/>
      <c r="N330" s="7"/>
      <c r="O330" s="23"/>
      <c r="P330" s="81"/>
      <c r="Q330" s="79"/>
    </row>
    <row r="331" spans="1:17" ht="12.75">
      <c r="A331" s="39" t="s">
        <v>174</v>
      </c>
      <c r="B331" s="233">
        <v>1081.1202</v>
      </c>
      <c r="C331" s="145">
        <v>6044</v>
      </c>
      <c r="D331" s="114">
        <f>692.36</f>
        <v>692.36</v>
      </c>
      <c r="E331" s="160"/>
      <c r="F331" s="189">
        <f t="shared" si="88"/>
        <v>6736.36</v>
      </c>
      <c r="G331" s="87"/>
      <c r="H331" s="7"/>
      <c r="I331" s="73"/>
      <c r="J331" s="28"/>
      <c r="K331" s="7"/>
      <c r="L331" s="73"/>
      <c r="M331" s="31"/>
      <c r="N331" s="7"/>
      <c r="O331" s="23"/>
      <c r="P331" s="81"/>
      <c r="Q331" s="79"/>
    </row>
    <row r="332" spans="1:17" ht="12.75">
      <c r="A332" s="39" t="s">
        <v>169</v>
      </c>
      <c r="B332" s="98"/>
      <c r="C332" s="145">
        <v>19868.59</v>
      </c>
      <c r="D332" s="114">
        <f>711.97+10000</f>
        <v>10711.97</v>
      </c>
      <c r="E332" s="160"/>
      <c r="F332" s="189">
        <f t="shared" si="88"/>
        <v>30580.559999999998</v>
      </c>
      <c r="G332" s="87"/>
      <c r="H332" s="7"/>
      <c r="I332" s="73"/>
      <c r="J332" s="28"/>
      <c r="K332" s="7"/>
      <c r="L332" s="73"/>
      <c r="M332" s="31"/>
      <c r="N332" s="7"/>
      <c r="O332" s="23"/>
      <c r="P332" s="81"/>
      <c r="Q332" s="79"/>
    </row>
    <row r="333" spans="1:17" ht="12.75">
      <c r="A333" s="39" t="s">
        <v>287</v>
      </c>
      <c r="B333" s="98"/>
      <c r="C333" s="145">
        <v>5000</v>
      </c>
      <c r="D333" s="114"/>
      <c r="E333" s="160"/>
      <c r="F333" s="189">
        <f t="shared" si="88"/>
        <v>5000</v>
      </c>
      <c r="G333" s="87"/>
      <c r="H333" s="7"/>
      <c r="I333" s="73"/>
      <c r="J333" s="28"/>
      <c r="K333" s="7"/>
      <c r="L333" s="73"/>
      <c r="M333" s="31"/>
      <c r="N333" s="7"/>
      <c r="O333" s="23"/>
      <c r="P333" s="81"/>
      <c r="Q333" s="79"/>
    </row>
    <row r="334" spans="1:17" ht="12.75">
      <c r="A334" s="39" t="s">
        <v>296</v>
      </c>
      <c r="B334" s="98"/>
      <c r="C334" s="145"/>
      <c r="D334" s="125">
        <f>788.1</f>
        <v>788.1</v>
      </c>
      <c r="E334" s="264"/>
      <c r="F334" s="189">
        <f t="shared" si="88"/>
        <v>788.1</v>
      </c>
      <c r="G334" s="87"/>
      <c r="H334" s="7"/>
      <c r="I334" s="73"/>
      <c r="J334" s="28"/>
      <c r="K334" s="7"/>
      <c r="L334" s="73"/>
      <c r="M334" s="31"/>
      <c r="N334" s="7"/>
      <c r="O334" s="23"/>
      <c r="P334" s="81"/>
      <c r="Q334" s="79"/>
    </row>
    <row r="335" spans="1:17" ht="12.75">
      <c r="A335" s="154" t="s">
        <v>235</v>
      </c>
      <c r="B335" s="98"/>
      <c r="C335" s="145">
        <v>400000</v>
      </c>
      <c r="D335" s="134">
        <f>200000+281690.37+30000+150000</f>
        <v>661690.37</v>
      </c>
      <c r="E335" s="265"/>
      <c r="F335" s="189">
        <f t="shared" si="88"/>
        <v>1061690.37</v>
      </c>
      <c r="G335" s="87"/>
      <c r="H335" s="7"/>
      <c r="I335" s="73"/>
      <c r="J335" s="28"/>
      <c r="K335" s="7"/>
      <c r="L335" s="73"/>
      <c r="M335" s="31"/>
      <c r="N335" s="7"/>
      <c r="O335" s="23"/>
      <c r="P335" s="81"/>
      <c r="Q335" s="79"/>
    </row>
    <row r="336" spans="1:17" ht="12.75">
      <c r="A336" s="39" t="s">
        <v>297</v>
      </c>
      <c r="B336" s="156">
        <v>212163</v>
      </c>
      <c r="C336" s="145">
        <v>36000</v>
      </c>
      <c r="D336" s="125">
        <f>50274.06+47194.15</f>
        <v>97468.20999999999</v>
      </c>
      <c r="E336" s="264"/>
      <c r="F336" s="189">
        <f t="shared" si="88"/>
        <v>133468.21</v>
      </c>
      <c r="G336" s="87"/>
      <c r="H336" s="7"/>
      <c r="I336" s="73"/>
      <c r="J336" s="28"/>
      <c r="K336" s="7"/>
      <c r="L336" s="73"/>
      <c r="M336" s="31"/>
      <c r="N336" s="7"/>
      <c r="O336" s="23"/>
      <c r="P336" s="81"/>
      <c r="Q336" s="79"/>
    </row>
    <row r="337" spans="1:17" ht="12.75" hidden="1">
      <c r="A337" s="39" t="s">
        <v>240</v>
      </c>
      <c r="B337" s="156">
        <v>22777</v>
      </c>
      <c r="C337" s="145"/>
      <c r="D337" s="125"/>
      <c r="E337" s="264"/>
      <c r="F337" s="189">
        <f t="shared" si="88"/>
        <v>0</v>
      </c>
      <c r="G337" s="87"/>
      <c r="H337" s="7"/>
      <c r="I337" s="73"/>
      <c r="J337" s="28"/>
      <c r="K337" s="7"/>
      <c r="L337" s="73"/>
      <c r="M337" s="31"/>
      <c r="N337" s="7"/>
      <c r="O337" s="23"/>
      <c r="P337" s="81"/>
      <c r="Q337" s="79"/>
    </row>
    <row r="338" spans="1:17" ht="12.75" hidden="1">
      <c r="A338" s="39" t="s">
        <v>280</v>
      </c>
      <c r="B338" s="156">
        <v>98858</v>
      </c>
      <c r="C338" s="145"/>
      <c r="D338" s="125"/>
      <c r="E338" s="264"/>
      <c r="F338" s="189">
        <f t="shared" si="88"/>
        <v>0</v>
      </c>
      <c r="G338" s="87"/>
      <c r="H338" s="7"/>
      <c r="I338" s="73"/>
      <c r="J338" s="28"/>
      <c r="K338" s="7"/>
      <c r="L338" s="73"/>
      <c r="M338" s="31"/>
      <c r="N338" s="7"/>
      <c r="O338" s="23"/>
      <c r="P338" s="81"/>
      <c r="Q338" s="79"/>
    </row>
    <row r="339" spans="1:17" ht="12.75">
      <c r="A339" s="39" t="s">
        <v>170</v>
      </c>
      <c r="B339" s="156">
        <v>212162</v>
      </c>
      <c r="C339" s="145"/>
      <c r="D339" s="125">
        <f>43486.32</f>
        <v>43486.32</v>
      </c>
      <c r="E339" s="264"/>
      <c r="F339" s="189">
        <f t="shared" si="88"/>
        <v>43486.32</v>
      </c>
      <c r="G339" s="87"/>
      <c r="H339" s="7"/>
      <c r="I339" s="73"/>
      <c r="J339" s="28"/>
      <c r="K339" s="7"/>
      <c r="L339" s="73"/>
      <c r="M339" s="31"/>
      <c r="N339" s="7"/>
      <c r="O339" s="23"/>
      <c r="P339" s="81"/>
      <c r="Q339" s="79"/>
    </row>
    <row r="340" spans="1:17" ht="12.75">
      <c r="A340" s="39" t="s">
        <v>337</v>
      </c>
      <c r="B340" s="156"/>
      <c r="C340" s="145"/>
      <c r="D340" s="125">
        <f>2568.52</f>
        <v>2568.52</v>
      </c>
      <c r="E340" s="264"/>
      <c r="F340" s="189">
        <f t="shared" si="88"/>
        <v>2568.52</v>
      </c>
      <c r="G340" s="87"/>
      <c r="H340" s="7"/>
      <c r="I340" s="73"/>
      <c r="J340" s="28"/>
      <c r="K340" s="7"/>
      <c r="L340" s="73"/>
      <c r="M340" s="31"/>
      <c r="N340" s="7"/>
      <c r="O340" s="23"/>
      <c r="P340" s="81"/>
      <c r="Q340" s="79"/>
    </row>
    <row r="341" spans="1:17" ht="12.75">
      <c r="A341" s="39" t="s">
        <v>314</v>
      </c>
      <c r="B341" s="156"/>
      <c r="C341" s="145"/>
      <c r="D341" s="125">
        <f>18961.22</f>
        <v>18961.22</v>
      </c>
      <c r="E341" s="264"/>
      <c r="F341" s="189">
        <f t="shared" si="88"/>
        <v>18961.22</v>
      </c>
      <c r="G341" s="87"/>
      <c r="H341" s="7"/>
      <c r="I341" s="73"/>
      <c r="J341" s="28"/>
      <c r="K341" s="7"/>
      <c r="L341" s="73"/>
      <c r="M341" s="31"/>
      <c r="N341" s="7"/>
      <c r="O341" s="23"/>
      <c r="P341" s="81"/>
      <c r="Q341" s="79"/>
    </row>
    <row r="342" spans="1:17" ht="12.75">
      <c r="A342" s="39" t="s">
        <v>315</v>
      </c>
      <c r="B342" s="156">
        <v>91628</v>
      </c>
      <c r="C342" s="145"/>
      <c r="D342" s="125">
        <f>183880</f>
        <v>183880</v>
      </c>
      <c r="E342" s="264"/>
      <c r="F342" s="189">
        <f t="shared" si="88"/>
        <v>183880</v>
      </c>
      <c r="G342" s="87"/>
      <c r="H342" s="7"/>
      <c r="I342" s="73"/>
      <c r="J342" s="28"/>
      <c r="K342" s="7"/>
      <c r="L342" s="73"/>
      <c r="M342" s="31"/>
      <c r="N342" s="7"/>
      <c r="O342" s="23"/>
      <c r="P342" s="81"/>
      <c r="Q342" s="79"/>
    </row>
    <row r="343" spans="1:17" ht="12.75" hidden="1">
      <c r="A343" s="39" t="s">
        <v>204</v>
      </c>
      <c r="B343" s="98"/>
      <c r="C343" s="145"/>
      <c r="D343" s="125"/>
      <c r="E343" s="264"/>
      <c r="F343" s="189">
        <f t="shared" si="88"/>
        <v>0</v>
      </c>
      <c r="G343" s="87"/>
      <c r="H343" s="7"/>
      <c r="I343" s="73"/>
      <c r="J343" s="28"/>
      <c r="K343" s="7"/>
      <c r="L343" s="73"/>
      <c r="M343" s="31"/>
      <c r="N343" s="7"/>
      <c r="O343" s="23"/>
      <c r="P343" s="81"/>
      <c r="Q343" s="79"/>
    </row>
    <row r="344" spans="1:17" ht="12.75">
      <c r="A344" s="39" t="s">
        <v>171</v>
      </c>
      <c r="B344" s="98"/>
      <c r="C344" s="145">
        <f>SUM(C345:C356)</f>
        <v>286229</v>
      </c>
      <c r="D344" s="114">
        <f>SUM(D345:D356)</f>
        <v>708676.92</v>
      </c>
      <c r="E344" s="160">
        <f aca="true" t="shared" si="89" ref="E344:Q344">SUM(E345:E356)</f>
        <v>0</v>
      </c>
      <c r="F344" s="189">
        <f t="shared" si="89"/>
        <v>994905.92</v>
      </c>
      <c r="G344" s="146">
        <f t="shared" si="89"/>
        <v>0</v>
      </c>
      <c r="H344" s="114">
        <f t="shared" si="89"/>
        <v>0</v>
      </c>
      <c r="I344" s="146">
        <f t="shared" si="89"/>
        <v>0</v>
      </c>
      <c r="J344" s="145">
        <f t="shared" si="89"/>
        <v>0</v>
      </c>
      <c r="K344" s="114">
        <f t="shared" si="89"/>
        <v>0</v>
      </c>
      <c r="L344" s="146">
        <f t="shared" si="89"/>
        <v>0</v>
      </c>
      <c r="M344" s="145">
        <f t="shared" si="89"/>
        <v>0</v>
      </c>
      <c r="N344" s="145">
        <f t="shared" si="89"/>
        <v>0</v>
      </c>
      <c r="O344" s="145">
        <f t="shared" si="89"/>
        <v>0</v>
      </c>
      <c r="P344" s="145">
        <f t="shared" si="89"/>
        <v>0</v>
      </c>
      <c r="Q344" s="241">
        <f t="shared" si="89"/>
        <v>0</v>
      </c>
    </row>
    <row r="345" spans="1:17" ht="12.75">
      <c r="A345" s="35" t="s">
        <v>222</v>
      </c>
      <c r="B345" s="98"/>
      <c r="C345" s="147">
        <v>1000</v>
      </c>
      <c r="D345" s="125"/>
      <c r="E345" s="160"/>
      <c r="F345" s="189">
        <f>C345+D345+E345</f>
        <v>1000</v>
      </c>
      <c r="G345" s="87"/>
      <c r="H345" s="7"/>
      <c r="I345" s="73"/>
      <c r="J345" s="28"/>
      <c r="K345" s="7"/>
      <c r="L345" s="73"/>
      <c r="M345" s="31"/>
      <c r="N345" s="7"/>
      <c r="O345" s="23"/>
      <c r="P345" s="81"/>
      <c r="Q345" s="79"/>
    </row>
    <row r="346" spans="1:17" ht="12.75">
      <c r="A346" s="35" t="s">
        <v>179</v>
      </c>
      <c r="B346" s="98"/>
      <c r="C346" s="147"/>
      <c r="D346" s="125">
        <f>2866+68524.41+3958.35</f>
        <v>75348.76000000001</v>
      </c>
      <c r="E346" s="160"/>
      <c r="F346" s="189">
        <f>C346+D346+E346</f>
        <v>75348.76000000001</v>
      </c>
      <c r="G346" s="87"/>
      <c r="H346" s="7"/>
      <c r="I346" s="73"/>
      <c r="J346" s="28"/>
      <c r="K346" s="7"/>
      <c r="L346" s="73"/>
      <c r="M346" s="31"/>
      <c r="N346" s="7"/>
      <c r="O346" s="23"/>
      <c r="P346" s="81"/>
      <c r="Q346" s="79"/>
    </row>
    <row r="347" spans="1:17" ht="12.75">
      <c r="A347" s="35" t="s">
        <v>275</v>
      </c>
      <c r="B347" s="98"/>
      <c r="C347" s="145"/>
      <c r="D347" s="125">
        <f>420+940.71+1399.29</f>
        <v>2760</v>
      </c>
      <c r="E347" s="160"/>
      <c r="F347" s="189">
        <f t="shared" si="88"/>
        <v>2760</v>
      </c>
      <c r="G347" s="87"/>
      <c r="H347" s="7"/>
      <c r="I347" s="73"/>
      <c r="J347" s="28"/>
      <c r="K347" s="7"/>
      <c r="L347" s="73"/>
      <c r="M347" s="31"/>
      <c r="N347" s="7"/>
      <c r="O347" s="23"/>
      <c r="P347" s="81"/>
      <c r="Q347" s="79"/>
    </row>
    <row r="348" spans="1:17" ht="12.75">
      <c r="A348" s="35" t="s">
        <v>234</v>
      </c>
      <c r="B348" s="98"/>
      <c r="C348" s="145">
        <v>119349</v>
      </c>
      <c r="D348" s="125">
        <f>100000+70380.77</f>
        <v>170380.77000000002</v>
      </c>
      <c r="E348" s="160"/>
      <c r="F348" s="189">
        <f t="shared" si="88"/>
        <v>289729.77</v>
      </c>
      <c r="G348" s="87"/>
      <c r="H348" s="7"/>
      <c r="I348" s="73"/>
      <c r="J348" s="28"/>
      <c r="K348" s="7"/>
      <c r="L348" s="73"/>
      <c r="M348" s="31"/>
      <c r="N348" s="7"/>
      <c r="O348" s="23"/>
      <c r="P348" s="81"/>
      <c r="Q348" s="79"/>
    </row>
    <row r="349" spans="1:19" ht="12.75">
      <c r="A349" s="35" t="s">
        <v>178</v>
      </c>
      <c r="B349" s="98"/>
      <c r="C349" s="145">
        <v>82319</v>
      </c>
      <c r="D349" s="125">
        <f>-70645+813.97+1332.17+1911.58+54.45+1372.24+1188.6+1094.57+4006.77+4204.29+835.25+44.41+352.59</f>
        <v>-53434.11000000001</v>
      </c>
      <c r="E349" s="160"/>
      <c r="F349" s="189">
        <f t="shared" si="88"/>
        <v>28884.889999999992</v>
      </c>
      <c r="G349" s="87"/>
      <c r="H349" s="7"/>
      <c r="I349" s="73"/>
      <c r="J349" s="28"/>
      <c r="K349" s="7"/>
      <c r="L349" s="73"/>
      <c r="M349" s="31"/>
      <c r="N349" s="7"/>
      <c r="O349" s="23"/>
      <c r="P349" s="81"/>
      <c r="Q349" s="79"/>
      <c r="S349" s="148"/>
    </row>
    <row r="350" spans="1:17" ht="12.75">
      <c r="A350" s="35" t="s">
        <v>181</v>
      </c>
      <c r="B350" s="98"/>
      <c r="C350" s="145">
        <v>22295</v>
      </c>
      <c r="D350" s="125">
        <f>62130.19+715.39+7090.75+4795.8</f>
        <v>74732.13</v>
      </c>
      <c r="E350" s="160"/>
      <c r="F350" s="189">
        <f t="shared" si="88"/>
        <v>97027.13</v>
      </c>
      <c r="G350" s="87"/>
      <c r="H350" s="7"/>
      <c r="I350" s="73"/>
      <c r="J350" s="28"/>
      <c r="K350" s="7"/>
      <c r="L350" s="73"/>
      <c r="M350" s="31"/>
      <c r="N350" s="7"/>
      <c r="O350" s="23"/>
      <c r="P350" s="81"/>
      <c r="Q350" s="79"/>
    </row>
    <row r="351" spans="1:17" ht="12.75">
      <c r="A351" s="35" t="s">
        <v>186</v>
      </c>
      <c r="B351" s="98"/>
      <c r="C351" s="145">
        <v>40400</v>
      </c>
      <c r="D351" s="125">
        <f>-1609-5000-31665+22721.54+1928.95+2312.69-5</f>
        <v>-11315.819999999998</v>
      </c>
      <c r="E351" s="160"/>
      <c r="F351" s="189">
        <f t="shared" si="88"/>
        <v>29084.18</v>
      </c>
      <c r="G351" s="87"/>
      <c r="H351" s="7"/>
      <c r="I351" s="73"/>
      <c r="J351" s="28"/>
      <c r="K351" s="7"/>
      <c r="L351" s="73"/>
      <c r="M351" s="31"/>
      <c r="N351" s="7"/>
      <c r="O351" s="23"/>
      <c r="P351" s="81"/>
      <c r="Q351" s="79"/>
    </row>
    <row r="352" spans="1:17" ht="12.75">
      <c r="A352" s="35" t="s">
        <v>185</v>
      </c>
      <c r="B352" s="98"/>
      <c r="C352" s="145">
        <v>15000</v>
      </c>
      <c r="D352" s="114">
        <f>33882.33+1244.53+9.26+17.97+1775.78-0.27+18.51+8.71+1331.96</f>
        <v>38288.780000000006</v>
      </c>
      <c r="E352" s="160"/>
      <c r="F352" s="189">
        <f t="shared" si="88"/>
        <v>53288.780000000006</v>
      </c>
      <c r="G352" s="87"/>
      <c r="H352" s="7"/>
      <c r="I352" s="73"/>
      <c r="J352" s="28"/>
      <c r="K352" s="7"/>
      <c r="L352" s="73"/>
      <c r="M352" s="31"/>
      <c r="N352" s="7"/>
      <c r="O352" s="23"/>
      <c r="P352" s="81"/>
      <c r="Q352" s="79"/>
    </row>
    <row r="353" spans="1:17" ht="12.75" hidden="1">
      <c r="A353" s="35" t="s">
        <v>213</v>
      </c>
      <c r="B353" s="98">
        <v>2088</v>
      </c>
      <c r="C353" s="145"/>
      <c r="D353" s="114"/>
      <c r="E353" s="160"/>
      <c r="F353" s="189">
        <f t="shared" si="88"/>
        <v>0</v>
      </c>
      <c r="G353" s="87"/>
      <c r="H353" s="7"/>
      <c r="I353" s="73"/>
      <c r="J353" s="28"/>
      <c r="K353" s="7"/>
      <c r="L353" s="73"/>
      <c r="M353" s="31"/>
      <c r="N353" s="7"/>
      <c r="O353" s="23"/>
      <c r="P353" s="81"/>
      <c r="Q353" s="79"/>
    </row>
    <row r="354" spans="1:17" ht="12.75">
      <c r="A354" s="35" t="s">
        <v>288</v>
      </c>
      <c r="B354" s="98">
        <v>2088</v>
      </c>
      <c r="C354" s="145"/>
      <c r="D354" s="114">
        <f>138935.27</f>
        <v>138935.27</v>
      </c>
      <c r="E354" s="160"/>
      <c r="F354" s="189">
        <f t="shared" si="88"/>
        <v>138935.27</v>
      </c>
      <c r="G354" s="87"/>
      <c r="H354" s="7"/>
      <c r="I354" s="73"/>
      <c r="J354" s="28"/>
      <c r="K354" s="7"/>
      <c r="L354" s="73"/>
      <c r="M354" s="31"/>
      <c r="N354" s="7"/>
      <c r="O354" s="23"/>
      <c r="P354" s="81"/>
      <c r="Q354" s="79"/>
    </row>
    <row r="355" spans="1:17" ht="12.75">
      <c r="A355" s="39" t="s">
        <v>246</v>
      </c>
      <c r="B355" s="98">
        <v>2077</v>
      </c>
      <c r="C355" s="145">
        <v>5866</v>
      </c>
      <c r="D355" s="114">
        <f>1609+5000+31665+70645-2866+116514.28-813.97-799.3-1911.58-54.45-820.8-118.86-1094.57-3413.15-368.93-1399.29+131.48-4.44-558.29</f>
        <v>211341.13000000003</v>
      </c>
      <c r="E355" s="160"/>
      <c r="F355" s="189">
        <f t="shared" si="88"/>
        <v>217207.13000000003</v>
      </c>
      <c r="G355" s="87"/>
      <c r="H355" s="7"/>
      <c r="I355" s="73"/>
      <c r="J355" s="28"/>
      <c r="K355" s="7"/>
      <c r="L355" s="73"/>
      <c r="M355" s="31"/>
      <c r="N355" s="7"/>
      <c r="O355" s="23"/>
      <c r="P355" s="81"/>
      <c r="Q355" s="79"/>
    </row>
    <row r="356" spans="1:17" ht="12.75">
      <c r="A356" s="46" t="s">
        <v>289</v>
      </c>
      <c r="B356" s="101">
        <v>2099</v>
      </c>
      <c r="C356" s="173"/>
      <c r="D356" s="122">
        <f>68906.93-532.87-1244.53-9.26-1928.95-715.39-17.97-7090.75-551.44-3523.83-1775.78+25164.74+3126.66+19217.2-593.62-2312.69-466.32-4795.8+5241.84-2441.18-148.49-178-30000-358.53-1331.96</f>
        <v>61640.01</v>
      </c>
      <c r="E356" s="261"/>
      <c r="F356" s="193">
        <f t="shared" si="88"/>
        <v>61640.01</v>
      </c>
      <c r="G356" s="87"/>
      <c r="H356" s="7"/>
      <c r="I356" s="73"/>
      <c r="J356" s="28"/>
      <c r="K356" s="7"/>
      <c r="L356" s="73"/>
      <c r="M356" s="31"/>
      <c r="N356" s="7"/>
      <c r="O356" s="23"/>
      <c r="P356" s="81"/>
      <c r="Q356" s="79"/>
    </row>
    <row r="357" spans="1:17" ht="12.75">
      <c r="A357" s="32" t="s">
        <v>94</v>
      </c>
      <c r="B357" s="102"/>
      <c r="C357" s="152">
        <f aca="true" t="shared" si="90" ref="C357:Q357">C358+C380</f>
        <v>251309.76</v>
      </c>
      <c r="D357" s="113">
        <f t="shared" si="90"/>
        <v>1127845.5800000003</v>
      </c>
      <c r="E357" s="136">
        <f t="shared" si="90"/>
        <v>0</v>
      </c>
      <c r="F357" s="167">
        <f t="shared" si="90"/>
        <v>1379155.34</v>
      </c>
      <c r="G357" s="153">
        <f t="shared" si="90"/>
        <v>0</v>
      </c>
      <c r="H357" s="113">
        <f t="shared" si="90"/>
        <v>0</v>
      </c>
      <c r="I357" s="136">
        <f t="shared" si="90"/>
        <v>258605.78000000003</v>
      </c>
      <c r="J357" s="152">
        <f t="shared" si="90"/>
        <v>0</v>
      </c>
      <c r="K357" s="113">
        <f t="shared" si="90"/>
        <v>0</v>
      </c>
      <c r="L357" s="136">
        <f t="shared" si="90"/>
        <v>258605.78000000003</v>
      </c>
      <c r="M357" s="112">
        <f t="shared" si="90"/>
        <v>0</v>
      </c>
      <c r="N357" s="112">
        <f t="shared" si="90"/>
        <v>0</v>
      </c>
      <c r="O357" s="112">
        <f t="shared" si="90"/>
        <v>258605.78000000003</v>
      </c>
      <c r="P357" s="112">
        <f t="shared" si="90"/>
        <v>0</v>
      </c>
      <c r="Q357" s="240">
        <f t="shared" si="90"/>
        <v>258605.78000000003</v>
      </c>
    </row>
    <row r="358" spans="1:17" ht="12.75">
      <c r="A358" s="41" t="s">
        <v>49</v>
      </c>
      <c r="B358" s="102"/>
      <c r="C358" s="172">
        <f aca="true" t="shared" si="91" ref="C358:Q358">SUM(C360:C379)</f>
        <v>251309.76</v>
      </c>
      <c r="D358" s="121">
        <f t="shared" si="91"/>
        <v>1127845.5800000003</v>
      </c>
      <c r="E358" s="163">
        <f t="shared" si="91"/>
        <v>0</v>
      </c>
      <c r="F358" s="192">
        <f t="shared" si="91"/>
        <v>1379155.34</v>
      </c>
      <c r="G358" s="210">
        <f t="shared" si="91"/>
        <v>0</v>
      </c>
      <c r="H358" s="121">
        <f t="shared" si="91"/>
        <v>0</v>
      </c>
      <c r="I358" s="163">
        <f t="shared" si="91"/>
        <v>258605.78000000003</v>
      </c>
      <c r="J358" s="172">
        <f t="shared" si="91"/>
        <v>0</v>
      </c>
      <c r="K358" s="121">
        <f t="shared" si="91"/>
        <v>0</v>
      </c>
      <c r="L358" s="163">
        <f t="shared" si="91"/>
        <v>258605.78000000003</v>
      </c>
      <c r="M358" s="120">
        <f t="shared" si="91"/>
        <v>0</v>
      </c>
      <c r="N358" s="120">
        <f t="shared" si="91"/>
        <v>0</v>
      </c>
      <c r="O358" s="120">
        <f t="shared" si="91"/>
        <v>258605.78000000003</v>
      </c>
      <c r="P358" s="120">
        <f t="shared" si="91"/>
        <v>0</v>
      </c>
      <c r="Q358" s="245">
        <f t="shared" si="91"/>
        <v>258605.78000000003</v>
      </c>
    </row>
    <row r="359" spans="1:17" ht="12.75">
      <c r="A359" s="37" t="s">
        <v>26</v>
      </c>
      <c r="B359" s="98"/>
      <c r="C359" s="145"/>
      <c r="D359" s="114"/>
      <c r="E359" s="160"/>
      <c r="F359" s="189"/>
      <c r="G359" s="87"/>
      <c r="H359" s="7"/>
      <c r="I359" s="73"/>
      <c r="J359" s="28"/>
      <c r="K359" s="7"/>
      <c r="L359" s="73"/>
      <c r="M359" s="22"/>
      <c r="N359" s="7"/>
      <c r="O359" s="23"/>
      <c r="P359" s="81"/>
      <c r="Q359" s="79"/>
    </row>
    <row r="360" spans="1:17" ht="12.75">
      <c r="A360" s="273" t="s">
        <v>95</v>
      </c>
      <c r="B360" s="274"/>
      <c r="C360" s="173">
        <v>190000</v>
      </c>
      <c r="D360" s="122">
        <f>35000</f>
        <v>35000</v>
      </c>
      <c r="E360" s="261"/>
      <c r="F360" s="193">
        <f aca="true" t="shared" si="92" ref="F360:F379">C360+D360+E360</f>
        <v>225000</v>
      </c>
      <c r="G360" s="87"/>
      <c r="H360" s="7"/>
      <c r="I360" s="73">
        <f>F360+G360+H360</f>
        <v>225000</v>
      </c>
      <c r="J360" s="28"/>
      <c r="K360" s="7"/>
      <c r="L360" s="73">
        <f>I360+J360+K360</f>
        <v>225000</v>
      </c>
      <c r="M360" s="22"/>
      <c r="N360" s="7"/>
      <c r="O360" s="23">
        <f>L360+M360+N360</f>
        <v>225000</v>
      </c>
      <c r="P360" s="81"/>
      <c r="Q360" s="79">
        <f>O360+P360</f>
        <v>225000</v>
      </c>
    </row>
    <row r="361" spans="1:17" ht="12.75" hidden="1">
      <c r="A361" s="99" t="s">
        <v>210</v>
      </c>
      <c r="B361" s="104"/>
      <c r="C361" s="145"/>
      <c r="D361" s="114"/>
      <c r="E361" s="160"/>
      <c r="F361" s="189">
        <f t="shared" si="92"/>
        <v>0</v>
      </c>
      <c r="G361" s="87"/>
      <c r="H361" s="7"/>
      <c r="I361" s="73"/>
      <c r="J361" s="28"/>
      <c r="K361" s="7"/>
      <c r="L361" s="73"/>
      <c r="M361" s="22"/>
      <c r="N361" s="7"/>
      <c r="O361" s="23"/>
      <c r="P361" s="81"/>
      <c r="Q361" s="79"/>
    </row>
    <row r="362" spans="1:17" ht="12.75" hidden="1">
      <c r="A362" s="35" t="s">
        <v>147</v>
      </c>
      <c r="B362" s="98"/>
      <c r="C362" s="145"/>
      <c r="D362" s="114"/>
      <c r="E362" s="160"/>
      <c r="F362" s="189">
        <f t="shared" si="92"/>
        <v>0</v>
      </c>
      <c r="G362" s="87"/>
      <c r="H362" s="7"/>
      <c r="I362" s="73">
        <f>F362+G362+H362</f>
        <v>0</v>
      </c>
      <c r="J362" s="28"/>
      <c r="K362" s="7"/>
      <c r="L362" s="73">
        <f>I362+J362+K362</f>
        <v>0</v>
      </c>
      <c r="M362" s="22"/>
      <c r="N362" s="7"/>
      <c r="O362" s="23">
        <f>L362+M362+N362</f>
        <v>0</v>
      </c>
      <c r="P362" s="81"/>
      <c r="Q362" s="79">
        <f>O362+P362</f>
        <v>0</v>
      </c>
    </row>
    <row r="363" spans="1:17" ht="12.75">
      <c r="A363" s="35" t="s">
        <v>164</v>
      </c>
      <c r="B363" s="98"/>
      <c r="C363" s="145">
        <v>50000</v>
      </c>
      <c r="D363" s="114">
        <f>5000+1847.46</f>
        <v>6847.46</v>
      </c>
      <c r="E363" s="160"/>
      <c r="F363" s="189">
        <f t="shared" si="92"/>
        <v>56847.46</v>
      </c>
      <c r="G363" s="87"/>
      <c r="H363" s="7"/>
      <c r="I363" s="73"/>
      <c r="J363" s="28"/>
      <c r="K363" s="7"/>
      <c r="L363" s="73"/>
      <c r="M363" s="22"/>
      <c r="N363" s="7"/>
      <c r="O363" s="23"/>
      <c r="P363" s="81"/>
      <c r="Q363" s="79"/>
    </row>
    <row r="364" spans="1:17" ht="12.75">
      <c r="A364" s="35" t="s">
        <v>51</v>
      </c>
      <c r="B364" s="98"/>
      <c r="C364" s="145">
        <v>10809.76</v>
      </c>
      <c r="D364" s="114">
        <f>47.41</f>
        <v>47.41</v>
      </c>
      <c r="E364" s="160"/>
      <c r="F364" s="189">
        <f t="shared" si="92"/>
        <v>10857.17</v>
      </c>
      <c r="G364" s="87"/>
      <c r="H364" s="7"/>
      <c r="I364" s="73">
        <f>F364+G364+H364</f>
        <v>10857.17</v>
      </c>
      <c r="J364" s="28"/>
      <c r="K364" s="7"/>
      <c r="L364" s="73">
        <f>I364+J364+K364</f>
        <v>10857.17</v>
      </c>
      <c r="M364" s="22"/>
      <c r="N364" s="7"/>
      <c r="O364" s="23">
        <f>L364+M364+N364</f>
        <v>10857.17</v>
      </c>
      <c r="P364" s="81"/>
      <c r="Q364" s="79">
        <f>O364+P364</f>
        <v>10857.17</v>
      </c>
    </row>
    <row r="365" spans="1:17" ht="12.75" hidden="1">
      <c r="A365" s="35" t="s">
        <v>65</v>
      </c>
      <c r="B365" s="98"/>
      <c r="C365" s="145"/>
      <c r="D365" s="114"/>
      <c r="E365" s="160"/>
      <c r="F365" s="189">
        <f t="shared" si="92"/>
        <v>0</v>
      </c>
      <c r="G365" s="87"/>
      <c r="H365" s="7"/>
      <c r="I365" s="73">
        <f>F365+G365+H365</f>
        <v>0</v>
      </c>
      <c r="J365" s="28"/>
      <c r="K365" s="7"/>
      <c r="L365" s="73">
        <f>I365+J365+K365</f>
        <v>0</v>
      </c>
      <c r="M365" s="22"/>
      <c r="N365" s="7"/>
      <c r="O365" s="23">
        <f>L365+M365+N365</f>
        <v>0</v>
      </c>
      <c r="P365" s="81"/>
      <c r="Q365" s="79">
        <f>O365+P365</f>
        <v>0</v>
      </c>
    </row>
    <row r="366" spans="1:17" ht="12.75" hidden="1">
      <c r="A366" s="35" t="s">
        <v>271</v>
      </c>
      <c r="B366" s="98">
        <v>13013</v>
      </c>
      <c r="C366" s="145"/>
      <c r="D366" s="114"/>
      <c r="E366" s="160"/>
      <c r="F366" s="189">
        <f t="shared" si="92"/>
        <v>0</v>
      </c>
      <c r="G366" s="87"/>
      <c r="H366" s="7"/>
      <c r="I366" s="73"/>
      <c r="J366" s="28"/>
      <c r="K366" s="7"/>
      <c r="L366" s="73"/>
      <c r="M366" s="22"/>
      <c r="N366" s="7"/>
      <c r="O366" s="23"/>
      <c r="P366" s="81"/>
      <c r="Q366" s="79"/>
    </row>
    <row r="367" spans="1:17" ht="12.75" hidden="1">
      <c r="A367" s="99" t="s">
        <v>310</v>
      </c>
      <c r="B367" s="98">
        <v>2043</v>
      </c>
      <c r="C367" s="145"/>
      <c r="D367" s="114"/>
      <c r="E367" s="160"/>
      <c r="F367" s="189">
        <f t="shared" si="92"/>
        <v>0</v>
      </c>
      <c r="G367" s="87"/>
      <c r="H367" s="7"/>
      <c r="I367" s="73"/>
      <c r="J367" s="28"/>
      <c r="K367" s="7"/>
      <c r="L367" s="73"/>
      <c r="M367" s="22"/>
      <c r="N367" s="7"/>
      <c r="O367" s="23"/>
      <c r="P367" s="81"/>
      <c r="Q367" s="79"/>
    </row>
    <row r="368" spans="1:17" ht="12.75">
      <c r="A368" s="99" t="s">
        <v>325</v>
      </c>
      <c r="B368" s="98">
        <v>2177</v>
      </c>
      <c r="C368" s="145"/>
      <c r="D368" s="114">
        <f>1910.11</f>
        <v>1910.11</v>
      </c>
      <c r="E368" s="160"/>
      <c r="F368" s="189">
        <f t="shared" si="92"/>
        <v>1910.11</v>
      </c>
      <c r="G368" s="87"/>
      <c r="H368" s="7"/>
      <c r="I368" s="73"/>
      <c r="J368" s="28"/>
      <c r="K368" s="7"/>
      <c r="L368" s="73"/>
      <c r="M368" s="22"/>
      <c r="N368" s="7"/>
      <c r="O368" s="23"/>
      <c r="P368" s="81"/>
      <c r="Q368" s="79"/>
    </row>
    <row r="369" spans="1:17" ht="12.75">
      <c r="A369" s="35" t="s">
        <v>308</v>
      </c>
      <c r="B369" s="98">
        <v>2050</v>
      </c>
      <c r="C369" s="145"/>
      <c r="D369" s="114">
        <f>3899.66</f>
        <v>3899.66</v>
      </c>
      <c r="E369" s="160"/>
      <c r="F369" s="189">
        <f t="shared" si="92"/>
        <v>3899.66</v>
      </c>
      <c r="G369" s="87"/>
      <c r="H369" s="7"/>
      <c r="I369" s="73"/>
      <c r="J369" s="28"/>
      <c r="K369" s="7"/>
      <c r="L369" s="73"/>
      <c r="M369" s="22"/>
      <c r="N369" s="7"/>
      <c r="O369" s="23"/>
      <c r="P369" s="81"/>
      <c r="Q369" s="79"/>
    </row>
    <row r="370" spans="1:17" ht="12.75" hidden="1">
      <c r="A370" s="35" t="s">
        <v>243</v>
      </c>
      <c r="B370" s="98">
        <v>2050</v>
      </c>
      <c r="C370" s="145"/>
      <c r="D370" s="114"/>
      <c r="E370" s="160"/>
      <c r="F370" s="189">
        <f t="shared" si="92"/>
        <v>0</v>
      </c>
      <c r="G370" s="87"/>
      <c r="H370" s="7"/>
      <c r="I370" s="73"/>
      <c r="J370" s="28"/>
      <c r="K370" s="7"/>
      <c r="L370" s="73"/>
      <c r="M370" s="22"/>
      <c r="N370" s="7"/>
      <c r="O370" s="23"/>
      <c r="P370" s="81"/>
      <c r="Q370" s="79"/>
    </row>
    <row r="371" spans="1:17" ht="12.75">
      <c r="A371" s="35" t="s">
        <v>309</v>
      </c>
      <c r="B371" s="98">
        <v>2073</v>
      </c>
      <c r="C371" s="145"/>
      <c r="D371" s="114">
        <f>13080.16</f>
        <v>13080.16</v>
      </c>
      <c r="E371" s="160"/>
      <c r="F371" s="189">
        <f t="shared" si="92"/>
        <v>13080.16</v>
      </c>
      <c r="G371" s="87"/>
      <c r="H371" s="7"/>
      <c r="I371" s="73"/>
      <c r="J371" s="28"/>
      <c r="K371" s="7"/>
      <c r="L371" s="73"/>
      <c r="M371" s="22"/>
      <c r="N371" s="7"/>
      <c r="O371" s="23"/>
      <c r="P371" s="81"/>
      <c r="Q371" s="79"/>
    </row>
    <row r="372" spans="1:17" ht="12.75">
      <c r="A372" s="35" t="s">
        <v>327</v>
      </c>
      <c r="B372" s="98">
        <v>1230</v>
      </c>
      <c r="C372" s="145"/>
      <c r="D372" s="114">
        <f>76480</f>
        <v>76480</v>
      </c>
      <c r="E372" s="160"/>
      <c r="F372" s="189">
        <f t="shared" si="92"/>
        <v>76480</v>
      </c>
      <c r="G372" s="87"/>
      <c r="H372" s="7"/>
      <c r="I372" s="73"/>
      <c r="J372" s="28"/>
      <c r="K372" s="7"/>
      <c r="L372" s="73"/>
      <c r="M372" s="22"/>
      <c r="N372" s="7"/>
      <c r="O372" s="23"/>
      <c r="P372" s="81"/>
      <c r="Q372" s="79"/>
    </row>
    <row r="373" spans="1:17" ht="12.75">
      <c r="A373" s="35" t="s">
        <v>326</v>
      </c>
      <c r="B373" s="98">
        <v>2080</v>
      </c>
      <c r="C373" s="145"/>
      <c r="D373" s="114">
        <f>6437.87</f>
        <v>6437.87</v>
      </c>
      <c r="E373" s="160"/>
      <c r="F373" s="189">
        <f t="shared" si="92"/>
        <v>6437.87</v>
      </c>
      <c r="G373" s="87"/>
      <c r="H373" s="7"/>
      <c r="I373" s="73"/>
      <c r="J373" s="28"/>
      <c r="K373" s="7"/>
      <c r="L373" s="73"/>
      <c r="M373" s="22"/>
      <c r="N373" s="7"/>
      <c r="O373" s="23"/>
      <c r="P373" s="81"/>
      <c r="Q373" s="79"/>
    </row>
    <row r="374" spans="1:17" ht="12.75">
      <c r="A374" s="44" t="s">
        <v>205</v>
      </c>
      <c r="B374" s="98">
        <v>13305</v>
      </c>
      <c r="C374" s="145"/>
      <c r="D374" s="114">
        <f>960818.68</f>
        <v>960818.68</v>
      </c>
      <c r="E374" s="160"/>
      <c r="F374" s="189">
        <f t="shared" si="92"/>
        <v>960818.68</v>
      </c>
      <c r="G374" s="87"/>
      <c r="H374" s="7"/>
      <c r="I374" s="73"/>
      <c r="J374" s="28"/>
      <c r="K374" s="7"/>
      <c r="L374" s="73"/>
      <c r="M374" s="22"/>
      <c r="N374" s="7"/>
      <c r="O374" s="23"/>
      <c r="P374" s="81"/>
      <c r="Q374" s="79"/>
    </row>
    <row r="375" spans="1:17" ht="12.75">
      <c r="A375" s="35" t="s">
        <v>96</v>
      </c>
      <c r="B375" s="98">
        <v>13307</v>
      </c>
      <c r="C375" s="145"/>
      <c r="D375" s="114">
        <f>7000</f>
        <v>7000</v>
      </c>
      <c r="E375" s="160"/>
      <c r="F375" s="189">
        <f t="shared" si="92"/>
        <v>7000</v>
      </c>
      <c r="G375" s="87"/>
      <c r="H375" s="7"/>
      <c r="I375" s="73">
        <f>F375+G375+H375</f>
        <v>7000</v>
      </c>
      <c r="J375" s="28"/>
      <c r="K375" s="7"/>
      <c r="L375" s="73">
        <f>I375+J375+K375</f>
        <v>7000</v>
      </c>
      <c r="M375" s="22"/>
      <c r="N375" s="7"/>
      <c r="O375" s="23">
        <f>L375+M375+N375</f>
        <v>7000</v>
      </c>
      <c r="P375" s="81"/>
      <c r="Q375" s="79">
        <f>O375+P375</f>
        <v>7000</v>
      </c>
    </row>
    <row r="376" spans="1:17" ht="12.75" hidden="1">
      <c r="A376" s="35" t="s">
        <v>146</v>
      </c>
      <c r="B376" s="98">
        <v>14032</v>
      </c>
      <c r="C376" s="145"/>
      <c r="D376" s="114"/>
      <c r="E376" s="160"/>
      <c r="F376" s="189">
        <f t="shared" si="92"/>
        <v>0</v>
      </c>
      <c r="G376" s="87"/>
      <c r="H376" s="7"/>
      <c r="I376" s="73">
        <f>F376+G376+H376</f>
        <v>0</v>
      </c>
      <c r="J376" s="28"/>
      <c r="K376" s="7"/>
      <c r="L376" s="73">
        <f>I376+J376+K376</f>
        <v>0</v>
      </c>
      <c r="M376" s="22"/>
      <c r="N376" s="7"/>
      <c r="O376" s="23">
        <f>L376+M376+N376</f>
        <v>0</v>
      </c>
      <c r="P376" s="81"/>
      <c r="Q376" s="79">
        <f>O376+P376</f>
        <v>0</v>
      </c>
    </row>
    <row r="377" spans="1:17" ht="12.75" hidden="1">
      <c r="A377" s="44" t="s">
        <v>153</v>
      </c>
      <c r="B377" s="98">
        <v>4359</v>
      </c>
      <c r="C377" s="145"/>
      <c r="D377" s="114"/>
      <c r="E377" s="160"/>
      <c r="F377" s="189">
        <f t="shared" si="92"/>
        <v>0</v>
      </c>
      <c r="G377" s="87"/>
      <c r="H377" s="7"/>
      <c r="I377" s="73">
        <f>F377+G377+H377</f>
        <v>0</v>
      </c>
      <c r="J377" s="28"/>
      <c r="K377" s="7"/>
      <c r="L377" s="73">
        <f>I377+J377+K377</f>
        <v>0</v>
      </c>
      <c r="M377" s="22"/>
      <c r="N377" s="7"/>
      <c r="O377" s="23">
        <f>L377+M377+N377</f>
        <v>0</v>
      </c>
      <c r="P377" s="81"/>
      <c r="Q377" s="79">
        <f>O377+P377</f>
        <v>0</v>
      </c>
    </row>
    <row r="378" spans="1:17" ht="12.75">
      <c r="A378" s="99" t="s">
        <v>335</v>
      </c>
      <c r="B378" s="98"/>
      <c r="C378" s="145"/>
      <c r="D378" s="114">
        <f>1075.62</f>
        <v>1075.62</v>
      </c>
      <c r="E378" s="160"/>
      <c r="F378" s="189">
        <f t="shared" si="92"/>
        <v>1075.62</v>
      </c>
      <c r="G378" s="87"/>
      <c r="H378" s="7"/>
      <c r="I378" s="73"/>
      <c r="J378" s="28"/>
      <c r="K378" s="7"/>
      <c r="L378" s="73"/>
      <c r="M378" s="22"/>
      <c r="N378" s="7"/>
      <c r="O378" s="23"/>
      <c r="P378" s="81"/>
      <c r="Q378" s="79"/>
    </row>
    <row r="379" spans="1:17" ht="12.75">
      <c r="A379" s="38" t="s">
        <v>77</v>
      </c>
      <c r="B379" s="101"/>
      <c r="C379" s="173">
        <v>500</v>
      </c>
      <c r="D379" s="122">
        <f>6743.14+1048.53+269.31+1018.04+3110.79+1558.8+1500</f>
        <v>15248.61</v>
      </c>
      <c r="E379" s="261"/>
      <c r="F379" s="193">
        <f t="shared" si="92"/>
        <v>15748.61</v>
      </c>
      <c r="G379" s="87"/>
      <c r="H379" s="7"/>
      <c r="I379" s="73">
        <f>F379+G379+H379</f>
        <v>15748.61</v>
      </c>
      <c r="J379" s="28"/>
      <c r="K379" s="7"/>
      <c r="L379" s="73">
        <f>I379+J379+K379</f>
        <v>15748.61</v>
      </c>
      <c r="M379" s="22"/>
      <c r="N379" s="7"/>
      <c r="O379" s="23">
        <f>L379+M379+N379</f>
        <v>15748.61</v>
      </c>
      <c r="P379" s="81"/>
      <c r="Q379" s="79">
        <f>O379+P379</f>
        <v>15748.61</v>
      </c>
    </row>
    <row r="380" spans="1:17" ht="12.75" hidden="1">
      <c r="A380" s="41" t="s">
        <v>54</v>
      </c>
      <c r="B380" s="102"/>
      <c r="C380" s="172">
        <f>SUM(C382:C384)</f>
        <v>0</v>
      </c>
      <c r="D380" s="121">
        <f aca="true" t="shared" si="93" ref="D380:Q380">SUM(D382:D384)</f>
        <v>0</v>
      </c>
      <c r="E380" s="163">
        <f t="shared" si="93"/>
        <v>0</v>
      </c>
      <c r="F380" s="192">
        <f t="shared" si="93"/>
        <v>0</v>
      </c>
      <c r="G380" s="210">
        <f t="shared" si="93"/>
        <v>0</v>
      </c>
      <c r="H380" s="121">
        <f t="shared" si="93"/>
        <v>0</v>
      </c>
      <c r="I380" s="163">
        <f t="shared" si="93"/>
        <v>0</v>
      </c>
      <c r="J380" s="172">
        <f t="shared" si="93"/>
        <v>0</v>
      </c>
      <c r="K380" s="121">
        <f t="shared" si="93"/>
        <v>0</v>
      </c>
      <c r="L380" s="163">
        <f t="shared" si="93"/>
        <v>0</v>
      </c>
      <c r="M380" s="120">
        <f t="shared" si="93"/>
        <v>0</v>
      </c>
      <c r="N380" s="120">
        <f t="shared" si="93"/>
        <v>0</v>
      </c>
      <c r="O380" s="120">
        <f t="shared" si="93"/>
        <v>0</v>
      </c>
      <c r="P380" s="120">
        <f t="shared" si="93"/>
        <v>0</v>
      </c>
      <c r="Q380" s="245">
        <f t="shared" si="93"/>
        <v>0</v>
      </c>
    </row>
    <row r="381" spans="1:17" ht="12.75" hidden="1">
      <c r="A381" s="37" t="s">
        <v>26</v>
      </c>
      <c r="B381" s="98"/>
      <c r="C381" s="145"/>
      <c r="D381" s="114"/>
      <c r="E381" s="160"/>
      <c r="F381" s="189"/>
      <c r="G381" s="87"/>
      <c r="H381" s="7"/>
      <c r="I381" s="73"/>
      <c r="J381" s="28"/>
      <c r="K381" s="7"/>
      <c r="L381" s="73"/>
      <c r="M381" s="22"/>
      <c r="N381" s="7"/>
      <c r="O381" s="23"/>
      <c r="P381" s="81"/>
      <c r="Q381" s="79"/>
    </row>
    <row r="382" spans="1:17" ht="12.75" hidden="1">
      <c r="A382" s="35" t="s">
        <v>87</v>
      </c>
      <c r="B382" s="98"/>
      <c r="C382" s="145"/>
      <c r="D382" s="114"/>
      <c r="E382" s="160"/>
      <c r="F382" s="189">
        <f>C382+D382+E382</f>
        <v>0</v>
      </c>
      <c r="G382" s="87"/>
      <c r="H382" s="7"/>
      <c r="I382" s="73">
        <f>F382+G382+H382</f>
        <v>0</v>
      </c>
      <c r="J382" s="28"/>
      <c r="K382" s="7"/>
      <c r="L382" s="73">
        <f>I382+J382+K382</f>
        <v>0</v>
      </c>
      <c r="M382" s="22"/>
      <c r="N382" s="7"/>
      <c r="O382" s="23">
        <f>L382+M382+N382</f>
        <v>0</v>
      </c>
      <c r="P382" s="81"/>
      <c r="Q382" s="79">
        <f>O382+P382</f>
        <v>0</v>
      </c>
    </row>
    <row r="383" spans="1:17" ht="12.75" hidden="1">
      <c r="A383" s="35" t="s">
        <v>55</v>
      </c>
      <c r="B383" s="98"/>
      <c r="C383" s="145"/>
      <c r="D383" s="114"/>
      <c r="E383" s="160"/>
      <c r="F383" s="189">
        <f>C383+D383+E383</f>
        <v>0</v>
      </c>
      <c r="G383" s="87"/>
      <c r="H383" s="7"/>
      <c r="I383" s="73"/>
      <c r="J383" s="28"/>
      <c r="K383" s="7"/>
      <c r="L383" s="73">
        <f>I383+J383+K383</f>
        <v>0</v>
      </c>
      <c r="M383" s="22"/>
      <c r="N383" s="7"/>
      <c r="O383" s="23">
        <f>L383+M383+N383</f>
        <v>0</v>
      </c>
      <c r="P383" s="81"/>
      <c r="Q383" s="79">
        <f>O383+P383</f>
        <v>0</v>
      </c>
    </row>
    <row r="384" spans="1:17" ht="13.5" hidden="1" thickBot="1">
      <c r="A384" s="234" t="s">
        <v>77</v>
      </c>
      <c r="B384" s="143"/>
      <c r="C384" s="175"/>
      <c r="D384" s="144"/>
      <c r="E384" s="262"/>
      <c r="F384" s="195">
        <f>C384+D384+E384</f>
        <v>0</v>
      </c>
      <c r="G384" s="87"/>
      <c r="H384" s="7"/>
      <c r="I384" s="73">
        <f>F384+G384+H384</f>
        <v>0</v>
      </c>
      <c r="J384" s="28"/>
      <c r="K384" s="7"/>
      <c r="L384" s="73">
        <f>I384+J384+K384</f>
        <v>0</v>
      </c>
      <c r="M384" s="22"/>
      <c r="N384" s="7"/>
      <c r="O384" s="23">
        <f>L384+M384+N384</f>
        <v>0</v>
      </c>
      <c r="P384" s="81"/>
      <c r="Q384" s="79">
        <f>O384+P384</f>
        <v>0</v>
      </c>
    </row>
    <row r="385" spans="1:17" ht="12.75">
      <c r="A385" s="36" t="s">
        <v>182</v>
      </c>
      <c r="B385" s="102"/>
      <c r="C385" s="152">
        <f>C386+C399</f>
        <v>10486.07</v>
      </c>
      <c r="D385" s="113">
        <f aca="true" t="shared" si="94" ref="D385:Q385">D386+D399</f>
        <v>18845.8</v>
      </c>
      <c r="E385" s="136">
        <f t="shared" si="94"/>
        <v>0</v>
      </c>
      <c r="F385" s="167">
        <f t="shared" si="94"/>
        <v>29331.87</v>
      </c>
      <c r="G385" s="153">
        <f t="shared" si="94"/>
        <v>0</v>
      </c>
      <c r="H385" s="113">
        <f t="shared" si="94"/>
        <v>0</v>
      </c>
      <c r="I385" s="136">
        <f t="shared" si="94"/>
        <v>26411.87</v>
      </c>
      <c r="J385" s="152">
        <f t="shared" si="94"/>
        <v>0</v>
      </c>
      <c r="K385" s="113">
        <f t="shared" si="94"/>
        <v>0</v>
      </c>
      <c r="L385" s="136">
        <f t="shared" si="94"/>
        <v>26411.87</v>
      </c>
      <c r="M385" s="112">
        <f t="shared" si="94"/>
        <v>0</v>
      </c>
      <c r="N385" s="112">
        <f t="shared" si="94"/>
        <v>0</v>
      </c>
      <c r="O385" s="112">
        <f t="shared" si="94"/>
        <v>26411.87</v>
      </c>
      <c r="P385" s="112">
        <f t="shared" si="94"/>
        <v>0</v>
      </c>
      <c r="Q385" s="240">
        <f t="shared" si="94"/>
        <v>26411.87</v>
      </c>
    </row>
    <row r="386" spans="1:17" ht="12.75">
      <c r="A386" s="41" t="s">
        <v>49</v>
      </c>
      <c r="B386" s="102"/>
      <c r="C386" s="172">
        <f>SUM(C388:C398)</f>
        <v>8486.07</v>
      </c>
      <c r="D386" s="121">
        <f aca="true" t="shared" si="95" ref="D386:Q386">SUM(D388:D398)</f>
        <v>18845.8</v>
      </c>
      <c r="E386" s="163">
        <f t="shared" si="95"/>
        <v>0</v>
      </c>
      <c r="F386" s="192">
        <f t="shared" si="95"/>
        <v>27331.87</v>
      </c>
      <c r="G386" s="210">
        <f t="shared" si="95"/>
        <v>0</v>
      </c>
      <c r="H386" s="121">
        <f t="shared" si="95"/>
        <v>0</v>
      </c>
      <c r="I386" s="163">
        <f t="shared" si="95"/>
        <v>24411.87</v>
      </c>
      <c r="J386" s="172">
        <f t="shared" si="95"/>
        <v>0</v>
      </c>
      <c r="K386" s="121">
        <f t="shared" si="95"/>
        <v>0</v>
      </c>
      <c r="L386" s="163">
        <f t="shared" si="95"/>
        <v>24411.87</v>
      </c>
      <c r="M386" s="120">
        <f t="shared" si="95"/>
        <v>0</v>
      </c>
      <c r="N386" s="120">
        <f t="shared" si="95"/>
        <v>0</v>
      </c>
      <c r="O386" s="120">
        <f t="shared" si="95"/>
        <v>24411.87</v>
      </c>
      <c r="P386" s="120">
        <f t="shared" si="95"/>
        <v>0</v>
      </c>
      <c r="Q386" s="245">
        <f t="shared" si="95"/>
        <v>24411.87</v>
      </c>
    </row>
    <row r="387" spans="1:17" ht="12.75">
      <c r="A387" s="37" t="s">
        <v>26</v>
      </c>
      <c r="B387" s="98"/>
      <c r="C387" s="145"/>
      <c r="D387" s="114"/>
      <c r="E387" s="160"/>
      <c r="F387" s="167"/>
      <c r="G387" s="87"/>
      <c r="H387" s="7"/>
      <c r="I387" s="69"/>
      <c r="J387" s="28"/>
      <c r="K387" s="7"/>
      <c r="L387" s="69"/>
      <c r="M387" s="22"/>
      <c r="N387" s="7"/>
      <c r="O387" s="21"/>
      <c r="P387" s="81"/>
      <c r="Q387" s="79"/>
    </row>
    <row r="388" spans="1:17" ht="12.75">
      <c r="A388" s="35" t="s">
        <v>51</v>
      </c>
      <c r="B388" s="98"/>
      <c r="C388" s="145">
        <v>8486.07</v>
      </c>
      <c r="D388" s="114">
        <f>3643+9200</f>
        <v>12843</v>
      </c>
      <c r="E388" s="160"/>
      <c r="F388" s="189">
        <f aca="true" t="shared" si="96" ref="F388:F398">C388+D388+E388</f>
        <v>21329.07</v>
      </c>
      <c r="G388" s="87"/>
      <c r="H388" s="7"/>
      <c r="I388" s="73">
        <f>F388+G388+H388</f>
        <v>21329.07</v>
      </c>
      <c r="J388" s="28"/>
      <c r="K388" s="7"/>
      <c r="L388" s="73">
        <f>I388+J388+K388</f>
        <v>21329.07</v>
      </c>
      <c r="M388" s="22"/>
      <c r="N388" s="7"/>
      <c r="O388" s="23">
        <f>L388+M388+N388</f>
        <v>21329.07</v>
      </c>
      <c r="P388" s="81"/>
      <c r="Q388" s="79">
        <f>O388+P388</f>
        <v>21329.07</v>
      </c>
    </row>
    <row r="389" spans="1:17" ht="12.75" hidden="1">
      <c r="A389" s="39" t="s">
        <v>207</v>
      </c>
      <c r="B389" s="98"/>
      <c r="C389" s="145"/>
      <c r="D389" s="114"/>
      <c r="E389" s="160"/>
      <c r="F389" s="189">
        <f t="shared" si="96"/>
        <v>0</v>
      </c>
      <c r="G389" s="87"/>
      <c r="H389" s="7"/>
      <c r="I389" s="73">
        <f aca="true" t="shared" si="97" ref="I389:I394">F389+G389+H389</f>
        <v>0</v>
      </c>
      <c r="J389" s="28"/>
      <c r="K389" s="7"/>
      <c r="L389" s="73">
        <f aca="true" t="shared" si="98" ref="L389:L394">I389+J389+K389</f>
        <v>0</v>
      </c>
      <c r="M389" s="22"/>
      <c r="N389" s="7"/>
      <c r="O389" s="23">
        <f aca="true" t="shared" si="99" ref="O389:O394">L389+M389+N389</f>
        <v>0</v>
      </c>
      <c r="P389" s="81"/>
      <c r="Q389" s="79">
        <f>O389+P389</f>
        <v>0</v>
      </c>
    </row>
    <row r="390" spans="1:17" ht="12.75" hidden="1">
      <c r="A390" s="39" t="s">
        <v>208</v>
      </c>
      <c r="B390" s="98"/>
      <c r="C390" s="145"/>
      <c r="D390" s="114"/>
      <c r="E390" s="160"/>
      <c r="F390" s="189">
        <f t="shared" si="96"/>
        <v>0</v>
      </c>
      <c r="G390" s="87"/>
      <c r="H390" s="7"/>
      <c r="I390" s="73"/>
      <c r="J390" s="28"/>
      <c r="K390" s="7"/>
      <c r="L390" s="73"/>
      <c r="M390" s="22"/>
      <c r="N390" s="7"/>
      <c r="O390" s="23"/>
      <c r="P390" s="81"/>
      <c r="Q390" s="79"/>
    </row>
    <row r="391" spans="1:17" ht="12.75" hidden="1">
      <c r="A391" s="39" t="s">
        <v>211</v>
      </c>
      <c r="B391" s="98">
        <v>1400</v>
      </c>
      <c r="C391" s="145"/>
      <c r="D391" s="125"/>
      <c r="E391" s="160"/>
      <c r="F391" s="189">
        <f t="shared" si="96"/>
        <v>0</v>
      </c>
      <c r="G391" s="87"/>
      <c r="H391" s="7"/>
      <c r="I391" s="73"/>
      <c r="J391" s="28"/>
      <c r="K391" s="7"/>
      <c r="L391" s="73"/>
      <c r="M391" s="22"/>
      <c r="N391" s="7"/>
      <c r="O391" s="23"/>
      <c r="P391" s="81"/>
      <c r="Q391" s="79"/>
    </row>
    <row r="392" spans="1:17" ht="12.75">
      <c r="A392" s="35" t="s">
        <v>77</v>
      </c>
      <c r="B392" s="98"/>
      <c r="C392" s="145"/>
      <c r="D392" s="134">
        <f>400+2441.18+241.62</f>
        <v>3082.7999999999997</v>
      </c>
      <c r="E392" s="160"/>
      <c r="F392" s="189">
        <f t="shared" si="96"/>
        <v>3082.7999999999997</v>
      </c>
      <c r="G392" s="87"/>
      <c r="H392" s="7"/>
      <c r="I392" s="73">
        <f t="shared" si="97"/>
        <v>3082.7999999999997</v>
      </c>
      <c r="J392" s="28"/>
      <c r="K392" s="7"/>
      <c r="L392" s="73">
        <f t="shared" si="98"/>
        <v>3082.7999999999997</v>
      </c>
      <c r="M392" s="22"/>
      <c r="N392" s="7"/>
      <c r="O392" s="23">
        <f t="shared" si="99"/>
        <v>3082.7999999999997</v>
      </c>
      <c r="P392" s="81"/>
      <c r="Q392" s="79">
        <f>O392+P392</f>
        <v>3082.7999999999997</v>
      </c>
    </row>
    <row r="393" spans="1:17" ht="12.75" hidden="1">
      <c r="A393" s="35" t="s">
        <v>65</v>
      </c>
      <c r="B393" s="98"/>
      <c r="C393" s="145"/>
      <c r="D393" s="114"/>
      <c r="E393" s="160"/>
      <c r="F393" s="189">
        <f t="shared" si="96"/>
        <v>0</v>
      </c>
      <c r="G393" s="87"/>
      <c r="H393" s="7"/>
      <c r="I393" s="73">
        <f t="shared" si="97"/>
        <v>0</v>
      </c>
      <c r="J393" s="225"/>
      <c r="K393" s="7"/>
      <c r="L393" s="73">
        <f t="shared" si="98"/>
        <v>0</v>
      </c>
      <c r="M393" s="22"/>
      <c r="N393" s="7"/>
      <c r="O393" s="23">
        <f t="shared" si="99"/>
        <v>0</v>
      </c>
      <c r="P393" s="81"/>
      <c r="Q393" s="79">
        <f>O393+P393</f>
        <v>0</v>
      </c>
    </row>
    <row r="394" spans="1:17" ht="12.75" hidden="1">
      <c r="A394" s="35" t="s">
        <v>160</v>
      </c>
      <c r="B394" s="98"/>
      <c r="C394" s="145"/>
      <c r="D394" s="114"/>
      <c r="E394" s="160"/>
      <c r="F394" s="189">
        <f t="shared" si="96"/>
        <v>0</v>
      </c>
      <c r="G394" s="87"/>
      <c r="H394" s="7"/>
      <c r="I394" s="73">
        <f t="shared" si="97"/>
        <v>0</v>
      </c>
      <c r="J394" s="225"/>
      <c r="K394" s="7"/>
      <c r="L394" s="73">
        <f t="shared" si="98"/>
        <v>0</v>
      </c>
      <c r="M394" s="22"/>
      <c r="N394" s="7"/>
      <c r="O394" s="23">
        <f t="shared" si="99"/>
        <v>0</v>
      </c>
      <c r="P394" s="81"/>
      <c r="Q394" s="79">
        <f>O394+P394</f>
        <v>0</v>
      </c>
    </row>
    <row r="395" spans="1:17" ht="12.75">
      <c r="A395" s="35" t="s">
        <v>316</v>
      </c>
      <c r="B395" s="98">
        <v>14034</v>
      </c>
      <c r="C395" s="145"/>
      <c r="D395" s="114">
        <f>1645+1275</f>
        <v>2920</v>
      </c>
      <c r="E395" s="160"/>
      <c r="F395" s="189">
        <f t="shared" si="96"/>
        <v>2920</v>
      </c>
      <c r="G395" s="87"/>
      <c r="H395" s="7"/>
      <c r="I395" s="73"/>
      <c r="J395" s="225"/>
      <c r="K395" s="7"/>
      <c r="L395" s="73"/>
      <c r="M395" s="22"/>
      <c r="N395" s="7"/>
      <c r="O395" s="23"/>
      <c r="P395" s="81"/>
      <c r="Q395" s="79"/>
    </row>
    <row r="396" spans="1:17" ht="12.75" hidden="1">
      <c r="A396" s="35" t="s">
        <v>260</v>
      </c>
      <c r="B396" s="98">
        <v>98035</v>
      </c>
      <c r="C396" s="145"/>
      <c r="D396" s="114"/>
      <c r="E396" s="160"/>
      <c r="F396" s="189">
        <f t="shared" si="96"/>
        <v>0</v>
      </c>
      <c r="G396" s="87"/>
      <c r="H396" s="7"/>
      <c r="I396" s="73"/>
      <c r="J396" s="225"/>
      <c r="K396" s="7"/>
      <c r="L396" s="73"/>
      <c r="M396" s="22"/>
      <c r="N396" s="7"/>
      <c r="O396" s="23"/>
      <c r="P396" s="81"/>
      <c r="Q396" s="79"/>
    </row>
    <row r="397" spans="1:17" ht="12.75" hidden="1">
      <c r="A397" s="35" t="s">
        <v>237</v>
      </c>
      <c r="B397" s="159" t="s">
        <v>238</v>
      </c>
      <c r="C397" s="145"/>
      <c r="D397" s="114"/>
      <c r="E397" s="160"/>
      <c r="F397" s="189">
        <f t="shared" si="96"/>
        <v>0</v>
      </c>
      <c r="G397" s="87"/>
      <c r="H397" s="7"/>
      <c r="I397" s="73"/>
      <c r="J397" s="225"/>
      <c r="K397" s="7"/>
      <c r="L397" s="73"/>
      <c r="M397" s="22"/>
      <c r="N397" s="7"/>
      <c r="O397" s="23"/>
      <c r="P397" s="81"/>
      <c r="Q397" s="79"/>
    </row>
    <row r="398" spans="1:17" ht="12.75" hidden="1">
      <c r="A398" s="35" t="s">
        <v>236</v>
      </c>
      <c r="B398" s="98">
        <v>33064</v>
      </c>
      <c r="C398" s="145"/>
      <c r="D398" s="114"/>
      <c r="E398" s="160"/>
      <c r="F398" s="189">
        <f t="shared" si="96"/>
        <v>0</v>
      </c>
      <c r="G398" s="87"/>
      <c r="H398" s="7"/>
      <c r="I398" s="73"/>
      <c r="J398" s="225"/>
      <c r="K398" s="7"/>
      <c r="L398" s="73"/>
      <c r="M398" s="22"/>
      <c r="N398" s="7"/>
      <c r="O398" s="23"/>
      <c r="P398" s="81"/>
      <c r="Q398" s="79"/>
    </row>
    <row r="399" spans="1:17" ht="12.75">
      <c r="A399" s="41" t="s">
        <v>54</v>
      </c>
      <c r="B399" s="102"/>
      <c r="C399" s="172">
        <f>SUM(C401:C407)</f>
        <v>2000</v>
      </c>
      <c r="D399" s="121">
        <f aca="true" t="shared" si="100" ref="D399:Q399">SUM(D401:D407)</f>
        <v>0</v>
      </c>
      <c r="E399" s="163">
        <f t="shared" si="100"/>
        <v>0</v>
      </c>
      <c r="F399" s="192">
        <f t="shared" si="100"/>
        <v>2000</v>
      </c>
      <c r="G399" s="210">
        <f t="shared" si="100"/>
        <v>0</v>
      </c>
      <c r="H399" s="121">
        <f t="shared" si="100"/>
        <v>0</v>
      </c>
      <c r="I399" s="163">
        <f t="shared" si="100"/>
        <v>2000</v>
      </c>
      <c r="J399" s="172">
        <f t="shared" si="100"/>
        <v>0</v>
      </c>
      <c r="K399" s="121">
        <f t="shared" si="100"/>
        <v>0</v>
      </c>
      <c r="L399" s="163">
        <f t="shared" si="100"/>
        <v>2000</v>
      </c>
      <c r="M399" s="120">
        <f t="shared" si="100"/>
        <v>0</v>
      </c>
      <c r="N399" s="120">
        <f t="shared" si="100"/>
        <v>0</v>
      </c>
      <c r="O399" s="120">
        <f t="shared" si="100"/>
        <v>2000</v>
      </c>
      <c r="P399" s="120">
        <f t="shared" si="100"/>
        <v>0</v>
      </c>
      <c r="Q399" s="245">
        <f t="shared" si="100"/>
        <v>2000</v>
      </c>
    </row>
    <row r="400" spans="1:17" ht="12.75">
      <c r="A400" s="37" t="s">
        <v>26</v>
      </c>
      <c r="B400" s="98"/>
      <c r="C400" s="145"/>
      <c r="D400" s="114"/>
      <c r="E400" s="160"/>
      <c r="F400" s="189"/>
      <c r="G400" s="87"/>
      <c r="H400" s="7"/>
      <c r="I400" s="73"/>
      <c r="J400" s="28"/>
      <c r="K400" s="7"/>
      <c r="L400" s="73"/>
      <c r="M400" s="22"/>
      <c r="N400" s="7"/>
      <c r="O400" s="23"/>
      <c r="P400" s="81"/>
      <c r="Q400" s="79"/>
    </row>
    <row r="401" spans="1:17" ht="12.75">
      <c r="A401" s="39" t="s">
        <v>69</v>
      </c>
      <c r="B401" s="98"/>
      <c r="C401" s="145"/>
      <c r="D401" s="114">
        <f>2000</f>
        <v>2000</v>
      </c>
      <c r="E401" s="160"/>
      <c r="F401" s="189">
        <f aca="true" t="shared" si="101" ref="F401:F407">C401+D401+E401</f>
        <v>2000</v>
      </c>
      <c r="G401" s="87"/>
      <c r="H401" s="7"/>
      <c r="I401" s="73">
        <f>F401+G401+H401</f>
        <v>2000</v>
      </c>
      <c r="J401" s="28"/>
      <c r="K401" s="7"/>
      <c r="L401" s="73">
        <f>I401+J401+K401</f>
        <v>2000</v>
      </c>
      <c r="M401" s="22"/>
      <c r="N401" s="7"/>
      <c r="O401" s="23">
        <f>L401+M401+N401</f>
        <v>2000</v>
      </c>
      <c r="P401" s="81"/>
      <c r="Q401" s="79">
        <f>O401+P401</f>
        <v>2000</v>
      </c>
    </row>
    <row r="402" spans="1:17" ht="12.75" hidden="1">
      <c r="A402" s="39" t="s">
        <v>193</v>
      </c>
      <c r="B402" s="98"/>
      <c r="C402" s="145"/>
      <c r="D402" s="114"/>
      <c r="E402" s="160"/>
      <c r="F402" s="189">
        <f t="shared" si="101"/>
        <v>0</v>
      </c>
      <c r="G402" s="87"/>
      <c r="H402" s="7"/>
      <c r="I402" s="73"/>
      <c r="J402" s="28"/>
      <c r="K402" s="7"/>
      <c r="L402" s="73"/>
      <c r="M402" s="22"/>
      <c r="N402" s="7"/>
      <c r="O402" s="23"/>
      <c r="P402" s="81"/>
      <c r="Q402" s="79"/>
    </row>
    <row r="403" spans="1:17" ht="12.75" hidden="1">
      <c r="A403" s="39" t="s">
        <v>194</v>
      </c>
      <c r="B403" s="98"/>
      <c r="C403" s="145"/>
      <c r="D403" s="114"/>
      <c r="E403" s="160"/>
      <c r="F403" s="189">
        <f t="shared" si="101"/>
        <v>0</v>
      </c>
      <c r="G403" s="87"/>
      <c r="H403" s="7"/>
      <c r="I403" s="73"/>
      <c r="J403" s="28"/>
      <c r="K403" s="7"/>
      <c r="L403" s="73"/>
      <c r="M403" s="22"/>
      <c r="N403" s="7"/>
      <c r="O403" s="23"/>
      <c r="P403" s="81"/>
      <c r="Q403" s="79"/>
    </row>
    <row r="404" spans="1:17" ht="12.75" hidden="1">
      <c r="A404" s="39" t="s">
        <v>183</v>
      </c>
      <c r="B404" s="98"/>
      <c r="C404" s="145"/>
      <c r="D404" s="114"/>
      <c r="E404" s="160"/>
      <c r="F404" s="189">
        <f t="shared" si="101"/>
        <v>0</v>
      </c>
      <c r="G404" s="87"/>
      <c r="H404" s="7"/>
      <c r="I404" s="73"/>
      <c r="J404" s="28"/>
      <c r="K404" s="7"/>
      <c r="L404" s="73"/>
      <c r="M404" s="22"/>
      <c r="N404" s="7"/>
      <c r="O404" s="23"/>
      <c r="P404" s="81"/>
      <c r="Q404" s="79"/>
    </row>
    <row r="405" spans="1:17" ht="12.75">
      <c r="A405" s="38" t="s">
        <v>55</v>
      </c>
      <c r="B405" s="101"/>
      <c r="C405" s="173">
        <v>2000</v>
      </c>
      <c r="D405" s="122">
        <f>-2000</f>
        <v>-2000</v>
      </c>
      <c r="E405" s="261"/>
      <c r="F405" s="193">
        <f t="shared" si="101"/>
        <v>0</v>
      </c>
      <c r="G405" s="87"/>
      <c r="H405" s="7"/>
      <c r="I405" s="73">
        <f>F405+G405+H405</f>
        <v>0</v>
      </c>
      <c r="J405" s="28"/>
      <c r="K405" s="7"/>
      <c r="L405" s="73">
        <f>I405+J405+K405</f>
        <v>0</v>
      </c>
      <c r="M405" s="22"/>
      <c r="N405" s="7"/>
      <c r="O405" s="23">
        <f>L405+M405+N405</f>
        <v>0</v>
      </c>
      <c r="P405" s="81"/>
      <c r="Q405" s="79">
        <f>O405+P405</f>
        <v>0</v>
      </c>
    </row>
    <row r="406" spans="1:17" ht="12.75" hidden="1">
      <c r="A406" s="38" t="s">
        <v>77</v>
      </c>
      <c r="B406" s="101"/>
      <c r="C406" s="173"/>
      <c r="D406" s="122"/>
      <c r="E406" s="261"/>
      <c r="F406" s="193">
        <f t="shared" si="101"/>
        <v>0</v>
      </c>
      <c r="G406" s="87"/>
      <c r="H406" s="7"/>
      <c r="I406" s="73">
        <f>F406+G406+H406</f>
        <v>0</v>
      </c>
      <c r="J406" s="28"/>
      <c r="K406" s="7"/>
      <c r="L406" s="73">
        <f>I406+J406+K406</f>
        <v>0</v>
      </c>
      <c r="M406" s="22"/>
      <c r="N406" s="7"/>
      <c r="O406" s="23">
        <f>L406+M406+N406</f>
        <v>0</v>
      </c>
      <c r="P406" s="81"/>
      <c r="Q406" s="79">
        <f>O406+P406</f>
        <v>0</v>
      </c>
    </row>
    <row r="407" spans="1:17" ht="12.75" hidden="1">
      <c r="A407" s="45" t="s">
        <v>184</v>
      </c>
      <c r="B407" s="101"/>
      <c r="C407" s="173"/>
      <c r="D407" s="122"/>
      <c r="E407" s="261"/>
      <c r="F407" s="193">
        <f t="shared" si="101"/>
        <v>0</v>
      </c>
      <c r="G407" s="212"/>
      <c r="H407" s="10"/>
      <c r="I407" s="72">
        <f>F407+G407+H407</f>
        <v>0</v>
      </c>
      <c r="J407" s="227"/>
      <c r="K407" s="10"/>
      <c r="L407" s="72">
        <f>I407+J407+K407</f>
        <v>0</v>
      </c>
      <c r="M407" s="26"/>
      <c r="N407" s="10"/>
      <c r="O407" s="27">
        <f>L407+M407+N407</f>
        <v>0</v>
      </c>
      <c r="P407" s="84"/>
      <c r="Q407" s="85">
        <f>O407+P407</f>
        <v>0</v>
      </c>
    </row>
    <row r="408" spans="1:17" ht="12.75">
      <c r="A408" s="32" t="s">
        <v>97</v>
      </c>
      <c r="B408" s="102"/>
      <c r="C408" s="152">
        <f>C409+C412</f>
        <v>3304.9</v>
      </c>
      <c r="D408" s="113">
        <f aca="true" t="shared" si="102" ref="D408:Q408">D409+D412</f>
        <v>0</v>
      </c>
      <c r="E408" s="136">
        <f t="shared" si="102"/>
        <v>0</v>
      </c>
      <c r="F408" s="167">
        <f t="shared" si="102"/>
        <v>3304.9</v>
      </c>
      <c r="G408" s="153">
        <f t="shared" si="102"/>
        <v>0</v>
      </c>
      <c r="H408" s="113">
        <f t="shared" si="102"/>
        <v>0</v>
      </c>
      <c r="I408" s="136">
        <f t="shared" si="102"/>
        <v>3304.9</v>
      </c>
      <c r="J408" s="152">
        <f t="shared" si="102"/>
        <v>0</v>
      </c>
      <c r="K408" s="113">
        <f t="shared" si="102"/>
        <v>0</v>
      </c>
      <c r="L408" s="136">
        <f t="shared" si="102"/>
        <v>3304.9</v>
      </c>
      <c r="M408" s="112">
        <f t="shared" si="102"/>
        <v>0</v>
      </c>
      <c r="N408" s="112">
        <f t="shared" si="102"/>
        <v>0</v>
      </c>
      <c r="O408" s="112">
        <f t="shared" si="102"/>
        <v>3304.9</v>
      </c>
      <c r="P408" s="112">
        <f t="shared" si="102"/>
        <v>0</v>
      </c>
      <c r="Q408" s="240">
        <f t="shared" si="102"/>
        <v>3304.9</v>
      </c>
    </row>
    <row r="409" spans="1:17" ht="12.75">
      <c r="A409" s="41" t="s">
        <v>49</v>
      </c>
      <c r="B409" s="102"/>
      <c r="C409" s="172">
        <f>SUM(C411:C411)</f>
        <v>3304.9</v>
      </c>
      <c r="D409" s="121">
        <f aca="true" t="shared" si="103" ref="D409:Q409">SUM(D411:D411)</f>
        <v>0</v>
      </c>
      <c r="E409" s="163">
        <f t="shared" si="103"/>
        <v>0</v>
      </c>
      <c r="F409" s="192">
        <f t="shared" si="103"/>
        <v>3304.9</v>
      </c>
      <c r="G409" s="210">
        <f t="shared" si="103"/>
        <v>0</v>
      </c>
      <c r="H409" s="121">
        <f t="shared" si="103"/>
        <v>0</v>
      </c>
      <c r="I409" s="163">
        <f t="shared" si="103"/>
        <v>3304.9</v>
      </c>
      <c r="J409" s="172">
        <f t="shared" si="103"/>
        <v>0</v>
      </c>
      <c r="K409" s="121">
        <f t="shared" si="103"/>
        <v>0</v>
      </c>
      <c r="L409" s="163">
        <f t="shared" si="103"/>
        <v>3304.9</v>
      </c>
      <c r="M409" s="120">
        <f t="shared" si="103"/>
        <v>0</v>
      </c>
      <c r="N409" s="120">
        <f t="shared" si="103"/>
        <v>0</v>
      </c>
      <c r="O409" s="120">
        <f t="shared" si="103"/>
        <v>3304.9</v>
      </c>
      <c r="P409" s="120">
        <f t="shared" si="103"/>
        <v>0</v>
      </c>
      <c r="Q409" s="245">
        <f t="shared" si="103"/>
        <v>3304.9</v>
      </c>
    </row>
    <row r="410" spans="1:17" ht="12.75">
      <c r="A410" s="37" t="s">
        <v>26</v>
      </c>
      <c r="B410" s="98"/>
      <c r="C410" s="145"/>
      <c r="D410" s="114"/>
      <c r="E410" s="160"/>
      <c r="F410" s="167"/>
      <c r="G410" s="87"/>
      <c r="H410" s="7"/>
      <c r="I410" s="69"/>
      <c r="J410" s="28"/>
      <c r="K410" s="7"/>
      <c r="L410" s="69"/>
      <c r="M410" s="22"/>
      <c r="N410" s="7"/>
      <c r="O410" s="21"/>
      <c r="P410" s="81"/>
      <c r="Q410" s="79"/>
    </row>
    <row r="411" spans="1:17" ht="12.75">
      <c r="A411" s="38" t="s">
        <v>51</v>
      </c>
      <c r="B411" s="101"/>
      <c r="C411" s="176">
        <v>3304.9</v>
      </c>
      <c r="D411" s="122"/>
      <c r="E411" s="261"/>
      <c r="F411" s="193">
        <f>C411+D411+E411</f>
        <v>3304.9</v>
      </c>
      <c r="G411" s="87"/>
      <c r="H411" s="7"/>
      <c r="I411" s="73">
        <f>F411+G411+H411</f>
        <v>3304.9</v>
      </c>
      <c r="J411" s="28"/>
      <c r="K411" s="7"/>
      <c r="L411" s="73">
        <f>I411+J411+K411</f>
        <v>3304.9</v>
      </c>
      <c r="M411" s="22"/>
      <c r="N411" s="7"/>
      <c r="O411" s="23">
        <f>L411+M411+N411</f>
        <v>3304.9</v>
      </c>
      <c r="P411" s="81"/>
      <c r="Q411" s="79">
        <f>O411+P411</f>
        <v>3304.9</v>
      </c>
    </row>
    <row r="412" spans="1:17" ht="12.75" hidden="1">
      <c r="A412" s="41" t="s">
        <v>54</v>
      </c>
      <c r="B412" s="102"/>
      <c r="C412" s="172">
        <f aca="true" t="shared" si="104" ref="C412:Q412">SUM(C414:C414)</f>
        <v>0</v>
      </c>
      <c r="D412" s="121">
        <f t="shared" si="104"/>
        <v>0</v>
      </c>
      <c r="E412" s="163">
        <f t="shared" si="104"/>
        <v>0</v>
      </c>
      <c r="F412" s="192">
        <f t="shared" si="104"/>
        <v>0</v>
      </c>
      <c r="G412" s="210">
        <f t="shared" si="104"/>
        <v>0</v>
      </c>
      <c r="H412" s="121">
        <f t="shared" si="104"/>
        <v>0</v>
      </c>
      <c r="I412" s="163">
        <f t="shared" si="104"/>
        <v>0</v>
      </c>
      <c r="J412" s="172">
        <f t="shared" si="104"/>
        <v>0</v>
      </c>
      <c r="K412" s="121">
        <f t="shared" si="104"/>
        <v>0</v>
      </c>
      <c r="L412" s="163">
        <f t="shared" si="104"/>
        <v>0</v>
      </c>
      <c r="M412" s="120">
        <f t="shared" si="104"/>
        <v>0</v>
      </c>
      <c r="N412" s="120">
        <f t="shared" si="104"/>
        <v>0</v>
      </c>
      <c r="O412" s="120">
        <f t="shared" si="104"/>
        <v>0</v>
      </c>
      <c r="P412" s="120">
        <f t="shared" si="104"/>
        <v>0</v>
      </c>
      <c r="Q412" s="245">
        <f t="shared" si="104"/>
        <v>0</v>
      </c>
    </row>
    <row r="413" spans="1:17" ht="12.75" hidden="1">
      <c r="A413" s="37" t="s">
        <v>26</v>
      </c>
      <c r="B413" s="98"/>
      <c r="C413" s="145"/>
      <c r="D413" s="114"/>
      <c r="E413" s="160"/>
      <c r="F413" s="189"/>
      <c r="G413" s="87"/>
      <c r="H413" s="7"/>
      <c r="I413" s="73"/>
      <c r="J413" s="28"/>
      <c r="K413" s="7"/>
      <c r="L413" s="73"/>
      <c r="M413" s="22"/>
      <c r="N413" s="7"/>
      <c r="O413" s="23"/>
      <c r="P413" s="81"/>
      <c r="Q413" s="79"/>
    </row>
    <row r="414" spans="1:17" ht="12.75" hidden="1">
      <c r="A414" s="38" t="s">
        <v>55</v>
      </c>
      <c r="B414" s="101"/>
      <c r="C414" s="173"/>
      <c r="D414" s="122"/>
      <c r="E414" s="261"/>
      <c r="F414" s="193">
        <f>C414+D414+E414</f>
        <v>0</v>
      </c>
      <c r="G414" s="212"/>
      <c r="H414" s="10"/>
      <c r="I414" s="72">
        <f>F414+G414+H414</f>
        <v>0</v>
      </c>
      <c r="J414" s="227"/>
      <c r="K414" s="10"/>
      <c r="L414" s="72">
        <f>I414+J414+K414</f>
        <v>0</v>
      </c>
      <c r="M414" s="26"/>
      <c r="N414" s="10"/>
      <c r="O414" s="27">
        <f>L414+M414+N414</f>
        <v>0</v>
      </c>
      <c r="P414" s="84"/>
      <c r="Q414" s="85">
        <f>O414+P414</f>
        <v>0</v>
      </c>
    </row>
    <row r="415" spans="1:17" ht="12.75">
      <c r="A415" s="32" t="s">
        <v>98</v>
      </c>
      <c r="B415" s="102"/>
      <c r="C415" s="152">
        <f aca="true" t="shared" si="105" ref="C415:Q415">C416</f>
        <v>55500</v>
      </c>
      <c r="D415" s="113">
        <f t="shared" si="105"/>
        <v>110819.67000000001</v>
      </c>
      <c r="E415" s="136">
        <f t="shared" si="105"/>
        <v>-10000</v>
      </c>
      <c r="F415" s="167">
        <f t="shared" si="105"/>
        <v>156319.67</v>
      </c>
      <c r="G415" s="153">
        <f t="shared" si="105"/>
        <v>0</v>
      </c>
      <c r="H415" s="113">
        <f t="shared" si="105"/>
        <v>0</v>
      </c>
      <c r="I415" s="136">
        <f t="shared" si="105"/>
        <v>156319.67</v>
      </c>
      <c r="J415" s="152">
        <f t="shared" si="105"/>
        <v>0</v>
      </c>
      <c r="K415" s="113">
        <f t="shared" si="105"/>
        <v>0</v>
      </c>
      <c r="L415" s="136">
        <f t="shared" si="105"/>
        <v>156319.67</v>
      </c>
      <c r="M415" s="112">
        <f t="shared" si="105"/>
        <v>0</v>
      </c>
      <c r="N415" s="112">
        <f t="shared" si="105"/>
        <v>0</v>
      </c>
      <c r="O415" s="112">
        <f t="shared" si="105"/>
        <v>156319.67</v>
      </c>
      <c r="P415" s="112">
        <f t="shared" si="105"/>
        <v>0</v>
      </c>
      <c r="Q415" s="240">
        <f t="shared" si="105"/>
        <v>156319.67</v>
      </c>
    </row>
    <row r="416" spans="1:17" ht="12.75">
      <c r="A416" s="41" t="s">
        <v>49</v>
      </c>
      <c r="B416" s="102"/>
      <c r="C416" s="172">
        <f>SUM(C418:C421)</f>
        <v>55500</v>
      </c>
      <c r="D416" s="121">
        <f aca="true" t="shared" si="106" ref="D416:Q416">SUM(D418:D421)</f>
        <v>110819.67000000001</v>
      </c>
      <c r="E416" s="163">
        <f t="shared" si="106"/>
        <v>-10000</v>
      </c>
      <c r="F416" s="192">
        <f t="shared" si="106"/>
        <v>156319.67</v>
      </c>
      <c r="G416" s="210">
        <f t="shared" si="106"/>
        <v>0</v>
      </c>
      <c r="H416" s="121">
        <f t="shared" si="106"/>
        <v>0</v>
      </c>
      <c r="I416" s="163">
        <f t="shared" si="106"/>
        <v>156319.67</v>
      </c>
      <c r="J416" s="172">
        <f t="shared" si="106"/>
        <v>0</v>
      </c>
      <c r="K416" s="121">
        <f t="shared" si="106"/>
        <v>0</v>
      </c>
      <c r="L416" s="163">
        <f t="shared" si="106"/>
        <v>156319.67</v>
      </c>
      <c r="M416" s="120">
        <f t="shared" si="106"/>
        <v>0</v>
      </c>
      <c r="N416" s="120">
        <f t="shared" si="106"/>
        <v>0</v>
      </c>
      <c r="O416" s="120">
        <f t="shared" si="106"/>
        <v>156319.67</v>
      </c>
      <c r="P416" s="120">
        <f t="shared" si="106"/>
        <v>0</v>
      </c>
      <c r="Q416" s="245">
        <f t="shared" si="106"/>
        <v>156319.67</v>
      </c>
    </row>
    <row r="417" spans="1:17" ht="12.75">
      <c r="A417" s="37" t="s">
        <v>26</v>
      </c>
      <c r="B417" s="98"/>
      <c r="C417" s="152"/>
      <c r="D417" s="113"/>
      <c r="E417" s="136"/>
      <c r="F417" s="167"/>
      <c r="G417" s="137"/>
      <c r="H417" s="6"/>
      <c r="I417" s="69"/>
      <c r="J417" s="224"/>
      <c r="K417" s="6"/>
      <c r="L417" s="69"/>
      <c r="M417" s="20"/>
      <c r="N417" s="6"/>
      <c r="O417" s="21"/>
      <c r="P417" s="81"/>
      <c r="Q417" s="79"/>
    </row>
    <row r="418" spans="1:17" ht="12.75">
      <c r="A418" s="99" t="s">
        <v>195</v>
      </c>
      <c r="B418" s="98"/>
      <c r="C418" s="145">
        <v>15000</v>
      </c>
      <c r="D418" s="114">
        <v>67000</v>
      </c>
      <c r="E418" s="160">
        <v>-10000</v>
      </c>
      <c r="F418" s="189">
        <f>C418+D418+E418</f>
        <v>72000</v>
      </c>
      <c r="G418" s="87"/>
      <c r="H418" s="7"/>
      <c r="I418" s="73">
        <f>F418+G418+H418</f>
        <v>72000</v>
      </c>
      <c r="J418" s="225"/>
      <c r="K418" s="7"/>
      <c r="L418" s="73">
        <f>I418+J418+K418</f>
        <v>72000</v>
      </c>
      <c r="M418" s="22"/>
      <c r="N418" s="7"/>
      <c r="O418" s="23">
        <f>L418+M418+N418</f>
        <v>72000</v>
      </c>
      <c r="P418" s="81"/>
      <c r="Q418" s="79">
        <f>O418+P418</f>
        <v>72000</v>
      </c>
    </row>
    <row r="419" spans="1:17" ht="12.75">
      <c r="A419" s="99" t="s">
        <v>99</v>
      </c>
      <c r="B419" s="98"/>
      <c r="C419" s="145"/>
      <c r="D419" s="125">
        <f>26787.85</f>
        <v>26787.85</v>
      </c>
      <c r="E419" s="160"/>
      <c r="F419" s="189">
        <f>C419+D419+E419</f>
        <v>26787.85</v>
      </c>
      <c r="G419" s="87"/>
      <c r="H419" s="7"/>
      <c r="I419" s="73">
        <f>F419+G419+H419</f>
        <v>26787.85</v>
      </c>
      <c r="J419" s="28"/>
      <c r="K419" s="7"/>
      <c r="L419" s="73">
        <f>I419+J419+K419</f>
        <v>26787.85</v>
      </c>
      <c r="M419" s="22"/>
      <c r="N419" s="7"/>
      <c r="O419" s="23">
        <f>L419+M419+N419</f>
        <v>26787.85</v>
      </c>
      <c r="P419" s="81"/>
      <c r="Q419" s="79">
        <f>O419+P419</f>
        <v>26787.85</v>
      </c>
    </row>
    <row r="420" spans="1:17" ht="12.75">
      <c r="A420" s="99" t="s">
        <v>100</v>
      </c>
      <c r="B420" s="98"/>
      <c r="C420" s="145"/>
      <c r="D420" s="114">
        <f>17031.82</f>
        <v>17031.82</v>
      </c>
      <c r="E420" s="160"/>
      <c r="F420" s="189">
        <f>C420+D420+E420</f>
        <v>17031.82</v>
      </c>
      <c r="G420" s="87"/>
      <c r="H420" s="7"/>
      <c r="I420" s="73">
        <f>F420+G420+H420</f>
        <v>17031.82</v>
      </c>
      <c r="J420" s="28"/>
      <c r="K420" s="7"/>
      <c r="L420" s="73">
        <f>I420+J420+K420</f>
        <v>17031.82</v>
      </c>
      <c r="M420" s="22"/>
      <c r="N420" s="7"/>
      <c r="O420" s="23">
        <f>L420+M420+N420</f>
        <v>17031.82</v>
      </c>
      <c r="P420" s="81"/>
      <c r="Q420" s="79">
        <f>O420+P420</f>
        <v>17031.82</v>
      </c>
    </row>
    <row r="421" spans="1:17" ht="12.75">
      <c r="A421" s="38" t="s">
        <v>51</v>
      </c>
      <c r="B421" s="101"/>
      <c r="C421" s="173">
        <v>40500</v>
      </c>
      <c r="D421" s="122"/>
      <c r="E421" s="261"/>
      <c r="F421" s="193">
        <f>C421+D421+E421</f>
        <v>40500</v>
      </c>
      <c r="G421" s="212"/>
      <c r="H421" s="10"/>
      <c r="I421" s="72">
        <f>F421+G421+H421</f>
        <v>40500</v>
      </c>
      <c r="J421" s="227"/>
      <c r="K421" s="10"/>
      <c r="L421" s="72">
        <f>I421+J421+K421</f>
        <v>40500</v>
      </c>
      <c r="M421" s="26"/>
      <c r="N421" s="10"/>
      <c r="O421" s="27">
        <f>L421+M421+N421</f>
        <v>40500</v>
      </c>
      <c r="P421" s="84"/>
      <c r="Q421" s="85">
        <f>O421+P421</f>
        <v>40500</v>
      </c>
    </row>
    <row r="422" spans="1:17" ht="12.75">
      <c r="A422" s="32" t="s">
        <v>168</v>
      </c>
      <c r="B422" s="102"/>
      <c r="C422" s="152">
        <f aca="true" t="shared" si="107" ref="C422:Q422">C423+C437</f>
        <v>185407.7</v>
      </c>
      <c r="D422" s="113">
        <f t="shared" si="107"/>
        <v>44177.64</v>
      </c>
      <c r="E422" s="136">
        <f t="shared" si="107"/>
        <v>1900</v>
      </c>
      <c r="F422" s="167">
        <f t="shared" si="107"/>
        <v>231485.34</v>
      </c>
      <c r="G422" s="153">
        <f t="shared" si="107"/>
        <v>0</v>
      </c>
      <c r="H422" s="113">
        <f t="shared" si="107"/>
        <v>0</v>
      </c>
      <c r="I422" s="136">
        <f t="shared" si="107"/>
        <v>0</v>
      </c>
      <c r="J422" s="152">
        <f t="shared" si="107"/>
        <v>0</v>
      </c>
      <c r="K422" s="113">
        <f t="shared" si="107"/>
        <v>0</v>
      </c>
      <c r="L422" s="136">
        <f t="shared" si="107"/>
        <v>0</v>
      </c>
      <c r="M422" s="112">
        <f t="shared" si="107"/>
        <v>0</v>
      </c>
      <c r="N422" s="112">
        <f t="shared" si="107"/>
        <v>0</v>
      </c>
      <c r="O422" s="112">
        <f t="shared" si="107"/>
        <v>0</v>
      </c>
      <c r="P422" s="112">
        <f t="shared" si="107"/>
        <v>0</v>
      </c>
      <c r="Q422" s="240">
        <f t="shared" si="107"/>
        <v>0</v>
      </c>
    </row>
    <row r="423" spans="1:17" ht="12.75">
      <c r="A423" s="41" t="s">
        <v>49</v>
      </c>
      <c r="B423" s="102"/>
      <c r="C423" s="172">
        <f>SUM(C425:C436)</f>
        <v>130807.7</v>
      </c>
      <c r="D423" s="121">
        <f>SUM(D425:D436)</f>
        <v>10517.640000000001</v>
      </c>
      <c r="E423" s="163">
        <f>SUM(E424:E436)</f>
        <v>-23.4</v>
      </c>
      <c r="F423" s="192">
        <f>SUM(F425:F436)</f>
        <v>141301.94</v>
      </c>
      <c r="G423" s="210">
        <f aca="true" t="shared" si="108" ref="G423:Q423">SUM(G424:G436)</f>
        <v>0</v>
      </c>
      <c r="H423" s="121">
        <f t="shared" si="108"/>
        <v>0</v>
      </c>
      <c r="I423" s="163">
        <f t="shared" si="108"/>
        <v>0</v>
      </c>
      <c r="J423" s="172">
        <f t="shared" si="108"/>
        <v>0</v>
      </c>
      <c r="K423" s="121">
        <f t="shared" si="108"/>
        <v>0</v>
      </c>
      <c r="L423" s="163">
        <f t="shared" si="108"/>
        <v>0</v>
      </c>
      <c r="M423" s="120">
        <f t="shared" si="108"/>
        <v>0</v>
      </c>
      <c r="N423" s="120">
        <f t="shared" si="108"/>
        <v>0</v>
      </c>
      <c r="O423" s="120">
        <f t="shared" si="108"/>
        <v>0</v>
      </c>
      <c r="P423" s="120">
        <f t="shared" si="108"/>
        <v>0</v>
      </c>
      <c r="Q423" s="245">
        <f t="shared" si="108"/>
        <v>0</v>
      </c>
    </row>
    <row r="424" spans="1:17" ht="12.75">
      <c r="A424" s="37" t="s">
        <v>26</v>
      </c>
      <c r="B424" s="98"/>
      <c r="C424" s="145"/>
      <c r="D424" s="114"/>
      <c r="E424" s="160"/>
      <c r="F424" s="189"/>
      <c r="G424" s="87"/>
      <c r="H424" s="7"/>
      <c r="I424" s="73"/>
      <c r="J424" s="28"/>
      <c r="K424" s="7"/>
      <c r="L424" s="73"/>
      <c r="M424" s="22"/>
      <c r="N424" s="7"/>
      <c r="O424" s="23"/>
      <c r="P424" s="81"/>
      <c r="Q424" s="79"/>
    </row>
    <row r="425" spans="1:17" ht="12.75">
      <c r="A425" s="35" t="s">
        <v>256</v>
      </c>
      <c r="B425" s="98">
        <v>1202</v>
      </c>
      <c r="C425" s="145">
        <v>15900</v>
      </c>
      <c r="D425" s="114">
        <f>6660.58-4000</f>
        <v>2660.58</v>
      </c>
      <c r="E425" s="160"/>
      <c r="F425" s="189">
        <f aca="true" t="shared" si="109" ref="F425:F436">C425+D425+E425</f>
        <v>18560.58</v>
      </c>
      <c r="G425" s="87"/>
      <c r="H425" s="7"/>
      <c r="I425" s="73"/>
      <c r="J425" s="28"/>
      <c r="K425" s="7"/>
      <c r="L425" s="73"/>
      <c r="M425" s="22"/>
      <c r="N425" s="7"/>
      <c r="O425" s="23"/>
      <c r="P425" s="81"/>
      <c r="Q425" s="79"/>
    </row>
    <row r="426" spans="1:17" ht="12.75">
      <c r="A426" s="35" t="s">
        <v>187</v>
      </c>
      <c r="B426" s="98">
        <v>1208</v>
      </c>
      <c r="C426" s="145">
        <v>4500</v>
      </c>
      <c r="D426" s="114">
        <f>20.18</f>
        <v>20.18</v>
      </c>
      <c r="E426" s="160"/>
      <c r="F426" s="189">
        <f t="shared" si="109"/>
        <v>4520.18</v>
      </c>
      <c r="G426" s="87"/>
      <c r="H426" s="7"/>
      <c r="I426" s="73"/>
      <c r="J426" s="28"/>
      <c r="K426" s="7"/>
      <c r="L426" s="73"/>
      <c r="M426" s="22"/>
      <c r="N426" s="7"/>
      <c r="O426" s="23"/>
      <c r="P426" s="81"/>
      <c r="Q426" s="79"/>
    </row>
    <row r="427" spans="1:17" ht="12.75">
      <c r="A427" s="35" t="s">
        <v>188</v>
      </c>
      <c r="B427" s="98">
        <v>1207</v>
      </c>
      <c r="C427" s="145">
        <v>10600</v>
      </c>
      <c r="D427" s="114">
        <f>114.87+1430</f>
        <v>1544.87</v>
      </c>
      <c r="E427" s="160"/>
      <c r="F427" s="189">
        <f t="shared" si="109"/>
        <v>12144.869999999999</v>
      </c>
      <c r="G427" s="87"/>
      <c r="H427" s="7"/>
      <c r="I427" s="73"/>
      <c r="J427" s="28"/>
      <c r="K427" s="7"/>
      <c r="L427" s="73"/>
      <c r="M427" s="22"/>
      <c r="N427" s="7"/>
      <c r="O427" s="23"/>
      <c r="P427" s="81"/>
      <c r="Q427" s="79"/>
    </row>
    <row r="428" spans="1:17" ht="12.75">
      <c r="A428" s="39" t="s">
        <v>277</v>
      </c>
      <c r="B428" s="98">
        <v>1209</v>
      </c>
      <c r="C428" s="145">
        <v>2860</v>
      </c>
      <c r="D428" s="114">
        <f>781+88.6+11.32</f>
        <v>880.9200000000001</v>
      </c>
      <c r="E428" s="160"/>
      <c r="F428" s="189">
        <f t="shared" si="109"/>
        <v>3740.92</v>
      </c>
      <c r="G428" s="87"/>
      <c r="H428" s="7"/>
      <c r="I428" s="73"/>
      <c r="J428" s="28"/>
      <c r="K428" s="7"/>
      <c r="L428" s="73"/>
      <c r="M428" s="22"/>
      <c r="N428" s="7"/>
      <c r="O428" s="23"/>
      <c r="P428" s="81"/>
      <c r="Q428" s="79"/>
    </row>
    <row r="429" spans="1:17" ht="12.75">
      <c r="A429" s="35" t="s">
        <v>189</v>
      </c>
      <c r="B429" s="98">
        <v>1211</v>
      </c>
      <c r="C429" s="145">
        <v>3900</v>
      </c>
      <c r="D429" s="125">
        <f>125.1</f>
        <v>125.1</v>
      </c>
      <c r="E429" s="264"/>
      <c r="F429" s="189">
        <f t="shared" si="109"/>
        <v>4025.1</v>
      </c>
      <c r="G429" s="87"/>
      <c r="H429" s="7"/>
      <c r="I429" s="73"/>
      <c r="J429" s="28"/>
      <c r="K429" s="7"/>
      <c r="L429" s="73"/>
      <c r="M429" s="22"/>
      <c r="N429" s="7"/>
      <c r="O429" s="23"/>
      <c r="P429" s="81"/>
      <c r="Q429" s="79"/>
    </row>
    <row r="430" spans="1:17" ht="12.75">
      <c r="A430" s="35" t="s">
        <v>241</v>
      </c>
      <c r="B430" s="98">
        <v>1214</v>
      </c>
      <c r="C430" s="145">
        <v>2800</v>
      </c>
      <c r="D430" s="125">
        <f>70.05</f>
        <v>70.05</v>
      </c>
      <c r="E430" s="160"/>
      <c r="F430" s="189">
        <f t="shared" si="109"/>
        <v>2870.05</v>
      </c>
      <c r="G430" s="87"/>
      <c r="H430" s="7"/>
      <c r="I430" s="73"/>
      <c r="J430" s="28"/>
      <c r="K430" s="7"/>
      <c r="L430" s="73"/>
      <c r="M430" s="22"/>
      <c r="N430" s="7"/>
      <c r="O430" s="23"/>
      <c r="P430" s="81"/>
      <c r="Q430" s="79"/>
    </row>
    <row r="431" spans="1:17" ht="12.75">
      <c r="A431" s="35" t="s">
        <v>242</v>
      </c>
      <c r="B431" s="98">
        <v>1213</v>
      </c>
      <c r="C431" s="145">
        <v>1500</v>
      </c>
      <c r="D431" s="125">
        <f>53.5</f>
        <v>53.5</v>
      </c>
      <c r="E431" s="160"/>
      <c r="F431" s="189">
        <f t="shared" si="109"/>
        <v>1553.5</v>
      </c>
      <c r="G431" s="87"/>
      <c r="H431" s="7"/>
      <c r="I431" s="73"/>
      <c r="J431" s="28"/>
      <c r="K431" s="7"/>
      <c r="L431" s="73"/>
      <c r="M431" s="22"/>
      <c r="N431" s="7"/>
      <c r="O431" s="23"/>
      <c r="P431" s="81"/>
      <c r="Q431" s="79"/>
    </row>
    <row r="432" spans="1:17" ht="12.75">
      <c r="A432" s="35" t="s">
        <v>276</v>
      </c>
      <c r="B432" s="98">
        <v>1216</v>
      </c>
      <c r="C432" s="145">
        <v>22000</v>
      </c>
      <c r="D432" s="114">
        <f>2369.13-221</f>
        <v>2148.13</v>
      </c>
      <c r="E432" s="160"/>
      <c r="F432" s="189">
        <f t="shared" si="109"/>
        <v>24148.13</v>
      </c>
      <c r="G432" s="87"/>
      <c r="H432" s="7"/>
      <c r="I432" s="73"/>
      <c r="J432" s="28"/>
      <c r="K432" s="7"/>
      <c r="L432" s="73"/>
      <c r="M432" s="22"/>
      <c r="N432" s="7"/>
      <c r="O432" s="23"/>
      <c r="P432" s="81"/>
      <c r="Q432" s="79"/>
    </row>
    <row r="433" spans="1:17" ht="12.75">
      <c r="A433" s="35" t="s">
        <v>190</v>
      </c>
      <c r="B433" s="98">
        <v>1239</v>
      </c>
      <c r="C433" s="145">
        <v>21900</v>
      </c>
      <c r="D433" s="114">
        <f>2000-15000+1000+500+500+8323.45</f>
        <v>-2676.5499999999993</v>
      </c>
      <c r="E433" s="160"/>
      <c r="F433" s="189">
        <f t="shared" si="109"/>
        <v>19223.45</v>
      </c>
      <c r="G433" s="87"/>
      <c r="H433" s="7"/>
      <c r="I433" s="73"/>
      <c r="J433" s="28"/>
      <c r="K433" s="7"/>
      <c r="L433" s="73"/>
      <c r="M433" s="22"/>
      <c r="N433" s="7"/>
      <c r="O433" s="23"/>
      <c r="P433" s="81"/>
      <c r="Q433" s="79"/>
    </row>
    <row r="434" spans="1:17" ht="12.75">
      <c r="A434" s="35" t="s">
        <v>212</v>
      </c>
      <c r="B434" s="98">
        <v>1300</v>
      </c>
      <c r="C434" s="145">
        <v>29845.7</v>
      </c>
      <c r="D434" s="114">
        <f>-1050-9000+8724.02</f>
        <v>-1325.9799999999996</v>
      </c>
      <c r="E434" s="160">
        <v>-23.4</v>
      </c>
      <c r="F434" s="189">
        <f t="shared" si="109"/>
        <v>28496.32</v>
      </c>
      <c r="G434" s="87"/>
      <c r="H434" s="7"/>
      <c r="I434" s="73"/>
      <c r="J434" s="28"/>
      <c r="K434" s="7"/>
      <c r="L434" s="73"/>
      <c r="M434" s="22"/>
      <c r="N434" s="7"/>
      <c r="O434" s="23"/>
      <c r="P434" s="81"/>
      <c r="Q434" s="79"/>
    </row>
    <row r="435" spans="1:17" ht="12.75">
      <c r="A435" s="35" t="s">
        <v>191</v>
      </c>
      <c r="B435" s="98">
        <v>1110</v>
      </c>
      <c r="C435" s="145">
        <v>15000</v>
      </c>
      <c r="D435" s="114">
        <f>5000+928.52</f>
        <v>5928.52</v>
      </c>
      <c r="E435" s="160"/>
      <c r="F435" s="189">
        <f t="shared" si="109"/>
        <v>20928.52</v>
      </c>
      <c r="G435" s="87"/>
      <c r="H435" s="7"/>
      <c r="I435" s="73"/>
      <c r="J435" s="28"/>
      <c r="K435" s="7"/>
      <c r="L435" s="73"/>
      <c r="M435" s="22"/>
      <c r="N435" s="7"/>
      <c r="O435" s="23"/>
      <c r="P435" s="81"/>
      <c r="Q435" s="79"/>
    </row>
    <row r="436" spans="1:17" ht="12.75">
      <c r="A436" s="35" t="s">
        <v>255</v>
      </c>
      <c r="B436" s="98"/>
      <c r="C436" s="145">
        <v>2</v>
      </c>
      <c r="D436" s="114">
        <f>1088.32</f>
        <v>1088.32</v>
      </c>
      <c r="E436" s="160"/>
      <c r="F436" s="189">
        <f t="shared" si="109"/>
        <v>1090.32</v>
      </c>
      <c r="G436" s="87"/>
      <c r="H436" s="7"/>
      <c r="I436" s="73"/>
      <c r="J436" s="28"/>
      <c r="K436" s="7"/>
      <c r="L436" s="73"/>
      <c r="M436" s="22"/>
      <c r="N436" s="7"/>
      <c r="O436" s="23"/>
      <c r="P436" s="81"/>
      <c r="Q436" s="79"/>
    </row>
    <row r="437" spans="1:17" ht="12.75">
      <c r="A437" s="41" t="s">
        <v>54</v>
      </c>
      <c r="B437" s="102"/>
      <c r="C437" s="172">
        <f>SUM(C439:C446)</f>
        <v>54600</v>
      </c>
      <c r="D437" s="121">
        <f aca="true" t="shared" si="110" ref="D437:Q437">SUM(D439:D446)</f>
        <v>33660</v>
      </c>
      <c r="E437" s="163">
        <f t="shared" si="110"/>
        <v>1923.4</v>
      </c>
      <c r="F437" s="192">
        <f t="shared" si="110"/>
        <v>90183.4</v>
      </c>
      <c r="G437" s="210">
        <f t="shared" si="110"/>
        <v>0</v>
      </c>
      <c r="H437" s="121">
        <f t="shared" si="110"/>
        <v>0</v>
      </c>
      <c r="I437" s="163">
        <f t="shared" si="110"/>
        <v>0</v>
      </c>
      <c r="J437" s="172">
        <f t="shared" si="110"/>
        <v>0</v>
      </c>
      <c r="K437" s="121">
        <f t="shared" si="110"/>
        <v>0</v>
      </c>
      <c r="L437" s="163">
        <f t="shared" si="110"/>
        <v>0</v>
      </c>
      <c r="M437" s="120">
        <f t="shared" si="110"/>
        <v>0</v>
      </c>
      <c r="N437" s="120">
        <f t="shared" si="110"/>
        <v>0</v>
      </c>
      <c r="O437" s="120">
        <f t="shared" si="110"/>
        <v>0</v>
      </c>
      <c r="P437" s="120">
        <f t="shared" si="110"/>
        <v>0</v>
      </c>
      <c r="Q437" s="245">
        <f t="shared" si="110"/>
        <v>0</v>
      </c>
    </row>
    <row r="438" spans="1:17" ht="12.75">
      <c r="A438" s="37" t="s">
        <v>26</v>
      </c>
      <c r="B438" s="98"/>
      <c r="C438" s="145"/>
      <c r="D438" s="114"/>
      <c r="E438" s="160"/>
      <c r="F438" s="189"/>
      <c r="G438" s="87"/>
      <c r="H438" s="7"/>
      <c r="I438" s="73"/>
      <c r="J438" s="28"/>
      <c r="K438" s="7"/>
      <c r="L438" s="73"/>
      <c r="M438" s="22"/>
      <c r="N438" s="7"/>
      <c r="O438" s="23"/>
      <c r="P438" s="81"/>
      <c r="Q438" s="79"/>
    </row>
    <row r="439" spans="1:17" ht="12.75">
      <c r="A439" s="39" t="s">
        <v>290</v>
      </c>
      <c r="B439" s="98">
        <v>1239</v>
      </c>
      <c r="C439" s="145">
        <v>8000</v>
      </c>
      <c r="D439" s="114">
        <f>270</f>
        <v>270</v>
      </c>
      <c r="E439" s="160"/>
      <c r="F439" s="189">
        <f aca="true" t="shared" si="111" ref="F439:F446">C439+D439+E439</f>
        <v>8270</v>
      </c>
      <c r="G439" s="87"/>
      <c r="H439" s="7"/>
      <c r="I439" s="73"/>
      <c r="J439" s="28"/>
      <c r="K439" s="7"/>
      <c r="L439" s="73"/>
      <c r="M439" s="22"/>
      <c r="N439" s="7"/>
      <c r="O439" s="23"/>
      <c r="P439" s="81"/>
      <c r="Q439" s="79"/>
    </row>
    <row r="440" spans="1:17" ht="12.75" hidden="1">
      <c r="A440" s="39" t="s">
        <v>328</v>
      </c>
      <c r="B440" s="98">
        <v>1214</v>
      </c>
      <c r="C440" s="145"/>
      <c r="D440" s="114"/>
      <c r="E440" s="160"/>
      <c r="F440" s="189">
        <f t="shared" si="111"/>
        <v>0</v>
      </c>
      <c r="G440" s="87"/>
      <c r="H440" s="7"/>
      <c r="I440" s="73"/>
      <c r="J440" s="28"/>
      <c r="K440" s="7"/>
      <c r="L440" s="73"/>
      <c r="M440" s="22"/>
      <c r="N440" s="7"/>
      <c r="O440" s="23"/>
      <c r="P440" s="81"/>
      <c r="Q440" s="79"/>
    </row>
    <row r="441" spans="1:17" ht="12.75">
      <c r="A441" s="39" t="s">
        <v>291</v>
      </c>
      <c r="B441" s="98">
        <v>1209</v>
      </c>
      <c r="C441" s="145">
        <v>600</v>
      </c>
      <c r="D441" s="114">
        <f>219</f>
        <v>219</v>
      </c>
      <c r="E441" s="160"/>
      <c r="F441" s="189">
        <f t="shared" si="111"/>
        <v>819</v>
      </c>
      <c r="G441" s="87"/>
      <c r="H441" s="7"/>
      <c r="I441" s="73"/>
      <c r="J441" s="28"/>
      <c r="K441" s="7"/>
      <c r="L441" s="73"/>
      <c r="M441" s="22"/>
      <c r="N441" s="7"/>
      <c r="O441" s="23"/>
      <c r="P441" s="81"/>
      <c r="Q441" s="79"/>
    </row>
    <row r="442" spans="1:17" ht="12.75" hidden="1">
      <c r="A442" s="35" t="s">
        <v>292</v>
      </c>
      <c r="B442" s="98">
        <v>1202</v>
      </c>
      <c r="C442" s="145"/>
      <c r="D442" s="114"/>
      <c r="E442" s="160"/>
      <c r="F442" s="189">
        <f t="shared" si="111"/>
        <v>0</v>
      </c>
      <c r="G442" s="87"/>
      <c r="H442" s="7"/>
      <c r="I442" s="73"/>
      <c r="J442" s="28"/>
      <c r="K442" s="7"/>
      <c r="L442" s="73"/>
      <c r="M442" s="22"/>
      <c r="N442" s="7"/>
      <c r="O442" s="23"/>
      <c r="P442" s="81"/>
      <c r="Q442" s="79"/>
    </row>
    <row r="443" spans="1:17" ht="12.75">
      <c r="A443" s="35" t="s">
        <v>330</v>
      </c>
      <c r="B443" s="98">
        <v>1216</v>
      </c>
      <c r="C443" s="145"/>
      <c r="D443" s="114">
        <f>221</f>
        <v>221</v>
      </c>
      <c r="E443" s="160"/>
      <c r="F443" s="189">
        <f t="shared" si="111"/>
        <v>221</v>
      </c>
      <c r="G443" s="87"/>
      <c r="H443" s="7"/>
      <c r="I443" s="73"/>
      <c r="J443" s="28"/>
      <c r="K443" s="7"/>
      <c r="L443" s="73"/>
      <c r="M443" s="22"/>
      <c r="N443" s="7"/>
      <c r="O443" s="23"/>
      <c r="P443" s="81"/>
      <c r="Q443" s="79"/>
    </row>
    <row r="444" spans="1:17" ht="12.75">
      <c r="A444" s="35" t="s">
        <v>336</v>
      </c>
      <c r="B444" s="98">
        <v>1239</v>
      </c>
      <c r="C444" s="145"/>
      <c r="D444" s="114">
        <f>10000+2000+13500+2500+3000</f>
        <v>31000</v>
      </c>
      <c r="E444" s="160"/>
      <c r="F444" s="189">
        <f t="shared" si="111"/>
        <v>31000</v>
      </c>
      <c r="G444" s="87"/>
      <c r="H444" s="7"/>
      <c r="I444" s="73"/>
      <c r="J444" s="28"/>
      <c r="K444" s="7"/>
      <c r="L444" s="73"/>
      <c r="M444" s="22"/>
      <c r="N444" s="7"/>
      <c r="O444" s="23"/>
      <c r="P444" s="81"/>
      <c r="Q444" s="79"/>
    </row>
    <row r="445" spans="1:17" ht="12.75">
      <c r="A445" s="39" t="s">
        <v>293</v>
      </c>
      <c r="B445" s="98">
        <v>1300</v>
      </c>
      <c r="C445" s="145">
        <v>16000</v>
      </c>
      <c r="D445" s="114">
        <f>1050+900</f>
        <v>1950</v>
      </c>
      <c r="E445" s="160">
        <f>23.4+1900</f>
        <v>1923.4</v>
      </c>
      <c r="F445" s="189">
        <f t="shared" si="111"/>
        <v>19873.4</v>
      </c>
      <c r="G445" s="87"/>
      <c r="H445" s="7"/>
      <c r="I445" s="73"/>
      <c r="J445" s="28"/>
      <c r="K445" s="7"/>
      <c r="L445" s="73"/>
      <c r="M445" s="22"/>
      <c r="N445" s="7"/>
      <c r="O445" s="23"/>
      <c r="P445" s="81"/>
      <c r="Q445" s="79"/>
    </row>
    <row r="446" spans="1:17" ht="12.75">
      <c r="A446" s="38" t="s">
        <v>329</v>
      </c>
      <c r="B446" s="101">
        <v>1110</v>
      </c>
      <c r="C446" s="177">
        <v>30000</v>
      </c>
      <c r="D446" s="122"/>
      <c r="E446" s="261"/>
      <c r="F446" s="193">
        <f t="shared" si="111"/>
        <v>30000</v>
      </c>
      <c r="G446" s="87"/>
      <c r="H446" s="7"/>
      <c r="I446" s="73"/>
      <c r="J446" s="28"/>
      <c r="K446" s="7"/>
      <c r="L446" s="73"/>
      <c r="M446" s="22"/>
      <c r="N446" s="7"/>
      <c r="O446" s="23"/>
      <c r="P446" s="81"/>
      <c r="Q446" s="79"/>
    </row>
    <row r="447" spans="1:17" ht="12.75">
      <c r="A447" s="32" t="s">
        <v>143</v>
      </c>
      <c r="B447" s="102"/>
      <c r="C447" s="152">
        <f aca="true" t="shared" si="112" ref="C447:Q447">C448</f>
        <v>1</v>
      </c>
      <c r="D447" s="113">
        <f t="shared" si="112"/>
        <v>2347.5</v>
      </c>
      <c r="E447" s="136">
        <f t="shared" si="112"/>
        <v>0</v>
      </c>
      <c r="F447" s="167">
        <f t="shared" si="112"/>
        <v>2348.5</v>
      </c>
      <c r="G447" s="153">
        <f t="shared" si="112"/>
        <v>0</v>
      </c>
      <c r="H447" s="113">
        <f t="shared" si="112"/>
        <v>0</v>
      </c>
      <c r="I447" s="136">
        <f t="shared" si="112"/>
        <v>2348.5</v>
      </c>
      <c r="J447" s="152">
        <f t="shared" si="112"/>
        <v>0</v>
      </c>
      <c r="K447" s="113">
        <f t="shared" si="112"/>
        <v>0</v>
      </c>
      <c r="L447" s="136">
        <f t="shared" si="112"/>
        <v>2348.5</v>
      </c>
      <c r="M447" s="112">
        <f t="shared" si="112"/>
        <v>0</v>
      </c>
      <c r="N447" s="112">
        <f t="shared" si="112"/>
        <v>0</v>
      </c>
      <c r="O447" s="112">
        <f t="shared" si="112"/>
        <v>2348.5</v>
      </c>
      <c r="P447" s="112">
        <f t="shared" si="112"/>
        <v>0</v>
      </c>
      <c r="Q447" s="240">
        <f t="shared" si="112"/>
        <v>2348.5</v>
      </c>
    </row>
    <row r="448" spans="1:17" ht="12.75">
      <c r="A448" s="41" t="s">
        <v>49</v>
      </c>
      <c r="B448" s="102"/>
      <c r="C448" s="172">
        <f>C450</f>
        <v>1</v>
      </c>
      <c r="D448" s="121">
        <f aca="true" t="shared" si="113" ref="D448:Q448">D450</f>
        <v>2347.5</v>
      </c>
      <c r="E448" s="163">
        <f t="shared" si="113"/>
        <v>0</v>
      </c>
      <c r="F448" s="192">
        <f t="shared" si="113"/>
        <v>2348.5</v>
      </c>
      <c r="G448" s="210">
        <f t="shared" si="113"/>
        <v>0</v>
      </c>
      <c r="H448" s="121">
        <f t="shared" si="113"/>
        <v>0</v>
      </c>
      <c r="I448" s="163">
        <f t="shared" si="113"/>
        <v>2348.5</v>
      </c>
      <c r="J448" s="172">
        <f t="shared" si="113"/>
        <v>0</v>
      </c>
      <c r="K448" s="121">
        <f t="shared" si="113"/>
        <v>0</v>
      </c>
      <c r="L448" s="163">
        <f t="shared" si="113"/>
        <v>2348.5</v>
      </c>
      <c r="M448" s="120">
        <f t="shared" si="113"/>
        <v>0</v>
      </c>
      <c r="N448" s="120">
        <f t="shared" si="113"/>
        <v>0</v>
      </c>
      <c r="O448" s="120">
        <f t="shared" si="113"/>
        <v>2348.5</v>
      </c>
      <c r="P448" s="120">
        <f t="shared" si="113"/>
        <v>0</v>
      </c>
      <c r="Q448" s="245">
        <f t="shared" si="113"/>
        <v>2348.5</v>
      </c>
    </row>
    <row r="449" spans="1:17" ht="12.75">
      <c r="A449" s="37" t="s">
        <v>26</v>
      </c>
      <c r="B449" s="98"/>
      <c r="C449" s="145"/>
      <c r="D449" s="114"/>
      <c r="E449" s="160"/>
      <c r="F449" s="189"/>
      <c r="G449" s="87"/>
      <c r="H449" s="7"/>
      <c r="I449" s="73"/>
      <c r="J449" s="28"/>
      <c r="K449" s="7"/>
      <c r="L449" s="73"/>
      <c r="M449" s="22"/>
      <c r="N449" s="7"/>
      <c r="O449" s="23"/>
      <c r="P449" s="81"/>
      <c r="Q449" s="79"/>
    </row>
    <row r="450" spans="1:17" ht="12.75">
      <c r="A450" s="272" t="s">
        <v>51</v>
      </c>
      <c r="B450" s="275"/>
      <c r="C450" s="277">
        <v>1</v>
      </c>
      <c r="D450" s="122">
        <f>5347.5-3000</f>
        <v>2347.5</v>
      </c>
      <c r="E450" s="276"/>
      <c r="F450" s="278">
        <f>C450+D450+E450</f>
        <v>2348.5</v>
      </c>
      <c r="G450" s="212"/>
      <c r="H450" s="10"/>
      <c r="I450" s="72">
        <f>F450+G450+H450</f>
        <v>2348.5</v>
      </c>
      <c r="J450" s="227"/>
      <c r="K450" s="10"/>
      <c r="L450" s="72">
        <f>I450+J450+K450</f>
        <v>2348.5</v>
      </c>
      <c r="M450" s="26"/>
      <c r="N450" s="10"/>
      <c r="O450" s="27">
        <f>L450+M450+N450</f>
        <v>2348.5</v>
      </c>
      <c r="P450" s="84"/>
      <c r="Q450" s="85">
        <f>O450+P450</f>
        <v>2348.5</v>
      </c>
    </row>
    <row r="451" spans="1:17" ht="12.75">
      <c r="A451" s="32" t="s">
        <v>101</v>
      </c>
      <c r="B451" s="102"/>
      <c r="C451" s="152">
        <f>C453+C454</f>
        <v>671652</v>
      </c>
      <c r="D451" s="113">
        <f aca="true" t="shared" si="114" ref="D451:Q451">D453+D454</f>
        <v>572038.9000000001</v>
      </c>
      <c r="E451" s="136">
        <f t="shared" si="114"/>
        <v>0</v>
      </c>
      <c r="F451" s="167">
        <f t="shared" si="114"/>
        <v>1243690.9000000001</v>
      </c>
      <c r="G451" s="153" t="e">
        <f t="shared" si="114"/>
        <v>#REF!</v>
      </c>
      <c r="H451" s="113" t="e">
        <f t="shared" si="114"/>
        <v>#REF!</v>
      </c>
      <c r="I451" s="136" t="e">
        <f t="shared" si="114"/>
        <v>#REF!</v>
      </c>
      <c r="J451" s="152" t="e">
        <f t="shared" si="114"/>
        <v>#REF!</v>
      </c>
      <c r="K451" s="113" t="e">
        <f t="shared" si="114"/>
        <v>#REF!</v>
      </c>
      <c r="L451" s="136" t="e">
        <f t="shared" si="114"/>
        <v>#REF!</v>
      </c>
      <c r="M451" s="112" t="e">
        <f t="shared" si="114"/>
        <v>#REF!</v>
      </c>
      <c r="N451" s="112" t="e">
        <f t="shared" si="114"/>
        <v>#REF!</v>
      </c>
      <c r="O451" s="112" t="e">
        <f t="shared" si="114"/>
        <v>#REF!</v>
      </c>
      <c r="P451" s="112" t="e">
        <f t="shared" si="114"/>
        <v>#REF!</v>
      </c>
      <c r="Q451" s="240" t="e">
        <f t="shared" si="114"/>
        <v>#REF!</v>
      </c>
    </row>
    <row r="452" spans="1:17" ht="12.75">
      <c r="A452" s="34" t="s">
        <v>26</v>
      </c>
      <c r="B452" s="98"/>
      <c r="C452" s="152"/>
      <c r="D452" s="113"/>
      <c r="E452" s="136"/>
      <c r="F452" s="167"/>
      <c r="G452" s="153"/>
      <c r="H452" s="113"/>
      <c r="I452" s="136"/>
      <c r="J452" s="152"/>
      <c r="K452" s="113"/>
      <c r="L452" s="136"/>
      <c r="M452" s="112"/>
      <c r="N452" s="112"/>
      <c r="O452" s="112"/>
      <c r="P452" s="112"/>
      <c r="Q452" s="240"/>
    </row>
    <row r="453" spans="1:17" ht="12.75">
      <c r="A453" s="32" t="s">
        <v>49</v>
      </c>
      <c r="B453" s="102"/>
      <c r="C453" s="139">
        <f aca="true" t="shared" si="115" ref="C453:Q453">C460+C462+C474+C476+C481+C492+C477+C467+C494+C469+C498</f>
        <v>42850.65</v>
      </c>
      <c r="D453" s="117">
        <f t="shared" si="115"/>
        <v>10290.630000000001</v>
      </c>
      <c r="E453" s="161">
        <f t="shared" si="115"/>
        <v>0</v>
      </c>
      <c r="F453" s="235">
        <f t="shared" si="115"/>
        <v>53141.28</v>
      </c>
      <c r="G453" s="140">
        <f t="shared" si="115"/>
        <v>0</v>
      </c>
      <c r="H453" s="117">
        <f t="shared" si="115"/>
        <v>0</v>
      </c>
      <c r="I453" s="161">
        <f t="shared" si="115"/>
        <v>48131.28</v>
      </c>
      <c r="J453" s="139">
        <f t="shared" si="115"/>
        <v>0</v>
      </c>
      <c r="K453" s="117">
        <f t="shared" si="115"/>
        <v>0</v>
      </c>
      <c r="L453" s="161">
        <f t="shared" si="115"/>
        <v>48131.28</v>
      </c>
      <c r="M453" s="116">
        <f t="shared" si="115"/>
        <v>0</v>
      </c>
      <c r="N453" s="116">
        <f t="shared" si="115"/>
        <v>0</v>
      </c>
      <c r="O453" s="116">
        <f t="shared" si="115"/>
        <v>48131.28</v>
      </c>
      <c r="P453" s="116">
        <f t="shared" si="115"/>
        <v>0</v>
      </c>
      <c r="Q453" s="243">
        <f t="shared" si="115"/>
        <v>48131.28</v>
      </c>
    </row>
    <row r="454" spans="1:17" ht="12.75">
      <c r="A454" s="32" t="s">
        <v>54</v>
      </c>
      <c r="B454" s="102"/>
      <c r="C454" s="139">
        <f>+C457+C458+C459+C463+C464+C466+C468+C470+C472+C473+C475+C478+C480+C482+C483+C485+C486+C488+C489+C491+C493+C495+C497</f>
        <v>628801.35</v>
      </c>
      <c r="D454" s="117">
        <f>+D457+D458+D459+D463+D464+D466+D468+D470+D472+D473+D475+D478+D480+D482+D483+D485+D486+D488+D489+D491+D493+D495+D497</f>
        <v>561748.2700000001</v>
      </c>
      <c r="E454" s="161">
        <f>+E457+E458+E459+E463+E464+E466+E468+E470+E472+E473+E475+E478+E480+E482+E483+E485+E486+E488+E489+E491+E493+E495+E497</f>
        <v>0</v>
      </c>
      <c r="F454" s="235">
        <f>+F457+F458+F459+F463+F464+F466+F468+F470+F472+F473+F475+F478+F480+F482+F483+F485+F486+F488+F489+F491+F493+F495+F497</f>
        <v>1190549.62</v>
      </c>
      <c r="G454" s="140" t="e">
        <f>#REF!+#REF!+#REF!+#REF!+#REF!+G457+G458+G459+G463+G464+G466+G468+G470+G472+G473+G475+G478+G480+G482+G483+G491+G493+G495+G497</f>
        <v>#REF!</v>
      </c>
      <c r="H454" s="117" t="e">
        <f>#REF!+#REF!+#REF!+#REF!+#REF!+H457+H458+H459+H463+H464+H466+H468+H470+H472+H473+H475+H478+H480+H482+H483+H491+H493+H495+H497</f>
        <v>#REF!</v>
      </c>
      <c r="I454" s="161" t="e">
        <f>#REF!+#REF!+#REF!+#REF!+#REF!+I457+I458+I459+I463+I464+I466+I468+I470+I472+I473+I475+I478+I480+I482+I483+I491+I493+I495+I497</f>
        <v>#REF!</v>
      </c>
      <c r="J454" s="139" t="e">
        <f>#REF!+#REF!+#REF!+#REF!+#REF!+J457+J458+J459+J463+J464+J466+J468+J470+J472+J473+J475+J478+J480+J482+J483+J491+J493+J495+J497</f>
        <v>#REF!</v>
      </c>
      <c r="K454" s="117" t="e">
        <f>#REF!+#REF!+#REF!+#REF!+#REF!+K457+K458+K459+K463+K464+K466+K468+K470+K472+K473+K475+K478+K480+K482+K483+K491+K493+K495+K497</f>
        <v>#REF!</v>
      </c>
      <c r="L454" s="161" t="e">
        <f>#REF!+#REF!+#REF!+#REF!+#REF!+L457+L458+L459+L463+L464+L466+L468+L470+L472+L473+L475+L478+L480+L482+L483+L491+L493+L495+L497</f>
        <v>#REF!</v>
      </c>
      <c r="M454" s="116" t="e">
        <f>#REF!+#REF!+#REF!+#REF!+#REF!+M457+M458+M459+M463+M464+M466+M468+M470+M472+M473+M475+M478+M480+M482+M483+M491+M493+M495+M497</f>
        <v>#REF!</v>
      </c>
      <c r="N454" s="116" t="e">
        <f>#REF!+#REF!+#REF!+#REF!+#REF!+N457+N458+N459+N463+N464+N466+N468+N470+N472+N473+N475+N478+N480+N482+N483+N491+N493+N495+N497</f>
        <v>#REF!</v>
      </c>
      <c r="O454" s="116" t="e">
        <f>#REF!+#REF!+#REF!+#REF!+#REF!+O457+O458+O459+O463+O464+O466+O468+O470+O472+O473+O475+O478+O480+O482+O483+O491+O493+O495+O497</f>
        <v>#REF!</v>
      </c>
      <c r="P454" s="116" t="e">
        <f>#REF!+#REF!+#REF!+#REF!+#REF!+P457+P458+P459+P463+P464+P466+P468+P470+P472+P473+P475+P478+P480+P482+P483+P491+P493+P495+P497</f>
        <v>#REF!</v>
      </c>
      <c r="Q454" s="243" t="e">
        <f>#REF!+#REF!+#REF!+#REF!+#REF!+Q457+Q458+Q459+Q463+Q464+Q466+Q468+Q470+Q472+Q473+Q475+Q478+Q480+Q482+Q483+Q491+Q493+Q495+Q497</f>
        <v>#REF!</v>
      </c>
    </row>
    <row r="455" spans="1:17" ht="12.75">
      <c r="A455" s="33" t="s">
        <v>102</v>
      </c>
      <c r="B455" s="98"/>
      <c r="C455" s="152"/>
      <c r="D455" s="113"/>
      <c r="E455" s="136"/>
      <c r="F455" s="167"/>
      <c r="G455" s="137"/>
      <c r="H455" s="6"/>
      <c r="I455" s="69"/>
      <c r="J455" s="224"/>
      <c r="K455" s="6"/>
      <c r="L455" s="69"/>
      <c r="M455" s="20"/>
      <c r="N455" s="6"/>
      <c r="O455" s="21"/>
      <c r="P455" s="81"/>
      <c r="Q455" s="79"/>
    </row>
    <row r="456" spans="1:17" ht="12.75">
      <c r="A456" s="34" t="s">
        <v>106</v>
      </c>
      <c r="B456" s="98">
        <v>10</v>
      </c>
      <c r="C456" s="145">
        <f>SUM(C457:C460)</f>
        <v>155000</v>
      </c>
      <c r="D456" s="114">
        <f aca="true" t="shared" si="116" ref="D456:Q456">SUM(D457:D460)</f>
        <v>67670.95999999999</v>
      </c>
      <c r="E456" s="160">
        <f t="shared" si="116"/>
        <v>0</v>
      </c>
      <c r="F456" s="189">
        <f t="shared" si="116"/>
        <v>222670.96000000002</v>
      </c>
      <c r="G456" s="146">
        <f t="shared" si="116"/>
        <v>0</v>
      </c>
      <c r="H456" s="114">
        <f t="shared" si="116"/>
        <v>0</v>
      </c>
      <c r="I456" s="160">
        <f t="shared" si="116"/>
        <v>222670.96000000002</v>
      </c>
      <c r="J456" s="145">
        <f t="shared" si="116"/>
        <v>0</v>
      </c>
      <c r="K456" s="114">
        <f t="shared" si="116"/>
        <v>0</v>
      </c>
      <c r="L456" s="160">
        <f t="shared" si="116"/>
        <v>222670.96000000002</v>
      </c>
      <c r="M456" s="115">
        <f t="shared" si="116"/>
        <v>0</v>
      </c>
      <c r="N456" s="115">
        <f t="shared" si="116"/>
        <v>0</v>
      </c>
      <c r="O456" s="115">
        <f t="shared" si="116"/>
        <v>222670.96000000002</v>
      </c>
      <c r="P456" s="115">
        <f t="shared" si="116"/>
        <v>0</v>
      </c>
      <c r="Q456" s="241">
        <f t="shared" si="116"/>
        <v>222670.96000000002</v>
      </c>
    </row>
    <row r="457" spans="1:17" ht="12.75" hidden="1">
      <c r="A457" s="34" t="s">
        <v>107</v>
      </c>
      <c r="B457" s="98"/>
      <c r="C457" s="145"/>
      <c r="D457" s="114"/>
      <c r="E457" s="160"/>
      <c r="F457" s="189">
        <f aca="true" t="shared" si="117" ref="F457:F501">C457+D457+E457</f>
        <v>0</v>
      </c>
      <c r="G457" s="87"/>
      <c r="H457" s="7"/>
      <c r="I457" s="73">
        <f>F457+G457+H457</f>
        <v>0</v>
      </c>
      <c r="J457" s="28"/>
      <c r="K457" s="7"/>
      <c r="L457" s="73">
        <f>I457+J457+K457</f>
        <v>0</v>
      </c>
      <c r="M457" s="22"/>
      <c r="N457" s="7"/>
      <c r="O457" s="23">
        <f>L457+M457+N457</f>
        <v>0</v>
      </c>
      <c r="P457" s="81"/>
      <c r="Q457" s="79">
        <f>O457+P457</f>
        <v>0</v>
      </c>
    </row>
    <row r="458" spans="1:17" ht="12.75">
      <c r="A458" s="99" t="s">
        <v>104</v>
      </c>
      <c r="B458" s="98"/>
      <c r="C458" s="145">
        <v>140000</v>
      </c>
      <c r="D458" s="125">
        <f>24156.01+55000</f>
        <v>79156.01</v>
      </c>
      <c r="E458" s="264"/>
      <c r="F458" s="189">
        <f t="shared" si="117"/>
        <v>219156.01</v>
      </c>
      <c r="G458" s="87"/>
      <c r="H458" s="7"/>
      <c r="I458" s="73">
        <f>F458+G458+H458</f>
        <v>219156.01</v>
      </c>
      <c r="J458" s="28"/>
      <c r="K458" s="7"/>
      <c r="L458" s="73">
        <f>I458+J458+K458</f>
        <v>219156.01</v>
      </c>
      <c r="M458" s="22"/>
      <c r="N458" s="7"/>
      <c r="O458" s="23">
        <f>L458+M458+N458</f>
        <v>219156.01</v>
      </c>
      <c r="P458" s="81"/>
      <c r="Q458" s="79">
        <f>O458+P458</f>
        <v>219156.01</v>
      </c>
    </row>
    <row r="459" spans="1:17" ht="12.75">
      <c r="A459" s="34" t="s">
        <v>105</v>
      </c>
      <c r="B459" s="98"/>
      <c r="C459" s="145"/>
      <c r="D459" s="114">
        <f>1000</f>
        <v>1000</v>
      </c>
      <c r="E459" s="160"/>
      <c r="F459" s="189">
        <f t="shared" si="117"/>
        <v>1000</v>
      </c>
      <c r="G459" s="87"/>
      <c r="H459" s="7"/>
      <c r="I459" s="73">
        <f>F459+G459+H459</f>
        <v>1000</v>
      </c>
      <c r="J459" s="28"/>
      <c r="K459" s="7"/>
      <c r="L459" s="73">
        <f>I459+J459+K459</f>
        <v>1000</v>
      </c>
      <c r="M459" s="22"/>
      <c r="N459" s="7"/>
      <c r="O459" s="23">
        <f>L459+M459+N459</f>
        <v>1000</v>
      </c>
      <c r="P459" s="81"/>
      <c r="Q459" s="79">
        <f>O459+P459</f>
        <v>1000</v>
      </c>
    </row>
    <row r="460" spans="1:17" ht="12.75">
      <c r="A460" s="35" t="s">
        <v>134</v>
      </c>
      <c r="B460" s="98"/>
      <c r="C460" s="145">
        <v>15000</v>
      </c>
      <c r="D460" s="142">
        <f>-12485.05</f>
        <v>-12485.05</v>
      </c>
      <c r="E460" s="160"/>
      <c r="F460" s="189">
        <f t="shared" si="117"/>
        <v>2514.9500000000007</v>
      </c>
      <c r="G460" s="87"/>
      <c r="H460" s="7"/>
      <c r="I460" s="73">
        <f>F460+G460+H460</f>
        <v>2514.9500000000007</v>
      </c>
      <c r="J460" s="28"/>
      <c r="K460" s="7"/>
      <c r="L460" s="73">
        <f>I460+J460+K460</f>
        <v>2514.9500000000007</v>
      </c>
      <c r="M460" s="22"/>
      <c r="N460" s="7"/>
      <c r="O460" s="23">
        <f>L460+M460+N460</f>
        <v>2514.9500000000007</v>
      </c>
      <c r="P460" s="81"/>
      <c r="Q460" s="79">
        <f>O460+P460</f>
        <v>2514.9500000000007</v>
      </c>
    </row>
    <row r="461" spans="1:17" ht="12.75">
      <c r="A461" s="34" t="s">
        <v>109</v>
      </c>
      <c r="B461" s="98">
        <v>12</v>
      </c>
      <c r="C461" s="145">
        <f aca="true" t="shared" si="118" ref="C461:Q461">C462+C463+C464</f>
        <v>46500</v>
      </c>
      <c r="D461" s="114">
        <f t="shared" si="118"/>
        <v>103625.43000000001</v>
      </c>
      <c r="E461" s="160">
        <f t="shared" si="118"/>
        <v>0</v>
      </c>
      <c r="F461" s="189">
        <f t="shared" si="118"/>
        <v>150125.43000000002</v>
      </c>
      <c r="G461" s="146">
        <f t="shared" si="118"/>
        <v>0</v>
      </c>
      <c r="H461" s="114">
        <f t="shared" si="118"/>
        <v>0</v>
      </c>
      <c r="I461" s="160">
        <f t="shared" si="118"/>
        <v>150125.43000000002</v>
      </c>
      <c r="J461" s="145">
        <f t="shared" si="118"/>
        <v>0</v>
      </c>
      <c r="K461" s="114">
        <f t="shared" si="118"/>
        <v>0</v>
      </c>
      <c r="L461" s="160">
        <f t="shared" si="118"/>
        <v>150125.43000000002</v>
      </c>
      <c r="M461" s="115">
        <f t="shared" si="118"/>
        <v>0</v>
      </c>
      <c r="N461" s="115">
        <f t="shared" si="118"/>
        <v>0</v>
      </c>
      <c r="O461" s="115">
        <f t="shared" si="118"/>
        <v>150125.43000000002</v>
      </c>
      <c r="P461" s="115">
        <f t="shared" si="118"/>
        <v>0</v>
      </c>
      <c r="Q461" s="241">
        <f t="shared" si="118"/>
        <v>150125.43000000002</v>
      </c>
    </row>
    <row r="462" spans="1:17" ht="12.75">
      <c r="A462" s="34" t="s">
        <v>110</v>
      </c>
      <c r="B462" s="98"/>
      <c r="C462" s="145">
        <v>3249.65</v>
      </c>
      <c r="D462" s="114">
        <f>1639.99</f>
        <v>1639.99</v>
      </c>
      <c r="E462" s="160"/>
      <c r="F462" s="189">
        <f t="shared" si="117"/>
        <v>4889.64</v>
      </c>
      <c r="G462" s="87"/>
      <c r="H462" s="7"/>
      <c r="I462" s="73">
        <f>F462+G462+H462</f>
        <v>4889.64</v>
      </c>
      <c r="J462" s="28"/>
      <c r="K462" s="7"/>
      <c r="L462" s="73">
        <f>I462+J462+K462</f>
        <v>4889.64</v>
      </c>
      <c r="M462" s="22"/>
      <c r="N462" s="7"/>
      <c r="O462" s="23">
        <f>L462+M462+N462</f>
        <v>4889.64</v>
      </c>
      <c r="P462" s="81"/>
      <c r="Q462" s="79">
        <f>O462+P462</f>
        <v>4889.64</v>
      </c>
    </row>
    <row r="463" spans="1:17" ht="12.75">
      <c r="A463" s="34" t="s">
        <v>108</v>
      </c>
      <c r="B463" s="98"/>
      <c r="C463" s="145">
        <v>41500</v>
      </c>
      <c r="D463" s="114">
        <f>102295.44</f>
        <v>102295.44</v>
      </c>
      <c r="E463" s="160"/>
      <c r="F463" s="189">
        <f t="shared" si="117"/>
        <v>143795.44</v>
      </c>
      <c r="G463" s="87"/>
      <c r="H463" s="7"/>
      <c r="I463" s="73">
        <f>F463+G463+H463</f>
        <v>143795.44</v>
      </c>
      <c r="J463" s="28"/>
      <c r="K463" s="7"/>
      <c r="L463" s="73">
        <f>I463+J463+K463</f>
        <v>143795.44</v>
      </c>
      <c r="M463" s="22"/>
      <c r="N463" s="7"/>
      <c r="O463" s="23">
        <f>L463+M463+N463</f>
        <v>143795.44</v>
      </c>
      <c r="P463" s="81"/>
      <c r="Q463" s="79">
        <f>O463+P463</f>
        <v>143795.44</v>
      </c>
    </row>
    <row r="464" spans="1:17" ht="12.75" customHeight="1">
      <c r="A464" s="34" t="s">
        <v>105</v>
      </c>
      <c r="B464" s="98"/>
      <c r="C464" s="145">
        <v>1750.35</v>
      </c>
      <c r="D464" s="114">
        <f>-310</f>
        <v>-310</v>
      </c>
      <c r="E464" s="160"/>
      <c r="F464" s="189">
        <f t="shared" si="117"/>
        <v>1440.35</v>
      </c>
      <c r="G464" s="87"/>
      <c r="H464" s="7"/>
      <c r="I464" s="73">
        <f>F464+G464+H464</f>
        <v>1440.35</v>
      </c>
      <c r="J464" s="28"/>
      <c r="K464" s="7"/>
      <c r="L464" s="73">
        <f>I464+J464+K464</f>
        <v>1440.35</v>
      </c>
      <c r="M464" s="22"/>
      <c r="N464" s="7"/>
      <c r="O464" s="23">
        <f>L464+M464+N464</f>
        <v>1440.35</v>
      </c>
      <c r="P464" s="81"/>
      <c r="Q464" s="79">
        <f>O464+P464</f>
        <v>1440.35</v>
      </c>
    </row>
    <row r="465" spans="1:17" ht="12.75">
      <c r="A465" s="34" t="s">
        <v>111</v>
      </c>
      <c r="B465" s="98">
        <v>14</v>
      </c>
      <c r="C465" s="145">
        <f>SUM(C466:C470)</f>
        <v>100000</v>
      </c>
      <c r="D465" s="114">
        <f aca="true" t="shared" si="119" ref="D465:Q465">SUM(D466:D470)</f>
        <v>89233.02</v>
      </c>
      <c r="E465" s="160">
        <f t="shared" si="119"/>
        <v>0</v>
      </c>
      <c r="F465" s="189">
        <f t="shared" si="119"/>
        <v>189233.02</v>
      </c>
      <c r="G465" s="146">
        <f t="shared" si="119"/>
        <v>0</v>
      </c>
      <c r="H465" s="114">
        <f t="shared" si="119"/>
        <v>0</v>
      </c>
      <c r="I465" s="160">
        <f t="shared" si="119"/>
        <v>189233.02</v>
      </c>
      <c r="J465" s="145">
        <f t="shared" si="119"/>
        <v>0</v>
      </c>
      <c r="K465" s="114">
        <f t="shared" si="119"/>
        <v>0</v>
      </c>
      <c r="L465" s="160">
        <f t="shared" si="119"/>
        <v>189233.02</v>
      </c>
      <c r="M465" s="115">
        <f t="shared" si="119"/>
        <v>0</v>
      </c>
      <c r="N465" s="115">
        <f t="shared" si="119"/>
        <v>0</v>
      </c>
      <c r="O465" s="115">
        <f t="shared" si="119"/>
        <v>189233.02</v>
      </c>
      <c r="P465" s="115">
        <f t="shared" si="119"/>
        <v>0</v>
      </c>
      <c r="Q465" s="241">
        <f t="shared" si="119"/>
        <v>189233.02</v>
      </c>
    </row>
    <row r="466" spans="1:17" ht="12.75">
      <c r="A466" s="34" t="s">
        <v>112</v>
      </c>
      <c r="B466" s="98"/>
      <c r="C466" s="145">
        <v>64700</v>
      </c>
      <c r="D466" s="125">
        <f>45466.63-500+500</f>
        <v>45466.63</v>
      </c>
      <c r="E466" s="264"/>
      <c r="F466" s="189">
        <f t="shared" si="117"/>
        <v>110166.63</v>
      </c>
      <c r="G466" s="87"/>
      <c r="H466" s="7"/>
      <c r="I466" s="73">
        <f>F466+G466+H466</f>
        <v>110166.63</v>
      </c>
      <c r="J466" s="28"/>
      <c r="K466" s="7"/>
      <c r="L466" s="73">
        <f>I466+J466+K466</f>
        <v>110166.63</v>
      </c>
      <c r="M466" s="22"/>
      <c r="N466" s="7"/>
      <c r="O466" s="23">
        <f>L466+M466+N466</f>
        <v>110166.63</v>
      </c>
      <c r="P466" s="81"/>
      <c r="Q466" s="79">
        <f aca="true" t="shared" si="120" ref="Q466:Q512">O466+P466</f>
        <v>110166.63</v>
      </c>
    </row>
    <row r="467" spans="1:17" ht="12.75">
      <c r="A467" s="34" t="s">
        <v>113</v>
      </c>
      <c r="B467" s="98"/>
      <c r="C467" s="145">
        <v>15300</v>
      </c>
      <c r="D467" s="114">
        <f>7126.46</f>
        <v>7126.46</v>
      </c>
      <c r="E467" s="160"/>
      <c r="F467" s="189">
        <f t="shared" si="117"/>
        <v>22426.46</v>
      </c>
      <c r="G467" s="87"/>
      <c r="H467" s="7"/>
      <c r="I467" s="73">
        <f>F467+G467+H467</f>
        <v>22426.46</v>
      </c>
      <c r="J467" s="28"/>
      <c r="K467" s="7"/>
      <c r="L467" s="73">
        <f>I467+J467+K467</f>
        <v>22426.46</v>
      </c>
      <c r="M467" s="22"/>
      <c r="N467" s="7"/>
      <c r="O467" s="23">
        <f>L467+M467+N467</f>
        <v>22426.46</v>
      </c>
      <c r="P467" s="81"/>
      <c r="Q467" s="79">
        <f t="shared" si="120"/>
        <v>22426.46</v>
      </c>
    </row>
    <row r="468" spans="1:17" ht="13.5" customHeight="1">
      <c r="A468" s="34" t="s">
        <v>114</v>
      </c>
      <c r="B468" s="98"/>
      <c r="C468" s="145">
        <v>11000</v>
      </c>
      <c r="D468" s="114">
        <f>30396.63+500+4500</f>
        <v>35396.630000000005</v>
      </c>
      <c r="E468" s="160"/>
      <c r="F468" s="189">
        <f t="shared" si="117"/>
        <v>46396.630000000005</v>
      </c>
      <c r="G468" s="87"/>
      <c r="H468" s="7"/>
      <c r="I468" s="73">
        <f>F468+G468+H468</f>
        <v>46396.630000000005</v>
      </c>
      <c r="J468" s="28"/>
      <c r="K468" s="7"/>
      <c r="L468" s="73">
        <f>I468+J468+K468</f>
        <v>46396.630000000005</v>
      </c>
      <c r="M468" s="22"/>
      <c r="N468" s="7"/>
      <c r="O468" s="23">
        <f>L468+M468+N468</f>
        <v>46396.630000000005</v>
      </c>
      <c r="P468" s="81"/>
      <c r="Q468" s="79">
        <f t="shared" si="120"/>
        <v>46396.630000000005</v>
      </c>
    </row>
    <row r="469" spans="1:17" ht="13.5" customHeight="1">
      <c r="A469" s="35" t="s">
        <v>134</v>
      </c>
      <c r="B469" s="98"/>
      <c r="C469" s="145">
        <v>9000</v>
      </c>
      <c r="D469" s="114">
        <f>1179.05</f>
        <v>1179.05</v>
      </c>
      <c r="E469" s="160"/>
      <c r="F469" s="189">
        <f t="shared" si="117"/>
        <v>10179.05</v>
      </c>
      <c r="G469" s="87"/>
      <c r="H469" s="7"/>
      <c r="I469" s="73">
        <f>F469+G469+H469</f>
        <v>10179.05</v>
      </c>
      <c r="J469" s="28"/>
      <c r="K469" s="7"/>
      <c r="L469" s="73">
        <f>I469+J469+K469</f>
        <v>10179.05</v>
      </c>
      <c r="M469" s="22"/>
      <c r="N469" s="7"/>
      <c r="O469" s="23">
        <f>L469+M469+N469</f>
        <v>10179.05</v>
      </c>
      <c r="P469" s="81"/>
      <c r="Q469" s="79">
        <f t="shared" si="120"/>
        <v>10179.05</v>
      </c>
    </row>
    <row r="470" spans="1:17" ht="12.75">
      <c r="A470" s="34" t="s">
        <v>115</v>
      </c>
      <c r="B470" s="98"/>
      <c r="C470" s="145">
        <v>0</v>
      </c>
      <c r="D470" s="114">
        <f>64.25</f>
        <v>64.25</v>
      </c>
      <c r="E470" s="160"/>
      <c r="F470" s="189">
        <f t="shared" si="117"/>
        <v>64.25</v>
      </c>
      <c r="G470" s="87"/>
      <c r="H470" s="7"/>
      <c r="I470" s="73">
        <f>F470+G470+H470</f>
        <v>64.25</v>
      </c>
      <c r="J470" s="28"/>
      <c r="K470" s="7"/>
      <c r="L470" s="73">
        <f>I470+J470+K470</f>
        <v>64.25</v>
      </c>
      <c r="M470" s="22"/>
      <c r="N470" s="7"/>
      <c r="O470" s="23">
        <f>L470+M470+N470</f>
        <v>64.25</v>
      </c>
      <c r="P470" s="81"/>
      <c r="Q470" s="79">
        <f t="shared" si="120"/>
        <v>64.25</v>
      </c>
    </row>
    <row r="471" spans="1:17" ht="12.75">
      <c r="A471" s="34" t="s">
        <v>116</v>
      </c>
      <c r="B471" s="98">
        <v>15</v>
      </c>
      <c r="C471" s="145">
        <f>SUM(C472:C478)</f>
        <v>250000</v>
      </c>
      <c r="D471" s="114">
        <f aca="true" t="shared" si="121" ref="D471:Q471">SUM(D472:D478)</f>
        <v>167727.81000000003</v>
      </c>
      <c r="E471" s="160">
        <f t="shared" si="121"/>
        <v>0</v>
      </c>
      <c r="F471" s="189">
        <f t="shared" si="121"/>
        <v>417727.81000000006</v>
      </c>
      <c r="G471" s="146">
        <f t="shared" si="121"/>
        <v>0</v>
      </c>
      <c r="H471" s="114">
        <f t="shared" si="121"/>
        <v>0</v>
      </c>
      <c r="I471" s="160">
        <f t="shared" si="121"/>
        <v>417727.81000000006</v>
      </c>
      <c r="J471" s="145">
        <f t="shared" si="121"/>
        <v>0</v>
      </c>
      <c r="K471" s="114">
        <f t="shared" si="121"/>
        <v>0</v>
      </c>
      <c r="L471" s="160">
        <f t="shared" si="121"/>
        <v>417727.81000000006</v>
      </c>
      <c r="M471" s="115">
        <f t="shared" si="121"/>
        <v>0</v>
      </c>
      <c r="N471" s="115">
        <f t="shared" si="121"/>
        <v>0</v>
      </c>
      <c r="O471" s="115">
        <f t="shared" si="121"/>
        <v>417727.81000000006</v>
      </c>
      <c r="P471" s="115">
        <f t="shared" si="121"/>
        <v>0</v>
      </c>
      <c r="Q471" s="241">
        <f t="shared" si="121"/>
        <v>417727.81000000006</v>
      </c>
    </row>
    <row r="472" spans="1:17" ht="12.75">
      <c r="A472" s="34" t="s">
        <v>117</v>
      </c>
      <c r="B472" s="98"/>
      <c r="C472" s="145">
        <v>218384.89</v>
      </c>
      <c r="D472" s="114">
        <f>335900.53-200000</f>
        <v>135900.53000000003</v>
      </c>
      <c r="E472" s="160"/>
      <c r="F472" s="189">
        <f t="shared" si="117"/>
        <v>354285.42000000004</v>
      </c>
      <c r="G472" s="87"/>
      <c r="H472" s="7"/>
      <c r="I472" s="73">
        <f aca="true" t="shared" si="122" ref="I472:I478">F472+G472+H472</f>
        <v>354285.42000000004</v>
      </c>
      <c r="J472" s="28"/>
      <c r="K472" s="7"/>
      <c r="L472" s="73">
        <f aca="true" t="shared" si="123" ref="L472:L478">I472+J472+K472</f>
        <v>354285.42000000004</v>
      </c>
      <c r="M472" s="22"/>
      <c r="N472" s="7"/>
      <c r="O472" s="23">
        <f aca="true" t="shared" si="124" ref="O472:O478">L472+M472+N472</f>
        <v>354285.42000000004</v>
      </c>
      <c r="P472" s="81"/>
      <c r="Q472" s="79">
        <f t="shared" si="120"/>
        <v>354285.42000000004</v>
      </c>
    </row>
    <row r="473" spans="1:17" ht="12.75" hidden="1">
      <c r="A473" s="34" t="s">
        <v>118</v>
      </c>
      <c r="B473" s="98"/>
      <c r="C473" s="145"/>
      <c r="D473" s="114"/>
      <c r="E473" s="160"/>
      <c r="F473" s="189">
        <f t="shared" si="117"/>
        <v>0</v>
      </c>
      <c r="G473" s="87"/>
      <c r="H473" s="7"/>
      <c r="I473" s="73">
        <f t="shared" si="122"/>
        <v>0</v>
      </c>
      <c r="J473" s="28"/>
      <c r="K473" s="7"/>
      <c r="L473" s="73">
        <f t="shared" si="123"/>
        <v>0</v>
      </c>
      <c r="M473" s="22"/>
      <c r="N473" s="7"/>
      <c r="O473" s="23">
        <f t="shared" si="124"/>
        <v>0</v>
      </c>
      <c r="P473" s="81"/>
      <c r="Q473" s="79">
        <f t="shared" si="120"/>
        <v>0</v>
      </c>
    </row>
    <row r="474" spans="1:17" ht="12.75" hidden="1">
      <c r="A474" s="34" t="s">
        <v>119</v>
      </c>
      <c r="B474" s="98"/>
      <c r="C474" s="145"/>
      <c r="D474" s="125"/>
      <c r="E474" s="264"/>
      <c r="F474" s="189">
        <f t="shared" si="117"/>
        <v>0</v>
      </c>
      <c r="G474" s="87"/>
      <c r="H474" s="7"/>
      <c r="I474" s="73">
        <f t="shared" si="122"/>
        <v>0</v>
      </c>
      <c r="J474" s="28"/>
      <c r="K474" s="7"/>
      <c r="L474" s="73">
        <f t="shared" si="123"/>
        <v>0</v>
      </c>
      <c r="M474" s="22"/>
      <c r="N474" s="7"/>
      <c r="O474" s="23">
        <f t="shared" si="124"/>
        <v>0</v>
      </c>
      <c r="P474" s="81"/>
      <c r="Q474" s="79">
        <f t="shared" si="120"/>
        <v>0</v>
      </c>
    </row>
    <row r="475" spans="1:17" ht="12.75">
      <c r="A475" s="34" t="s">
        <v>120</v>
      </c>
      <c r="B475" s="98"/>
      <c r="C475" s="145">
        <v>28865.11</v>
      </c>
      <c r="D475" s="114">
        <f>8982.01+600</f>
        <v>9582.01</v>
      </c>
      <c r="E475" s="160"/>
      <c r="F475" s="189">
        <f t="shared" si="117"/>
        <v>38447.12</v>
      </c>
      <c r="G475" s="87"/>
      <c r="H475" s="7"/>
      <c r="I475" s="73">
        <f t="shared" si="122"/>
        <v>38447.12</v>
      </c>
      <c r="J475" s="28"/>
      <c r="K475" s="7"/>
      <c r="L475" s="73">
        <f t="shared" si="123"/>
        <v>38447.12</v>
      </c>
      <c r="M475" s="22"/>
      <c r="N475" s="7"/>
      <c r="O475" s="23">
        <f t="shared" si="124"/>
        <v>38447.12</v>
      </c>
      <c r="P475" s="81"/>
      <c r="Q475" s="79">
        <f t="shared" si="120"/>
        <v>38447.12</v>
      </c>
    </row>
    <row r="476" spans="1:17" ht="12.75">
      <c r="A476" s="34" t="s">
        <v>121</v>
      </c>
      <c r="B476" s="98"/>
      <c r="C476" s="145">
        <v>200</v>
      </c>
      <c r="D476" s="114">
        <f>745.74</f>
        <v>745.74</v>
      </c>
      <c r="E476" s="160"/>
      <c r="F476" s="189">
        <f t="shared" si="117"/>
        <v>945.74</v>
      </c>
      <c r="G476" s="87"/>
      <c r="H476" s="7"/>
      <c r="I476" s="73">
        <f t="shared" si="122"/>
        <v>945.74</v>
      </c>
      <c r="J476" s="225"/>
      <c r="K476" s="7"/>
      <c r="L476" s="73">
        <f t="shared" si="123"/>
        <v>945.74</v>
      </c>
      <c r="M476" s="22"/>
      <c r="N476" s="7"/>
      <c r="O476" s="23">
        <f t="shared" si="124"/>
        <v>945.74</v>
      </c>
      <c r="P476" s="81"/>
      <c r="Q476" s="79">
        <f t="shared" si="120"/>
        <v>945.74</v>
      </c>
    </row>
    <row r="477" spans="1:17" ht="12.75">
      <c r="A477" s="34" t="s">
        <v>122</v>
      </c>
      <c r="B477" s="98"/>
      <c r="C477" s="145">
        <v>0</v>
      </c>
      <c r="D477" s="114">
        <f>6940.44</f>
        <v>6940.44</v>
      </c>
      <c r="E477" s="160"/>
      <c r="F477" s="189">
        <f t="shared" si="117"/>
        <v>6940.44</v>
      </c>
      <c r="G477" s="87"/>
      <c r="H477" s="7"/>
      <c r="I477" s="73">
        <f t="shared" si="122"/>
        <v>6940.44</v>
      </c>
      <c r="J477" s="28"/>
      <c r="K477" s="7"/>
      <c r="L477" s="73">
        <f t="shared" si="123"/>
        <v>6940.44</v>
      </c>
      <c r="M477" s="22"/>
      <c r="N477" s="7"/>
      <c r="O477" s="23">
        <f t="shared" si="124"/>
        <v>6940.44</v>
      </c>
      <c r="P477" s="81"/>
      <c r="Q477" s="79">
        <f t="shared" si="120"/>
        <v>6940.44</v>
      </c>
    </row>
    <row r="478" spans="1:17" ht="12.75">
      <c r="A478" s="34" t="s">
        <v>115</v>
      </c>
      <c r="B478" s="98"/>
      <c r="C478" s="145">
        <v>2550</v>
      </c>
      <c r="D478" s="114">
        <f>14559.09</f>
        <v>14559.09</v>
      </c>
      <c r="E478" s="160"/>
      <c r="F478" s="189">
        <f t="shared" si="117"/>
        <v>17109.09</v>
      </c>
      <c r="G478" s="87"/>
      <c r="H478" s="7"/>
      <c r="I478" s="73">
        <f t="shared" si="122"/>
        <v>17109.09</v>
      </c>
      <c r="J478" s="28"/>
      <c r="K478" s="7"/>
      <c r="L478" s="73">
        <f t="shared" si="123"/>
        <v>17109.09</v>
      </c>
      <c r="M478" s="22"/>
      <c r="N478" s="7"/>
      <c r="O478" s="23">
        <f t="shared" si="124"/>
        <v>17109.09</v>
      </c>
      <c r="P478" s="81"/>
      <c r="Q478" s="79">
        <f t="shared" si="120"/>
        <v>17109.09</v>
      </c>
    </row>
    <row r="479" spans="1:17" ht="12.75">
      <c r="A479" s="34" t="s">
        <v>123</v>
      </c>
      <c r="B479" s="98">
        <v>16</v>
      </c>
      <c r="C479" s="145">
        <f>SUM(C480:C483)</f>
        <v>5000</v>
      </c>
      <c r="D479" s="114">
        <f aca="true" t="shared" si="125" ref="D479:Q479">SUM(D480:D483)</f>
        <v>36342.310000000005</v>
      </c>
      <c r="E479" s="160">
        <f t="shared" si="125"/>
        <v>0</v>
      </c>
      <c r="F479" s="189">
        <f t="shared" si="125"/>
        <v>41342.310000000005</v>
      </c>
      <c r="G479" s="146">
        <f t="shared" si="125"/>
        <v>0</v>
      </c>
      <c r="H479" s="114">
        <f t="shared" si="125"/>
        <v>0</v>
      </c>
      <c r="I479" s="160">
        <f t="shared" si="125"/>
        <v>41342.310000000005</v>
      </c>
      <c r="J479" s="145">
        <f t="shared" si="125"/>
        <v>0</v>
      </c>
      <c r="K479" s="114">
        <f t="shared" si="125"/>
        <v>0</v>
      </c>
      <c r="L479" s="160">
        <f t="shared" si="125"/>
        <v>41342.310000000005</v>
      </c>
      <c r="M479" s="115">
        <f t="shared" si="125"/>
        <v>0</v>
      </c>
      <c r="N479" s="115">
        <f t="shared" si="125"/>
        <v>0</v>
      </c>
      <c r="O479" s="115">
        <f t="shared" si="125"/>
        <v>41342.310000000005</v>
      </c>
      <c r="P479" s="115">
        <f t="shared" si="125"/>
        <v>0</v>
      </c>
      <c r="Q479" s="241">
        <f t="shared" si="125"/>
        <v>41342.310000000005</v>
      </c>
    </row>
    <row r="480" spans="1:17" ht="12.75">
      <c r="A480" s="34" t="s">
        <v>112</v>
      </c>
      <c r="B480" s="98"/>
      <c r="C480" s="145">
        <v>3201</v>
      </c>
      <c r="D480" s="114">
        <f>1700</f>
        <v>1700</v>
      </c>
      <c r="E480" s="160"/>
      <c r="F480" s="189">
        <f t="shared" si="117"/>
        <v>4901</v>
      </c>
      <c r="G480" s="87"/>
      <c r="H480" s="7"/>
      <c r="I480" s="73">
        <f>F480+G480+H480</f>
        <v>4901</v>
      </c>
      <c r="J480" s="28"/>
      <c r="K480" s="7"/>
      <c r="L480" s="73">
        <f>I480+J480+K480</f>
        <v>4901</v>
      </c>
      <c r="M480" s="22"/>
      <c r="N480" s="7"/>
      <c r="O480" s="23">
        <f>L480+M480+N480</f>
        <v>4901</v>
      </c>
      <c r="P480" s="81"/>
      <c r="Q480" s="79">
        <f t="shared" si="120"/>
        <v>4901</v>
      </c>
    </row>
    <row r="481" spans="1:17" ht="12.75">
      <c r="A481" s="34" t="s">
        <v>113</v>
      </c>
      <c r="B481" s="98"/>
      <c r="C481" s="145">
        <v>99</v>
      </c>
      <c r="D481" s="114"/>
      <c r="E481" s="160"/>
      <c r="F481" s="189">
        <f t="shared" si="117"/>
        <v>99</v>
      </c>
      <c r="G481" s="87"/>
      <c r="H481" s="7"/>
      <c r="I481" s="73">
        <f>F481+G481+H481</f>
        <v>99</v>
      </c>
      <c r="J481" s="28"/>
      <c r="K481" s="7"/>
      <c r="L481" s="73">
        <f>I481+J481+K481</f>
        <v>99</v>
      </c>
      <c r="M481" s="22"/>
      <c r="N481" s="7"/>
      <c r="O481" s="23">
        <f>L481+M481+N481</f>
        <v>99</v>
      </c>
      <c r="P481" s="81"/>
      <c r="Q481" s="79">
        <f t="shared" si="120"/>
        <v>99</v>
      </c>
    </row>
    <row r="482" spans="1:17" ht="12.75">
      <c r="A482" s="34" t="s">
        <v>114</v>
      </c>
      <c r="B482" s="98"/>
      <c r="C482" s="145">
        <v>1500</v>
      </c>
      <c r="D482" s="114">
        <f>34515.41</f>
        <v>34515.41</v>
      </c>
      <c r="E482" s="160"/>
      <c r="F482" s="189">
        <f t="shared" si="117"/>
        <v>36015.41</v>
      </c>
      <c r="G482" s="87"/>
      <c r="H482" s="7"/>
      <c r="I482" s="73">
        <f>F482+G482+H482</f>
        <v>36015.41</v>
      </c>
      <c r="J482" s="28"/>
      <c r="K482" s="7"/>
      <c r="L482" s="73">
        <f>I482+J482+K482</f>
        <v>36015.41</v>
      </c>
      <c r="M482" s="22"/>
      <c r="N482" s="7"/>
      <c r="O482" s="23">
        <f>L482+M482+N482</f>
        <v>36015.41</v>
      </c>
      <c r="P482" s="81"/>
      <c r="Q482" s="79">
        <f t="shared" si="120"/>
        <v>36015.41</v>
      </c>
    </row>
    <row r="483" spans="1:17" ht="12.75">
      <c r="A483" s="34" t="s">
        <v>115</v>
      </c>
      <c r="B483" s="98"/>
      <c r="C483" s="145">
        <v>200</v>
      </c>
      <c r="D483" s="114">
        <f>126.9</f>
        <v>126.9</v>
      </c>
      <c r="E483" s="160"/>
      <c r="F483" s="189">
        <f t="shared" si="117"/>
        <v>326.9</v>
      </c>
      <c r="G483" s="87"/>
      <c r="H483" s="7"/>
      <c r="I483" s="73">
        <f>F483+G483+H483</f>
        <v>326.9</v>
      </c>
      <c r="J483" s="28"/>
      <c r="K483" s="7"/>
      <c r="L483" s="73">
        <f>I483+J483+K483</f>
        <v>326.9</v>
      </c>
      <c r="M483" s="22"/>
      <c r="N483" s="7"/>
      <c r="O483" s="23">
        <f>L483+M483+N483</f>
        <v>326.9</v>
      </c>
      <c r="P483" s="81"/>
      <c r="Q483" s="79">
        <f t="shared" si="120"/>
        <v>326.9</v>
      </c>
    </row>
    <row r="484" spans="1:17" ht="12.75">
      <c r="A484" s="34" t="s">
        <v>103</v>
      </c>
      <c r="B484" s="98">
        <v>18</v>
      </c>
      <c r="C484" s="145">
        <f>C485+C486</f>
        <v>1650</v>
      </c>
      <c r="D484" s="114">
        <f>D485+D486</f>
        <v>172.18</v>
      </c>
      <c r="E484" s="160">
        <f>E485+E486</f>
        <v>0</v>
      </c>
      <c r="F484" s="189">
        <f>F485+F486</f>
        <v>1822.18</v>
      </c>
      <c r="G484" s="87"/>
      <c r="H484" s="7"/>
      <c r="I484" s="87"/>
      <c r="J484" s="28"/>
      <c r="K484" s="7"/>
      <c r="L484" s="87"/>
      <c r="M484" s="22"/>
      <c r="N484" s="135"/>
      <c r="O484" s="87"/>
      <c r="P484" s="81"/>
      <c r="Q484" s="79"/>
    </row>
    <row r="485" spans="1:17" ht="12.75">
      <c r="A485" s="34" t="s">
        <v>104</v>
      </c>
      <c r="B485" s="98"/>
      <c r="C485" s="145">
        <v>1650</v>
      </c>
      <c r="D485" s="114">
        <f>172.18</f>
        <v>172.18</v>
      </c>
      <c r="E485" s="160"/>
      <c r="F485" s="189">
        <f>C485+D485+E485</f>
        <v>1822.18</v>
      </c>
      <c r="G485" s="87"/>
      <c r="H485" s="7"/>
      <c r="I485" s="87"/>
      <c r="J485" s="28"/>
      <c r="K485" s="7"/>
      <c r="L485" s="87"/>
      <c r="M485" s="22"/>
      <c r="N485" s="135"/>
      <c r="O485" s="87"/>
      <c r="P485" s="81"/>
      <c r="Q485" s="79"/>
    </row>
    <row r="486" spans="1:17" ht="12.75" hidden="1">
      <c r="A486" s="34" t="s">
        <v>105</v>
      </c>
      <c r="B486" s="98"/>
      <c r="C486" s="145">
        <v>0</v>
      </c>
      <c r="D486" s="114"/>
      <c r="E486" s="160"/>
      <c r="F486" s="189">
        <f>C486+D486+E486</f>
        <v>0</v>
      </c>
      <c r="G486" s="87"/>
      <c r="H486" s="7"/>
      <c r="I486" s="87"/>
      <c r="J486" s="28"/>
      <c r="K486" s="7"/>
      <c r="L486" s="87"/>
      <c r="M486" s="22"/>
      <c r="N486" s="135"/>
      <c r="O486" s="87"/>
      <c r="P486" s="81"/>
      <c r="Q486" s="79"/>
    </row>
    <row r="487" spans="1:17" ht="12.75">
      <c r="A487" s="99" t="s">
        <v>257</v>
      </c>
      <c r="B487" s="98">
        <v>19</v>
      </c>
      <c r="C487" s="145">
        <f>C488+C489</f>
        <v>5000</v>
      </c>
      <c r="D487" s="114">
        <f>D488+D489</f>
        <v>33902.079999999994</v>
      </c>
      <c r="E487" s="160">
        <f>E488+E489</f>
        <v>0</v>
      </c>
      <c r="F487" s="189">
        <f>F488+F489</f>
        <v>38902.079999999994</v>
      </c>
      <c r="G487" s="87"/>
      <c r="H487" s="7"/>
      <c r="I487" s="87"/>
      <c r="J487" s="28"/>
      <c r="K487" s="7"/>
      <c r="L487" s="87"/>
      <c r="M487" s="22"/>
      <c r="N487" s="135"/>
      <c r="O487" s="87"/>
      <c r="P487" s="81"/>
      <c r="Q487" s="79"/>
    </row>
    <row r="488" spans="1:17" ht="12.75">
      <c r="A488" s="34" t="s">
        <v>104</v>
      </c>
      <c r="B488" s="98"/>
      <c r="C488" s="145">
        <v>5000</v>
      </c>
      <c r="D488" s="114">
        <f>33312.31</f>
        <v>33312.31</v>
      </c>
      <c r="E488" s="160"/>
      <c r="F488" s="189">
        <f>C488+D488+E488</f>
        <v>38312.31</v>
      </c>
      <c r="G488" s="87"/>
      <c r="H488" s="7"/>
      <c r="I488" s="87"/>
      <c r="J488" s="28"/>
      <c r="K488" s="7"/>
      <c r="L488" s="87"/>
      <c r="M488" s="22"/>
      <c r="N488" s="135"/>
      <c r="O488" s="87"/>
      <c r="P488" s="81"/>
      <c r="Q488" s="79"/>
    </row>
    <row r="489" spans="1:17" ht="12.75">
      <c r="A489" s="34" t="s">
        <v>105</v>
      </c>
      <c r="B489" s="98"/>
      <c r="C489" s="145"/>
      <c r="D489" s="114">
        <f>589.77</f>
        <v>589.77</v>
      </c>
      <c r="E489" s="160"/>
      <c r="F489" s="189">
        <f>C489+D489+E489</f>
        <v>589.77</v>
      </c>
      <c r="G489" s="87"/>
      <c r="H489" s="7"/>
      <c r="I489" s="87"/>
      <c r="J489" s="28"/>
      <c r="K489" s="7"/>
      <c r="L489" s="87"/>
      <c r="M489" s="22"/>
      <c r="N489" s="135"/>
      <c r="O489" s="87"/>
      <c r="P489" s="81"/>
      <c r="Q489" s="79"/>
    </row>
    <row r="490" spans="1:17" ht="12.75">
      <c r="A490" s="34" t="s">
        <v>124</v>
      </c>
      <c r="B490" s="98">
        <v>28</v>
      </c>
      <c r="C490" s="145">
        <f>SUM(C491:C495)</f>
        <v>108500</v>
      </c>
      <c r="D490" s="114">
        <f aca="true" t="shared" si="126" ref="D490:Q490">SUM(D491:D495)</f>
        <v>66957.02</v>
      </c>
      <c r="E490" s="160">
        <f t="shared" si="126"/>
        <v>0</v>
      </c>
      <c r="F490" s="189">
        <f t="shared" si="126"/>
        <v>175457.02</v>
      </c>
      <c r="G490" s="146">
        <f t="shared" si="126"/>
        <v>0</v>
      </c>
      <c r="H490" s="114">
        <f t="shared" si="126"/>
        <v>0</v>
      </c>
      <c r="I490" s="160">
        <f t="shared" si="126"/>
        <v>175457.02</v>
      </c>
      <c r="J490" s="145">
        <f t="shared" si="126"/>
        <v>0</v>
      </c>
      <c r="K490" s="114">
        <f t="shared" si="126"/>
        <v>0</v>
      </c>
      <c r="L490" s="160">
        <f t="shared" si="126"/>
        <v>175457.02</v>
      </c>
      <c r="M490" s="115">
        <f t="shared" si="126"/>
        <v>0</v>
      </c>
      <c r="N490" s="115">
        <f t="shared" si="126"/>
        <v>0</v>
      </c>
      <c r="O490" s="115">
        <f t="shared" si="126"/>
        <v>175457.02</v>
      </c>
      <c r="P490" s="115">
        <f t="shared" si="126"/>
        <v>0</v>
      </c>
      <c r="Q490" s="241">
        <f t="shared" si="126"/>
        <v>175457.02</v>
      </c>
    </row>
    <row r="491" spans="1:17" ht="12.75">
      <c r="A491" s="34" t="s">
        <v>112</v>
      </c>
      <c r="B491" s="98"/>
      <c r="C491" s="145">
        <v>2300</v>
      </c>
      <c r="D491" s="114">
        <f>4708.41-136</f>
        <v>4572.41</v>
      </c>
      <c r="E491" s="160"/>
      <c r="F491" s="189">
        <f t="shared" si="117"/>
        <v>6872.41</v>
      </c>
      <c r="G491" s="87"/>
      <c r="H491" s="7"/>
      <c r="I491" s="73">
        <f>F491+G491+H491</f>
        <v>6872.41</v>
      </c>
      <c r="J491" s="28"/>
      <c r="K491" s="7"/>
      <c r="L491" s="73">
        <f>I491+J491+K491</f>
        <v>6872.41</v>
      </c>
      <c r="M491" s="22"/>
      <c r="N491" s="7"/>
      <c r="O491" s="23">
        <f>L491+M491+N491</f>
        <v>6872.41</v>
      </c>
      <c r="P491" s="81"/>
      <c r="Q491" s="79">
        <f t="shared" si="120"/>
        <v>6872.41</v>
      </c>
    </row>
    <row r="492" spans="1:17" ht="12.75">
      <c r="A492" s="34" t="s">
        <v>113</v>
      </c>
      <c r="B492" s="98"/>
      <c r="C492" s="145">
        <v>0</v>
      </c>
      <c r="D492" s="114">
        <f>136</f>
        <v>136</v>
      </c>
      <c r="E492" s="160"/>
      <c r="F492" s="189">
        <f t="shared" si="117"/>
        <v>136</v>
      </c>
      <c r="G492" s="87"/>
      <c r="H492" s="7"/>
      <c r="I492" s="73">
        <f>F492+G492+H492</f>
        <v>136</v>
      </c>
      <c r="J492" s="28"/>
      <c r="K492" s="7"/>
      <c r="L492" s="73">
        <f>I492+J492+K492</f>
        <v>136</v>
      </c>
      <c r="M492" s="22"/>
      <c r="N492" s="7"/>
      <c r="O492" s="23">
        <f>L492+M492+N492</f>
        <v>136</v>
      </c>
      <c r="P492" s="81"/>
      <c r="Q492" s="79">
        <f t="shared" si="120"/>
        <v>136</v>
      </c>
    </row>
    <row r="493" spans="1:17" ht="12.75">
      <c r="A493" s="34" t="s">
        <v>125</v>
      </c>
      <c r="B493" s="98"/>
      <c r="C493" s="145">
        <v>106200</v>
      </c>
      <c r="D493" s="114">
        <f>58216.48+4032.13</f>
        <v>62248.61</v>
      </c>
      <c r="E493" s="160"/>
      <c r="F493" s="189">
        <f t="shared" si="117"/>
        <v>168448.61</v>
      </c>
      <c r="G493" s="87"/>
      <c r="H493" s="7"/>
      <c r="I493" s="73">
        <f>F493+G493+H493</f>
        <v>168448.61</v>
      </c>
      <c r="J493" s="28"/>
      <c r="K493" s="7"/>
      <c r="L493" s="73">
        <f>I493+J493+K493</f>
        <v>168448.61</v>
      </c>
      <c r="M493" s="22"/>
      <c r="N493" s="7"/>
      <c r="O493" s="23">
        <f>L493+M493+N493</f>
        <v>168448.61</v>
      </c>
      <c r="P493" s="81"/>
      <c r="Q493" s="79">
        <f t="shared" si="120"/>
        <v>168448.61</v>
      </c>
    </row>
    <row r="494" spans="1:17" ht="12.75" hidden="1">
      <c r="A494" s="34" t="s">
        <v>122</v>
      </c>
      <c r="B494" s="98"/>
      <c r="C494" s="145"/>
      <c r="D494" s="114"/>
      <c r="E494" s="160"/>
      <c r="F494" s="189">
        <f t="shared" si="117"/>
        <v>0</v>
      </c>
      <c r="G494" s="87"/>
      <c r="H494" s="7"/>
      <c r="I494" s="73">
        <f>F494+G494+H494</f>
        <v>0</v>
      </c>
      <c r="J494" s="28"/>
      <c r="K494" s="7"/>
      <c r="L494" s="73">
        <f>I494+J494+K494</f>
        <v>0</v>
      </c>
      <c r="M494" s="22"/>
      <c r="N494" s="7"/>
      <c r="O494" s="23">
        <f>L494+M494+N494</f>
        <v>0</v>
      </c>
      <c r="P494" s="81"/>
      <c r="Q494" s="79">
        <f t="shared" si="120"/>
        <v>0</v>
      </c>
    </row>
    <row r="495" spans="1:17" ht="12.75">
      <c r="A495" s="34" t="s">
        <v>115</v>
      </c>
      <c r="B495" s="98"/>
      <c r="C495" s="145">
        <v>0</v>
      </c>
      <c r="D495" s="125">
        <f>4032.13-4032.13</f>
        <v>0</v>
      </c>
      <c r="E495" s="160"/>
      <c r="F495" s="189">
        <f t="shared" si="117"/>
        <v>0</v>
      </c>
      <c r="G495" s="87"/>
      <c r="H495" s="7"/>
      <c r="I495" s="73">
        <f>F495+G495+H495</f>
        <v>0</v>
      </c>
      <c r="J495" s="28"/>
      <c r="K495" s="7"/>
      <c r="L495" s="73">
        <f>I495+J495+K495</f>
        <v>0</v>
      </c>
      <c r="M495" s="22"/>
      <c r="N495" s="7"/>
      <c r="O495" s="23">
        <f>L495+M495+N495</f>
        <v>0</v>
      </c>
      <c r="P495" s="81"/>
      <c r="Q495" s="79">
        <f t="shared" si="120"/>
        <v>0</v>
      </c>
    </row>
    <row r="496" spans="1:17" ht="12.75">
      <c r="A496" s="35" t="s">
        <v>126</v>
      </c>
      <c r="B496" s="98"/>
      <c r="C496" s="145">
        <f>C497+C498</f>
        <v>2</v>
      </c>
      <c r="D496" s="114">
        <f aca="true" t="shared" si="127" ref="D496:Q496">D497+D498</f>
        <v>6408.09</v>
      </c>
      <c r="E496" s="160">
        <f t="shared" si="127"/>
        <v>0</v>
      </c>
      <c r="F496" s="189">
        <f t="shared" si="127"/>
        <v>6410.09</v>
      </c>
      <c r="G496" s="146">
        <f t="shared" si="127"/>
        <v>0</v>
      </c>
      <c r="H496" s="114">
        <f t="shared" si="127"/>
        <v>0</v>
      </c>
      <c r="I496" s="146">
        <f t="shared" si="127"/>
        <v>0</v>
      </c>
      <c r="J496" s="145">
        <f t="shared" si="127"/>
        <v>0</v>
      </c>
      <c r="K496" s="114">
        <f t="shared" si="127"/>
        <v>0</v>
      </c>
      <c r="L496" s="146">
        <f t="shared" si="127"/>
        <v>0</v>
      </c>
      <c r="M496" s="145">
        <f t="shared" si="127"/>
        <v>0</v>
      </c>
      <c r="N496" s="145">
        <f t="shared" si="127"/>
        <v>0</v>
      </c>
      <c r="O496" s="145">
        <f t="shared" si="127"/>
        <v>0</v>
      </c>
      <c r="P496" s="145">
        <f t="shared" si="127"/>
        <v>0</v>
      </c>
      <c r="Q496" s="241">
        <f t="shared" si="127"/>
        <v>0</v>
      </c>
    </row>
    <row r="497" spans="1:17" ht="12.75">
      <c r="A497" s="35" t="s">
        <v>239</v>
      </c>
      <c r="B497" s="98"/>
      <c r="C497" s="145"/>
      <c r="D497" s="114">
        <f>133.71+1256.65+9.73</f>
        <v>1400.0900000000001</v>
      </c>
      <c r="E497" s="160"/>
      <c r="F497" s="189">
        <f t="shared" si="117"/>
        <v>1400.0900000000001</v>
      </c>
      <c r="G497" s="87"/>
      <c r="H497" s="7"/>
      <c r="I497" s="73"/>
      <c r="J497" s="28"/>
      <c r="K497" s="7"/>
      <c r="L497" s="73"/>
      <c r="M497" s="22"/>
      <c r="N497" s="7"/>
      <c r="O497" s="23"/>
      <c r="P497" s="81"/>
      <c r="Q497" s="79"/>
    </row>
    <row r="498" spans="1:17" ht="12.75">
      <c r="A498" s="38" t="s">
        <v>283</v>
      </c>
      <c r="B498" s="101"/>
      <c r="C498" s="173">
        <v>2</v>
      </c>
      <c r="D498" s="122">
        <f>5000+8</f>
        <v>5008</v>
      </c>
      <c r="E498" s="261"/>
      <c r="F498" s="193">
        <f t="shared" si="117"/>
        <v>5010</v>
      </c>
      <c r="G498" s="87"/>
      <c r="H498" s="7"/>
      <c r="I498" s="73"/>
      <c r="J498" s="28"/>
      <c r="K498" s="7"/>
      <c r="L498" s="73"/>
      <c r="M498" s="22"/>
      <c r="N498" s="7"/>
      <c r="O498" s="23"/>
      <c r="P498" s="81"/>
      <c r="Q498" s="79"/>
    </row>
    <row r="499" spans="1:17" ht="13.5" thickBot="1">
      <c r="A499" s="48" t="s">
        <v>127</v>
      </c>
      <c r="B499" s="102"/>
      <c r="C499" s="139">
        <v>8581.04</v>
      </c>
      <c r="D499" s="114"/>
      <c r="E499" s="161"/>
      <c r="F499" s="190">
        <f t="shared" si="117"/>
        <v>8581.04</v>
      </c>
      <c r="G499" s="208"/>
      <c r="H499" s="8"/>
      <c r="I499" s="29">
        <f>SUM(F499:H499)</f>
        <v>8581.04</v>
      </c>
      <c r="J499" s="226"/>
      <c r="K499" s="8"/>
      <c r="L499" s="231">
        <f>SUM(I499:K499)</f>
        <v>8581.04</v>
      </c>
      <c r="M499" s="24"/>
      <c r="N499" s="8"/>
      <c r="O499" s="25">
        <f>SUM(L499:N499)</f>
        <v>8581.04</v>
      </c>
      <c r="P499" s="82"/>
      <c r="Q499" s="29">
        <f>O499+P499</f>
        <v>8581.04</v>
      </c>
    </row>
    <row r="500" spans="1:17" ht="14.25" thickBot="1">
      <c r="A500" s="49" t="s">
        <v>128</v>
      </c>
      <c r="B500" s="105"/>
      <c r="C500" s="149">
        <f>+C81+C101+C112+C130+C142+C171+C218+C237+C261+C281+C357+C385+C408+C415+C447+C451+C499+C422+C303+C254</f>
        <v>5413094.04</v>
      </c>
      <c r="D500" s="129">
        <f>+D81+D101+D112+D130+D142+D171+D218+D237+D261+D281+D357+D385+D408+D415+D447+D451+D499+D422+D303+D254</f>
        <v>12808395.800000003</v>
      </c>
      <c r="E500" s="150">
        <f>+E81+E101+E112+E130+E142+E171+E218+E237+E261+E281+E357+E385+E408+E415+E447+E451+E499+E422+E303</f>
        <v>1900</v>
      </c>
      <c r="F500" s="248">
        <f>+F81+F101+F112+F130+F142+F171+F218+F237+F261+F281+F357+F385+F408+F415+F447+F451+F499+F422+F303+F254</f>
        <v>18223389.84</v>
      </c>
      <c r="G500" s="149" t="e">
        <f aca="true" t="shared" si="128" ref="G500:Q500">+G81+G101+G112+G130+G142+G171+G218+G237+G261+G281+G357+G385+G408+G415+G447+G451+G499+G422+G303</f>
        <v>#REF!</v>
      </c>
      <c r="H500" s="149" t="e">
        <f t="shared" si="128"/>
        <v>#REF!</v>
      </c>
      <c r="I500" s="149" t="e">
        <f t="shared" si="128"/>
        <v>#REF!</v>
      </c>
      <c r="J500" s="149" t="e">
        <f t="shared" si="128"/>
        <v>#REF!</v>
      </c>
      <c r="K500" s="149" t="e">
        <f t="shared" si="128"/>
        <v>#REF!</v>
      </c>
      <c r="L500" s="149" t="e">
        <f t="shared" si="128"/>
        <v>#REF!</v>
      </c>
      <c r="M500" s="149" t="e">
        <f t="shared" si="128"/>
        <v>#REF!</v>
      </c>
      <c r="N500" s="149" t="e">
        <f t="shared" si="128"/>
        <v>#REF!</v>
      </c>
      <c r="O500" s="149" t="e">
        <f t="shared" si="128"/>
        <v>#REF!</v>
      </c>
      <c r="P500" s="149" t="e">
        <f t="shared" si="128"/>
        <v>#REF!</v>
      </c>
      <c r="Q500" s="248" t="e">
        <f t="shared" si="128"/>
        <v>#REF!</v>
      </c>
    </row>
    <row r="501" spans="1:17" ht="13.5" thickBot="1">
      <c r="A501" s="50" t="s">
        <v>129</v>
      </c>
      <c r="B501" s="105"/>
      <c r="C501" s="178">
        <v>-8581.04</v>
      </c>
      <c r="D501" s="236"/>
      <c r="E501" s="214"/>
      <c r="F501" s="237">
        <f t="shared" si="117"/>
        <v>-8581.04</v>
      </c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249"/>
    </row>
    <row r="502" spans="1:17" ht="15.75" thickBot="1">
      <c r="A502" s="51" t="s">
        <v>130</v>
      </c>
      <c r="B502" s="105"/>
      <c r="C502" s="179">
        <f aca="true" t="shared" si="129" ref="C502:Q502">C500+C501</f>
        <v>5404513</v>
      </c>
      <c r="D502" s="119">
        <f t="shared" si="129"/>
        <v>12808395.800000003</v>
      </c>
      <c r="E502" s="215">
        <f t="shared" si="129"/>
        <v>1900</v>
      </c>
      <c r="F502" s="126">
        <f t="shared" si="129"/>
        <v>18214808.8</v>
      </c>
      <c r="G502" s="179" t="e">
        <f t="shared" si="129"/>
        <v>#REF!</v>
      </c>
      <c r="H502" s="179" t="e">
        <f t="shared" si="129"/>
        <v>#REF!</v>
      </c>
      <c r="I502" s="179" t="e">
        <f t="shared" si="129"/>
        <v>#REF!</v>
      </c>
      <c r="J502" s="179" t="e">
        <f t="shared" si="129"/>
        <v>#REF!</v>
      </c>
      <c r="K502" s="179" t="e">
        <f t="shared" si="129"/>
        <v>#REF!</v>
      </c>
      <c r="L502" s="179" t="e">
        <f t="shared" si="129"/>
        <v>#REF!</v>
      </c>
      <c r="M502" s="179" t="e">
        <f t="shared" si="129"/>
        <v>#REF!</v>
      </c>
      <c r="N502" s="179" t="e">
        <f t="shared" si="129"/>
        <v>#REF!</v>
      </c>
      <c r="O502" s="179" t="e">
        <f t="shared" si="129"/>
        <v>#REF!</v>
      </c>
      <c r="P502" s="179" t="e">
        <f t="shared" si="129"/>
        <v>#REF!</v>
      </c>
      <c r="Q502" s="250" t="e">
        <f t="shared" si="129"/>
        <v>#REF!</v>
      </c>
    </row>
    <row r="503" spans="1:17" ht="15">
      <c r="A503" s="52" t="s">
        <v>26</v>
      </c>
      <c r="B503" s="106"/>
      <c r="C503" s="180"/>
      <c r="D503" s="130"/>
      <c r="E503" s="216"/>
      <c r="F503" s="127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251"/>
    </row>
    <row r="504" spans="1:17" ht="15">
      <c r="A504" s="53" t="s">
        <v>227</v>
      </c>
      <c r="B504" s="107"/>
      <c r="C504" s="181">
        <f>+C82+C102+C113+C131+C143+C172+C219+C238+C262+C282+C358+C386+C409+C416+C448+C453+C499+C501+C423+C304+C255</f>
        <v>3910350.0599999996</v>
      </c>
      <c r="D504" s="270">
        <f>+D82+D102+D113+D131+D143+D172+D219+D238+D262+D282+D358+D386+D409+D416+D448+D453+D499+D501+D423+D304+D255</f>
        <v>10193611.760000004</v>
      </c>
      <c r="E504" s="217">
        <f>+E82+E102+E113+E131+E143+E172+E219+E238+E262+E282+E358+E386+E409+E416+E448+E453+E499+E501+E423+E304</f>
        <v>-23.4</v>
      </c>
      <c r="F504" s="252">
        <f>+F82+F102+F113+F131+F143+F172+F219+F238+F262+F282+F358+F386+F409+F416+F448+F453+F499+F501+F423+F304+F255</f>
        <v>14103938.419999998</v>
      </c>
      <c r="G504" s="181">
        <f aca="true" t="shared" si="130" ref="G504:Q504">+G82+G102+G113+G131+G143+G172+G219+G238+G262+G282+G358+G386+G409+G416+G448+G453+G499+G501+G423+G304</f>
        <v>0</v>
      </c>
      <c r="H504" s="181">
        <f t="shared" si="130"/>
        <v>0</v>
      </c>
      <c r="I504" s="181">
        <f t="shared" si="130"/>
        <v>4242378.09</v>
      </c>
      <c r="J504" s="181">
        <f t="shared" si="130"/>
        <v>0</v>
      </c>
      <c r="K504" s="181">
        <f t="shared" si="130"/>
        <v>0</v>
      </c>
      <c r="L504" s="181">
        <f t="shared" si="130"/>
        <v>4242378.09</v>
      </c>
      <c r="M504" s="181">
        <f t="shared" si="130"/>
        <v>0</v>
      </c>
      <c r="N504" s="181">
        <f t="shared" si="130"/>
        <v>0</v>
      </c>
      <c r="O504" s="181">
        <f t="shared" si="130"/>
        <v>4242378.09</v>
      </c>
      <c r="P504" s="181">
        <f t="shared" si="130"/>
        <v>0</v>
      </c>
      <c r="Q504" s="252">
        <f t="shared" si="130"/>
        <v>4242378.09</v>
      </c>
    </row>
    <row r="505" spans="1:17" ht="15.75" thickBot="1">
      <c r="A505" s="40" t="s">
        <v>228</v>
      </c>
      <c r="B505" s="108"/>
      <c r="C505" s="182">
        <f>+C91+C109+C125+C136+C162+C209+C230+C248+C274+C299+C380+C399+C412+C454+C437+C328+C258</f>
        <v>1494162.94</v>
      </c>
      <c r="D505" s="271">
        <f>+D91+D109+D125+D136+D162+D209+D230+D248+D274+D299+D380+D399+D412+D454+D437+D328+D258</f>
        <v>2614784.04</v>
      </c>
      <c r="E505" s="218">
        <f>+E91+E109+E125+E136+E162+E209+E230+E248+E274+E299+E380+E399+E412+E454+E437+E328</f>
        <v>1923.4</v>
      </c>
      <c r="F505" s="253">
        <f>+F91+F109+F125+F136+F162+F209+F230+F248+F274+F299+F380+F399+F412+F454+F437+F328+F258</f>
        <v>4110870.38</v>
      </c>
      <c r="G505" s="182" t="e">
        <f aca="true" t="shared" si="131" ref="G505:Q505">+G91+G109+G125+G136+G162+G209+G230+G248+G274+G299+G380+G399+G412+G454+G437+G328</f>
        <v>#REF!</v>
      </c>
      <c r="H505" s="182" t="e">
        <f t="shared" si="131"/>
        <v>#REF!</v>
      </c>
      <c r="I505" s="182" t="e">
        <f t="shared" si="131"/>
        <v>#REF!</v>
      </c>
      <c r="J505" s="182" t="e">
        <f t="shared" si="131"/>
        <v>#REF!</v>
      </c>
      <c r="K505" s="182" t="e">
        <f t="shared" si="131"/>
        <v>#REF!</v>
      </c>
      <c r="L505" s="182" t="e">
        <f t="shared" si="131"/>
        <v>#REF!</v>
      </c>
      <c r="M505" s="182" t="e">
        <f t="shared" si="131"/>
        <v>#REF!</v>
      </c>
      <c r="N505" s="182" t="e">
        <f t="shared" si="131"/>
        <v>#REF!</v>
      </c>
      <c r="O505" s="182" t="e">
        <f t="shared" si="131"/>
        <v>#REF!</v>
      </c>
      <c r="P505" s="182" t="e">
        <f t="shared" si="131"/>
        <v>#REF!</v>
      </c>
      <c r="Q505" s="253" t="e">
        <f t="shared" si="131"/>
        <v>#REF!</v>
      </c>
    </row>
    <row r="506" spans="1:17" ht="15.75" thickBot="1">
      <c r="A506" s="53" t="s">
        <v>221</v>
      </c>
      <c r="B506" s="107"/>
      <c r="C506" s="149">
        <f aca="true" t="shared" si="132" ref="C506:Q506">C79-C502</f>
        <v>-400000</v>
      </c>
      <c r="D506" s="129">
        <f t="shared" si="132"/>
        <v>-3079643.6800000016</v>
      </c>
      <c r="E506" s="266">
        <f t="shared" si="132"/>
        <v>-1900</v>
      </c>
      <c r="F506" s="197">
        <f t="shared" si="132"/>
        <v>-3481543.6800000016</v>
      </c>
      <c r="G506" s="150" t="e">
        <f t="shared" si="132"/>
        <v>#REF!</v>
      </c>
      <c r="H506" s="129" t="e">
        <f t="shared" si="132"/>
        <v>#REF!</v>
      </c>
      <c r="I506" s="150" t="e">
        <f t="shared" si="132"/>
        <v>#REF!</v>
      </c>
      <c r="J506" s="149" t="e">
        <f t="shared" si="132"/>
        <v>#REF!</v>
      </c>
      <c r="K506" s="129" t="e">
        <f t="shared" si="132"/>
        <v>#REF!</v>
      </c>
      <c r="L506" s="150" t="e">
        <f t="shared" si="132"/>
        <v>#REF!</v>
      </c>
      <c r="M506" s="149" t="e">
        <f t="shared" si="132"/>
        <v>#REF!</v>
      </c>
      <c r="N506" s="149" t="e">
        <f t="shared" si="132"/>
        <v>#REF!</v>
      </c>
      <c r="O506" s="149" t="e">
        <f t="shared" si="132"/>
        <v>#REF!</v>
      </c>
      <c r="P506" s="149" t="e">
        <f t="shared" si="132"/>
        <v>#REF!</v>
      </c>
      <c r="Q506" s="248" t="e">
        <f t="shared" si="132"/>
        <v>#REF!</v>
      </c>
    </row>
    <row r="507" spans="1:17" ht="15">
      <c r="A507" s="52" t="s">
        <v>229</v>
      </c>
      <c r="B507" s="106"/>
      <c r="C507" s="183">
        <f>SUM(C509:C512)</f>
        <v>400000</v>
      </c>
      <c r="D507" s="131">
        <f aca="true" t="shared" si="133" ref="D507:Q507">SUM(D509:D512)</f>
        <v>3079643.6800000006</v>
      </c>
      <c r="E507" s="166">
        <f t="shared" si="133"/>
        <v>1900</v>
      </c>
      <c r="F507" s="198">
        <f t="shared" si="133"/>
        <v>3481543.6800000006</v>
      </c>
      <c r="G507" s="219">
        <f t="shared" si="133"/>
        <v>0</v>
      </c>
      <c r="H507" s="131">
        <f t="shared" si="133"/>
        <v>0</v>
      </c>
      <c r="I507" s="166">
        <f t="shared" si="133"/>
        <v>3481543.6800000006</v>
      </c>
      <c r="J507" s="183">
        <f t="shared" si="133"/>
        <v>0</v>
      </c>
      <c r="K507" s="131">
        <f t="shared" si="133"/>
        <v>0</v>
      </c>
      <c r="L507" s="166">
        <f t="shared" si="133"/>
        <v>3481543.6800000006</v>
      </c>
      <c r="M507" s="138">
        <f t="shared" si="133"/>
        <v>0</v>
      </c>
      <c r="N507" s="138">
        <f t="shared" si="133"/>
        <v>0</v>
      </c>
      <c r="O507" s="138">
        <f t="shared" si="133"/>
        <v>3481543.6800000006</v>
      </c>
      <c r="P507" s="138">
        <f t="shared" si="133"/>
        <v>0</v>
      </c>
      <c r="Q507" s="254">
        <f t="shared" si="133"/>
        <v>3481543.6800000006</v>
      </c>
    </row>
    <row r="508" spans="1:17" ht="12.75" customHeight="1">
      <c r="A508" s="54" t="s">
        <v>26</v>
      </c>
      <c r="B508" s="109"/>
      <c r="C508" s="184"/>
      <c r="D508" s="132"/>
      <c r="E508" s="267"/>
      <c r="F508" s="199"/>
      <c r="G508" s="220"/>
      <c r="H508" s="12"/>
      <c r="I508" s="203"/>
      <c r="J508" s="228"/>
      <c r="K508" s="12"/>
      <c r="L508" s="203"/>
      <c r="M508" s="15"/>
      <c r="N508" s="12"/>
      <c r="O508" s="62"/>
      <c r="P508" s="81"/>
      <c r="Q508" s="79"/>
    </row>
    <row r="509" spans="1:17" ht="13.5">
      <c r="A509" s="54" t="s">
        <v>131</v>
      </c>
      <c r="B509" s="109"/>
      <c r="C509" s="185">
        <v>400000</v>
      </c>
      <c r="D509" s="157">
        <v>500000</v>
      </c>
      <c r="E509" s="268"/>
      <c r="F509" s="200">
        <f>SUM(C509:E509)</f>
        <v>900000</v>
      </c>
      <c r="G509" s="221"/>
      <c r="H509" s="13"/>
      <c r="I509" s="203">
        <f>SUM(F509:H509)</f>
        <v>900000</v>
      </c>
      <c r="J509" s="229"/>
      <c r="K509" s="13"/>
      <c r="L509" s="203">
        <f>SUM(I509:K509)</f>
        <v>900000</v>
      </c>
      <c r="M509" s="16"/>
      <c r="N509" s="13"/>
      <c r="O509" s="62">
        <f>SUM(L509:N509)</f>
        <v>900000</v>
      </c>
      <c r="P509" s="81"/>
      <c r="Q509" s="79">
        <f t="shared" si="120"/>
        <v>900000</v>
      </c>
    </row>
    <row r="510" spans="1:17" ht="13.5" hidden="1">
      <c r="A510" s="55" t="s">
        <v>139</v>
      </c>
      <c r="B510" s="109"/>
      <c r="C510" s="185"/>
      <c r="D510" s="157"/>
      <c r="E510" s="268"/>
      <c r="F510" s="200">
        <f>SUM(C510:E510)</f>
        <v>0</v>
      </c>
      <c r="G510" s="221"/>
      <c r="H510" s="13"/>
      <c r="I510" s="203">
        <f>SUM(F510:H510)</f>
        <v>0</v>
      </c>
      <c r="J510" s="229"/>
      <c r="K510" s="13"/>
      <c r="L510" s="203">
        <f>SUM(I510:K510)</f>
        <v>0</v>
      </c>
      <c r="M510" s="16"/>
      <c r="N510" s="13"/>
      <c r="O510" s="62">
        <f>SUM(L510:N510)</f>
        <v>0</v>
      </c>
      <c r="P510" s="81"/>
      <c r="Q510" s="79">
        <f t="shared" si="120"/>
        <v>0</v>
      </c>
    </row>
    <row r="511" spans="1:17" ht="14.25" thickBot="1">
      <c r="A511" s="67" t="s">
        <v>132</v>
      </c>
      <c r="B511" s="110"/>
      <c r="C511" s="186"/>
      <c r="D511" s="158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11" s="269">
        <v>1900</v>
      </c>
      <c r="F511" s="201">
        <f>SUM(C511:E511)</f>
        <v>2581543.6800000006</v>
      </c>
      <c r="G511" s="222"/>
      <c r="H511" s="14"/>
      <c r="I511" s="204">
        <f>SUM(F511:H511)</f>
        <v>2581543.6800000006</v>
      </c>
      <c r="J511" s="230"/>
      <c r="K511" s="14"/>
      <c r="L511" s="204">
        <f>SUM(I511:K511)</f>
        <v>2581543.6800000006</v>
      </c>
      <c r="M511" s="66"/>
      <c r="N511" s="14"/>
      <c r="O511" s="64">
        <f>SUM(L511:N511)</f>
        <v>2581543.6800000006</v>
      </c>
      <c r="P511" s="83"/>
      <c r="Q511" s="80">
        <f t="shared" si="120"/>
        <v>2581543.6800000006</v>
      </c>
    </row>
    <row r="512" spans="1:17" ht="14.25" hidden="1" thickBot="1">
      <c r="A512" s="67" t="s">
        <v>151</v>
      </c>
      <c r="B512" s="110"/>
      <c r="C512" s="187"/>
      <c r="D512" s="158" t="s">
        <v>200</v>
      </c>
      <c r="E512" s="158"/>
      <c r="F512" s="201">
        <f>SUM(C512:E512)</f>
        <v>0</v>
      </c>
      <c r="G512" s="222"/>
      <c r="H512" s="14"/>
      <c r="I512" s="204">
        <f>SUM(F512:H512)</f>
        <v>0</v>
      </c>
      <c r="J512" s="230">
        <v>0</v>
      </c>
      <c r="K512" s="14">
        <v>0</v>
      </c>
      <c r="L512" s="204">
        <f>SUM(I512:K512)</f>
        <v>0</v>
      </c>
      <c r="M512" s="66"/>
      <c r="N512" s="14"/>
      <c r="O512" s="64">
        <f>SUM(L512:N512)</f>
        <v>0</v>
      </c>
      <c r="P512" s="83"/>
      <c r="Q512" s="80">
        <f t="shared" si="120"/>
        <v>0</v>
      </c>
    </row>
    <row r="513" spans="2:17" ht="12.75">
      <c r="B513" s="111"/>
      <c r="C513" s="128">
        <f aca="true" t="shared" si="134" ref="C513:Q513">C79+C507-C502</f>
        <v>0</v>
      </c>
      <c r="D513" s="128">
        <f>D79+D507-D502</f>
        <v>0</v>
      </c>
      <c r="E513" s="128">
        <f t="shared" si="134"/>
        <v>0</v>
      </c>
      <c r="F513" s="128">
        <f t="shared" si="134"/>
        <v>0</v>
      </c>
      <c r="G513" s="65" t="e">
        <f t="shared" si="134"/>
        <v>#REF!</v>
      </c>
      <c r="H513" s="65" t="e">
        <f t="shared" si="134"/>
        <v>#REF!</v>
      </c>
      <c r="I513" s="65" t="e">
        <f t="shared" si="134"/>
        <v>#REF!</v>
      </c>
      <c r="J513" s="65" t="e">
        <f t="shared" si="134"/>
        <v>#REF!</v>
      </c>
      <c r="K513" s="65" t="e">
        <f t="shared" si="134"/>
        <v>#REF!</v>
      </c>
      <c r="L513" s="65" t="e">
        <f t="shared" si="134"/>
        <v>#REF!</v>
      </c>
      <c r="M513" s="65" t="e">
        <f t="shared" si="134"/>
        <v>#REF!</v>
      </c>
      <c r="N513" s="65" t="e">
        <f t="shared" si="134"/>
        <v>#REF!</v>
      </c>
      <c r="O513" s="65" t="e">
        <f t="shared" si="134"/>
        <v>#REF!</v>
      </c>
      <c r="P513" s="65" t="e">
        <f t="shared" si="134"/>
        <v>#REF!</v>
      </c>
      <c r="Q513" s="65" t="e">
        <f t="shared" si="134"/>
        <v>#REF!</v>
      </c>
    </row>
    <row r="514" spans="2:16" ht="12.75">
      <c r="B514" s="111"/>
      <c r="P514" s="65"/>
    </row>
    <row r="515" spans="2:16" ht="12.75">
      <c r="B515" s="111"/>
      <c r="D515" s="148"/>
      <c r="P515" s="65"/>
    </row>
    <row r="516" spans="2:16" ht="12.75">
      <c r="B516" s="111"/>
      <c r="P516" s="65"/>
    </row>
    <row r="517" spans="2:16" ht="12.75">
      <c r="B517" s="111"/>
      <c r="P517" s="65"/>
    </row>
    <row r="518" spans="2:16" ht="12.75">
      <c r="B518" s="111"/>
      <c r="P518" s="65"/>
    </row>
    <row r="519" spans="2:16" ht="12.75">
      <c r="B519" s="111"/>
      <c r="P519" s="65"/>
    </row>
    <row r="520" spans="2:16" ht="12.75">
      <c r="B520" s="111"/>
      <c r="P520" s="65"/>
    </row>
    <row r="521" spans="2:16" ht="12.75">
      <c r="B521" s="111"/>
      <c r="P521" s="65"/>
    </row>
    <row r="522" spans="2:16" ht="12.75">
      <c r="B522" s="111"/>
      <c r="P522" s="65"/>
    </row>
    <row r="523" spans="2:16" ht="12.75">
      <c r="B523" s="111"/>
      <c r="P523" s="65"/>
    </row>
    <row r="524" spans="2:16" ht="12.75">
      <c r="B524" s="111"/>
      <c r="P524" s="65"/>
    </row>
    <row r="525" spans="2:16" ht="12.75">
      <c r="B525" s="111"/>
      <c r="P525" s="65"/>
    </row>
    <row r="526" spans="2:16" ht="12.75">
      <c r="B526" s="111"/>
      <c r="P526" s="65"/>
    </row>
    <row r="527" spans="2:16" ht="12.75">
      <c r="B527" s="111"/>
      <c r="P527" s="65"/>
    </row>
    <row r="528" spans="2:16" ht="12.75">
      <c r="B528" s="111"/>
      <c r="P528" s="65"/>
    </row>
    <row r="529" spans="2:16" ht="12.75">
      <c r="B529" s="111"/>
      <c r="P529" s="65"/>
    </row>
    <row r="530" spans="2:16" ht="12.75">
      <c r="B530" s="111"/>
      <c r="P530" s="65"/>
    </row>
    <row r="531" spans="2:16" ht="12.75">
      <c r="B531" s="111"/>
      <c r="P531" s="65"/>
    </row>
    <row r="532" spans="2:16" ht="12.75">
      <c r="B532" s="111"/>
      <c r="P532" s="65"/>
    </row>
    <row r="533" ht="12.75">
      <c r="P533" s="65"/>
    </row>
    <row r="534" ht="12.75">
      <c r="P534" s="65"/>
    </row>
    <row r="535" ht="12.75">
      <c r="P535" s="65"/>
    </row>
    <row r="536" ht="12.75">
      <c r="P536" s="65"/>
    </row>
    <row r="537" ht="12.75">
      <c r="P537" s="65"/>
    </row>
    <row r="538" ht="12.75">
      <c r="P538" s="65"/>
    </row>
    <row r="539" ht="12.75">
      <c r="P539" s="65"/>
    </row>
    <row r="540" ht="12.75">
      <c r="P540" s="65"/>
    </row>
    <row r="541" ht="12.75">
      <c r="P541" s="65"/>
    </row>
    <row r="542" ht="12.75">
      <c r="P542" s="65"/>
    </row>
    <row r="543" ht="12.75">
      <c r="P543" s="65"/>
    </row>
    <row r="544" ht="12.75">
      <c r="P544" s="65"/>
    </row>
    <row r="545" ht="12.75">
      <c r="P545" s="6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8" r:id="rId1"/>
  <headerFooter alignWithMargins="0">
    <oddFooter>&amp;CStránka &amp;P</oddFooter>
  </headerFooter>
  <rowBreaks count="5" manualBreakCount="5">
    <brk id="86" max="5" man="1"/>
    <brk id="167" max="5" man="1"/>
    <brk id="280" max="5" man="1"/>
    <brk id="360" max="5" man="1"/>
    <brk id="4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5"/>
  <sheetViews>
    <sheetView zoomScaleSheetLayoutView="69" zoomScalePageLayoutView="0" workbookViewId="0" topLeftCell="A1">
      <pane xSplit="1" ySplit="9" topLeftCell="C49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11" sqref="D511"/>
    </sheetView>
  </sheetViews>
  <sheetFormatPr defaultColWidth="9.00390625" defaultRowHeight="12.75"/>
  <cols>
    <col min="1" max="1" width="51.00390625" style="0" customWidth="1"/>
    <col min="2" max="2" width="8.50390625" style="0" hidden="1" customWidth="1"/>
    <col min="3" max="3" width="15.375" style="0" customWidth="1"/>
    <col min="4" max="4" width="16.625" style="0" customWidth="1"/>
    <col min="5" max="5" width="12.875" style="0" hidden="1" customWidth="1"/>
    <col min="6" max="6" width="16.375" style="0" customWidth="1"/>
    <col min="7" max="7" width="12.50390625" style="0" hidden="1" customWidth="1"/>
    <col min="8" max="8" width="12.625" style="0" hidden="1" customWidth="1"/>
    <col min="9" max="9" width="14.125" style="0" hidden="1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 t="s">
        <v>136</v>
      </c>
      <c r="I1" s="2"/>
      <c r="L1" s="2"/>
      <c r="O1" s="2"/>
      <c r="Q1" s="2" t="s">
        <v>136</v>
      </c>
    </row>
    <row r="2" spans="3:6" ht="9.75" customHeight="1">
      <c r="C2" s="1"/>
      <c r="D2" s="1"/>
      <c r="E2" s="1"/>
      <c r="F2" s="2"/>
    </row>
    <row r="3" spans="1:17" ht="15">
      <c r="A3" s="279" t="s">
        <v>248</v>
      </c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5">
      <c r="A4" s="281" t="s">
        <v>285</v>
      </c>
      <c r="B4" s="28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7" ht="13.5">
      <c r="A5" s="282" t="s">
        <v>0</v>
      </c>
      <c r="B5" s="282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17" ht="12.75">
      <c r="A6" s="283" t="s">
        <v>1</v>
      </c>
      <c r="B6" s="283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3" ht="18" customHeight="1" thickBot="1">
      <c r="A7" s="3"/>
      <c r="B7" s="3"/>
      <c r="C7" s="4"/>
      <c r="D7" s="141"/>
      <c r="E7" s="4"/>
      <c r="F7" s="4"/>
      <c r="J7" s="70"/>
      <c r="M7" s="63"/>
    </row>
    <row r="8" spans="1:17" ht="12.75">
      <c r="A8" s="284" t="s">
        <v>2</v>
      </c>
      <c r="B8" s="88" t="s">
        <v>233</v>
      </c>
      <c r="C8" s="168" t="s">
        <v>3</v>
      </c>
      <c r="D8" s="18" t="s">
        <v>4</v>
      </c>
      <c r="E8" s="258" t="s">
        <v>5</v>
      </c>
      <c r="F8" s="74" t="s">
        <v>6</v>
      </c>
      <c r="G8" s="205" t="s">
        <v>7</v>
      </c>
      <c r="H8" s="18" t="s">
        <v>5</v>
      </c>
      <c r="I8" s="74" t="s">
        <v>6</v>
      </c>
      <c r="J8" s="168" t="s">
        <v>8</v>
      </c>
      <c r="K8" s="18" t="s">
        <v>5</v>
      </c>
      <c r="L8" s="74" t="s">
        <v>6</v>
      </c>
      <c r="M8" s="17" t="s">
        <v>9</v>
      </c>
      <c r="N8" s="18" t="s">
        <v>5</v>
      </c>
      <c r="O8" s="19" t="s">
        <v>6</v>
      </c>
      <c r="P8" s="17" t="s">
        <v>161</v>
      </c>
      <c r="Q8" s="74" t="s">
        <v>6</v>
      </c>
    </row>
    <row r="9" spans="1:17" ht="13.5" thickBot="1">
      <c r="A9" s="285"/>
      <c r="B9" s="155" t="s">
        <v>176</v>
      </c>
      <c r="C9" s="169" t="s">
        <v>10</v>
      </c>
      <c r="D9" s="60" t="s">
        <v>11</v>
      </c>
      <c r="E9" s="259" t="s">
        <v>12</v>
      </c>
      <c r="F9" s="75" t="s">
        <v>13</v>
      </c>
      <c r="G9" s="206" t="s">
        <v>11</v>
      </c>
      <c r="H9" s="60" t="s">
        <v>12</v>
      </c>
      <c r="I9" s="75" t="s">
        <v>14</v>
      </c>
      <c r="J9" s="169" t="s">
        <v>11</v>
      </c>
      <c r="K9" s="60" t="s">
        <v>12</v>
      </c>
      <c r="L9" s="75" t="s">
        <v>15</v>
      </c>
      <c r="M9" s="59" t="s">
        <v>11</v>
      </c>
      <c r="N9" s="60" t="s">
        <v>12</v>
      </c>
      <c r="O9" s="61" t="s">
        <v>16</v>
      </c>
      <c r="P9" s="59" t="s">
        <v>11</v>
      </c>
      <c r="Q9" s="75" t="s">
        <v>162</v>
      </c>
    </row>
    <row r="10" spans="1:17" ht="15.75" customHeight="1">
      <c r="A10" s="57" t="s">
        <v>17</v>
      </c>
      <c r="B10" s="89"/>
      <c r="C10" s="170"/>
      <c r="D10" s="5"/>
      <c r="E10" s="260"/>
      <c r="F10" s="188"/>
      <c r="G10" s="207"/>
      <c r="H10" s="5"/>
      <c r="I10" s="188"/>
      <c r="J10" s="170"/>
      <c r="K10" s="5"/>
      <c r="L10" s="188"/>
      <c r="M10" s="30"/>
      <c r="N10" s="5"/>
      <c r="O10" s="58"/>
      <c r="P10" s="77"/>
      <c r="Q10" s="78"/>
    </row>
    <row r="11" spans="1:17" ht="12.75">
      <c r="A11" s="32" t="s">
        <v>223</v>
      </c>
      <c r="B11" s="90"/>
      <c r="C11" s="152">
        <f>C13+C14+C15+C16</f>
        <v>4637203.01</v>
      </c>
      <c r="D11" s="113">
        <f>D13+D14+D15+D16</f>
        <v>-93212.15</v>
      </c>
      <c r="E11" s="136">
        <f>E13+E14+E15</f>
        <v>0</v>
      </c>
      <c r="F11" s="167">
        <f>F13+F14+F15+F16</f>
        <v>4543990.859999999</v>
      </c>
      <c r="G11" s="153">
        <f aca="true" t="shared" si="0" ref="G11:Q11">G13+G14+G15</f>
        <v>0</v>
      </c>
      <c r="H11" s="113">
        <f t="shared" si="0"/>
        <v>0</v>
      </c>
      <c r="I11" s="153">
        <f t="shared" si="0"/>
        <v>26787.85</v>
      </c>
      <c r="J11" s="153">
        <f t="shared" si="0"/>
        <v>0</v>
      </c>
      <c r="K11" s="113">
        <f t="shared" si="0"/>
        <v>0</v>
      </c>
      <c r="L11" s="153">
        <f t="shared" si="0"/>
        <v>26787.85</v>
      </c>
      <c r="M11" s="153">
        <f t="shared" si="0"/>
        <v>0</v>
      </c>
      <c r="N11" s="153">
        <f t="shared" si="0"/>
        <v>0</v>
      </c>
      <c r="O11" s="153">
        <f t="shared" si="0"/>
        <v>26787.85</v>
      </c>
      <c r="P11" s="153">
        <f t="shared" si="0"/>
        <v>0</v>
      </c>
      <c r="Q11" s="167">
        <f t="shared" si="0"/>
        <v>26787.85</v>
      </c>
    </row>
    <row r="12" spans="1:17" ht="12.75">
      <c r="A12" s="33" t="s">
        <v>18</v>
      </c>
      <c r="B12" s="91"/>
      <c r="C12" s="152"/>
      <c r="D12" s="113"/>
      <c r="E12" s="136"/>
      <c r="F12" s="167"/>
      <c r="G12" s="137"/>
      <c r="H12" s="6"/>
      <c r="I12" s="69"/>
      <c r="J12" s="224"/>
      <c r="K12" s="6"/>
      <c r="L12" s="69"/>
      <c r="M12" s="20"/>
      <c r="N12" s="6"/>
      <c r="O12" s="21"/>
      <c r="P12" s="81"/>
      <c r="Q12" s="79"/>
    </row>
    <row r="13" spans="1:17" ht="12.75">
      <c r="A13" s="99" t="s">
        <v>230</v>
      </c>
      <c r="B13" s="91"/>
      <c r="C13" s="145">
        <v>4633763.01</v>
      </c>
      <c r="D13" s="114">
        <v>-150000</v>
      </c>
      <c r="E13" s="136"/>
      <c r="F13" s="189">
        <f>C13+D13+E13</f>
        <v>4483763.01</v>
      </c>
      <c r="G13" s="137"/>
      <c r="H13" s="6"/>
      <c r="I13" s="69"/>
      <c r="J13" s="224"/>
      <c r="K13" s="6"/>
      <c r="L13" s="69"/>
      <c r="M13" s="20"/>
      <c r="N13" s="6"/>
      <c r="O13" s="21"/>
      <c r="P13" s="81"/>
      <c r="Q13" s="79"/>
    </row>
    <row r="14" spans="1:17" ht="12.75">
      <c r="A14" s="34" t="s">
        <v>19</v>
      </c>
      <c r="B14" s="92"/>
      <c r="C14" s="145"/>
      <c r="D14" s="125">
        <f>26787.85</f>
        <v>26787.85</v>
      </c>
      <c r="E14" s="160"/>
      <c r="F14" s="189">
        <f>C14+D14+E14</f>
        <v>26787.85</v>
      </c>
      <c r="G14" s="87"/>
      <c r="H14" s="6"/>
      <c r="I14" s="73">
        <f>F14+G14+H14</f>
        <v>26787.85</v>
      </c>
      <c r="J14" s="28"/>
      <c r="K14" s="6"/>
      <c r="L14" s="73">
        <f>I14+J14+K14</f>
        <v>26787.85</v>
      </c>
      <c r="M14" s="22"/>
      <c r="N14" s="6"/>
      <c r="O14" s="23">
        <f>L14+M14+N14</f>
        <v>26787.85</v>
      </c>
      <c r="P14" s="81"/>
      <c r="Q14" s="79">
        <f aca="true" t="shared" si="1" ref="Q14:Q68">O14+P14</f>
        <v>26787.85</v>
      </c>
    </row>
    <row r="15" spans="1:17" ht="12.75">
      <c r="A15" s="99" t="s">
        <v>231</v>
      </c>
      <c r="B15" s="92"/>
      <c r="C15" s="145">
        <v>3440</v>
      </c>
      <c r="D15" s="125"/>
      <c r="E15" s="160"/>
      <c r="F15" s="189">
        <f>C15+D15+E15</f>
        <v>3440</v>
      </c>
      <c r="G15" s="87"/>
      <c r="H15" s="6"/>
      <c r="I15" s="73"/>
      <c r="J15" s="87"/>
      <c r="K15" s="6"/>
      <c r="L15" s="73"/>
      <c r="M15" s="135"/>
      <c r="N15" s="6"/>
      <c r="O15" s="23"/>
      <c r="P15" s="151"/>
      <c r="Q15" s="79"/>
    </row>
    <row r="16" spans="1:17" ht="12.75">
      <c r="A16" s="99" t="s">
        <v>298</v>
      </c>
      <c r="B16" s="92"/>
      <c r="C16" s="145"/>
      <c r="D16" s="125">
        <f>30000</f>
        <v>30000</v>
      </c>
      <c r="E16" s="160"/>
      <c r="F16" s="189">
        <f>C16+D16+E16</f>
        <v>30000</v>
      </c>
      <c r="G16" s="87"/>
      <c r="H16" s="6"/>
      <c r="I16" s="87"/>
      <c r="J16" s="87"/>
      <c r="K16" s="6"/>
      <c r="L16" s="87"/>
      <c r="M16" s="135"/>
      <c r="N16" s="256"/>
      <c r="O16" s="87"/>
      <c r="P16" s="151"/>
      <c r="Q16" s="79"/>
    </row>
    <row r="17" spans="1:17" ht="12.75">
      <c r="A17" s="32" t="s">
        <v>224</v>
      </c>
      <c r="B17" s="90"/>
      <c r="C17" s="152">
        <f aca="true" t="shared" si="2" ref="C17:Q17">SUM(C19:C25)+C32</f>
        <v>266083.59</v>
      </c>
      <c r="D17" s="113">
        <f t="shared" si="2"/>
        <v>2715.949999999997</v>
      </c>
      <c r="E17" s="136">
        <f t="shared" si="2"/>
        <v>0</v>
      </c>
      <c r="F17" s="167">
        <f t="shared" si="2"/>
        <v>268799.54</v>
      </c>
      <c r="G17" s="153">
        <f t="shared" si="2"/>
        <v>0</v>
      </c>
      <c r="H17" s="113">
        <f t="shared" si="2"/>
        <v>0</v>
      </c>
      <c r="I17" s="136">
        <f t="shared" si="2"/>
        <v>248414.83</v>
      </c>
      <c r="J17" s="152">
        <f t="shared" si="2"/>
        <v>0</v>
      </c>
      <c r="K17" s="113">
        <f t="shared" si="2"/>
        <v>0</v>
      </c>
      <c r="L17" s="136">
        <f t="shared" si="2"/>
        <v>248414.83</v>
      </c>
      <c r="M17" s="112">
        <f t="shared" si="2"/>
        <v>0</v>
      </c>
      <c r="N17" s="112">
        <f t="shared" si="2"/>
        <v>0</v>
      </c>
      <c r="O17" s="112">
        <f t="shared" si="2"/>
        <v>248414.83</v>
      </c>
      <c r="P17" s="112">
        <f t="shared" si="2"/>
        <v>0</v>
      </c>
      <c r="Q17" s="240">
        <f t="shared" si="2"/>
        <v>248414.83</v>
      </c>
    </row>
    <row r="18" spans="1:17" ht="10.5" customHeight="1">
      <c r="A18" s="33" t="s">
        <v>20</v>
      </c>
      <c r="B18" s="91"/>
      <c r="C18" s="152"/>
      <c r="D18" s="113"/>
      <c r="E18" s="136"/>
      <c r="F18" s="167"/>
      <c r="G18" s="137"/>
      <c r="H18" s="6"/>
      <c r="I18" s="69"/>
      <c r="J18" s="224"/>
      <c r="K18" s="6"/>
      <c r="L18" s="69"/>
      <c r="M18" s="20"/>
      <c r="N18" s="6"/>
      <c r="O18" s="21"/>
      <c r="P18" s="81"/>
      <c r="Q18" s="79"/>
    </row>
    <row r="19" spans="1:17" ht="12.75">
      <c r="A19" s="34" t="s">
        <v>21</v>
      </c>
      <c r="B19" s="92"/>
      <c r="C19" s="145">
        <v>6000</v>
      </c>
      <c r="D19" s="114"/>
      <c r="E19" s="160"/>
      <c r="F19" s="189">
        <f>C19+D19+E19</f>
        <v>6000</v>
      </c>
      <c r="G19" s="87"/>
      <c r="H19" s="7"/>
      <c r="I19" s="73">
        <f>F19+G19+H19</f>
        <v>6000</v>
      </c>
      <c r="J19" s="28"/>
      <c r="K19" s="7"/>
      <c r="L19" s="73">
        <f>I19+J19+K19</f>
        <v>6000</v>
      </c>
      <c r="M19" s="22"/>
      <c r="N19" s="7"/>
      <c r="O19" s="23">
        <f>L19+M19+N19</f>
        <v>6000</v>
      </c>
      <c r="P19" s="81"/>
      <c r="Q19" s="79">
        <f t="shared" si="1"/>
        <v>6000</v>
      </c>
    </row>
    <row r="20" spans="1:17" ht="12.75">
      <c r="A20" s="99" t="s">
        <v>263</v>
      </c>
      <c r="B20" s="92"/>
      <c r="C20" s="145"/>
      <c r="D20" s="114">
        <f>213.18+5241.84+3126.66</f>
        <v>8581.68</v>
      </c>
      <c r="E20" s="160"/>
      <c r="F20" s="189">
        <f aca="true" t="shared" si="3" ref="F20:F32">C20+D20+E20</f>
        <v>8581.68</v>
      </c>
      <c r="G20" s="87"/>
      <c r="H20" s="7"/>
      <c r="I20" s="73">
        <f>F20+G20+H20</f>
        <v>8581.68</v>
      </c>
      <c r="J20" s="28"/>
      <c r="K20" s="7"/>
      <c r="L20" s="73">
        <f>I20+J20+K20</f>
        <v>8581.68</v>
      </c>
      <c r="M20" s="22"/>
      <c r="N20" s="7"/>
      <c r="O20" s="23">
        <f>L20+M20+N20</f>
        <v>8581.68</v>
      </c>
      <c r="P20" s="81"/>
      <c r="Q20" s="79">
        <f t="shared" si="1"/>
        <v>8581.68</v>
      </c>
    </row>
    <row r="21" spans="1:17" ht="12.75">
      <c r="A21" s="99" t="s">
        <v>269</v>
      </c>
      <c r="B21" s="92"/>
      <c r="C21" s="145">
        <v>30000</v>
      </c>
      <c r="D21" s="114">
        <f>-30000</f>
        <v>-30000</v>
      </c>
      <c r="E21" s="160"/>
      <c r="F21" s="189">
        <f t="shared" si="3"/>
        <v>0</v>
      </c>
      <c r="G21" s="87"/>
      <c r="H21" s="7"/>
      <c r="I21" s="73">
        <f>F21+G21+H21</f>
        <v>0</v>
      </c>
      <c r="J21" s="28"/>
      <c r="K21" s="7"/>
      <c r="L21" s="73">
        <f>I21+J21+K21</f>
        <v>0</v>
      </c>
      <c r="M21" s="22"/>
      <c r="N21" s="7"/>
      <c r="O21" s="23">
        <f>L21+M21+N21</f>
        <v>0</v>
      </c>
      <c r="P21" s="81"/>
      <c r="Q21" s="79">
        <f t="shared" si="1"/>
        <v>0</v>
      </c>
    </row>
    <row r="22" spans="1:17" ht="12.75">
      <c r="A22" s="35" t="s">
        <v>264</v>
      </c>
      <c r="B22" s="93"/>
      <c r="C22" s="145">
        <v>121834.08</v>
      </c>
      <c r="D22" s="114"/>
      <c r="E22" s="160"/>
      <c r="F22" s="189">
        <f t="shared" si="3"/>
        <v>121834.08</v>
      </c>
      <c r="G22" s="87"/>
      <c r="H22" s="7"/>
      <c r="I22" s="73">
        <f>F22+G22+H22</f>
        <v>121834.08</v>
      </c>
      <c r="J22" s="28"/>
      <c r="K22" s="7"/>
      <c r="L22" s="73">
        <f>I22+J22+K22</f>
        <v>121834.08</v>
      </c>
      <c r="M22" s="22"/>
      <c r="N22" s="7"/>
      <c r="O22" s="23">
        <f>L22+M22+N22</f>
        <v>121834.08</v>
      </c>
      <c r="P22" s="81"/>
      <c r="Q22" s="79">
        <f t="shared" si="1"/>
        <v>121834.08</v>
      </c>
    </row>
    <row r="23" spans="1:17" ht="12.75" hidden="1">
      <c r="A23" s="35" t="s">
        <v>265</v>
      </c>
      <c r="B23" s="93"/>
      <c r="C23" s="145"/>
      <c r="D23" s="114"/>
      <c r="E23" s="160"/>
      <c r="F23" s="189">
        <f t="shared" si="3"/>
        <v>0</v>
      </c>
      <c r="G23" s="87"/>
      <c r="H23" s="7"/>
      <c r="I23" s="73"/>
      <c r="J23" s="28"/>
      <c r="K23" s="7"/>
      <c r="L23" s="73"/>
      <c r="M23" s="22"/>
      <c r="N23" s="7"/>
      <c r="O23" s="23"/>
      <c r="P23" s="81"/>
      <c r="Q23" s="79"/>
    </row>
    <row r="24" spans="1:17" ht="12.75">
      <c r="A24" s="35" t="s">
        <v>266</v>
      </c>
      <c r="B24" s="93"/>
      <c r="C24" s="145"/>
      <c r="D24" s="114">
        <f>69.49+2718.44+50.49+432.1+127.5+46.95+16.23+160.66</f>
        <v>3621.859999999999</v>
      </c>
      <c r="E24" s="160"/>
      <c r="F24" s="189">
        <f t="shared" si="3"/>
        <v>3621.859999999999</v>
      </c>
      <c r="G24" s="87"/>
      <c r="H24" s="7"/>
      <c r="I24" s="73">
        <f>F24+G24+H24</f>
        <v>3621.859999999999</v>
      </c>
      <c r="J24" s="28"/>
      <c r="K24" s="7"/>
      <c r="L24" s="73">
        <f>I24+J24+K24</f>
        <v>3621.859999999999</v>
      </c>
      <c r="M24" s="31"/>
      <c r="N24" s="7"/>
      <c r="O24" s="23">
        <f>L24+M24+N24</f>
        <v>3621.859999999999</v>
      </c>
      <c r="P24" s="81"/>
      <c r="Q24" s="79">
        <f t="shared" si="1"/>
        <v>3621.859999999999</v>
      </c>
    </row>
    <row r="25" spans="1:17" ht="12.75">
      <c r="A25" s="34" t="s">
        <v>22</v>
      </c>
      <c r="B25" s="92"/>
      <c r="C25" s="145">
        <f>SUM(C26:C31)</f>
        <v>108249.51000000001</v>
      </c>
      <c r="D25" s="114">
        <f>SUM(D26:D31)</f>
        <v>127.7</v>
      </c>
      <c r="E25" s="160">
        <f aca="true" t="shared" si="4" ref="E25:Q25">SUM(E26:E31)</f>
        <v>0</v>
      </c>
      <c r="F25" s="189">
        <f t="shared" si="4"/>
        <v>108377.20999999999</v>
      </c>
      <c r="G25" s="146">
        <f t="shared" si="4"/>
        <v>0</v>
      </c>
      <c r="H25" s="114">
        <f t="shared" si="4"/>
        <v>0</v>
      </c>
      <c r="I25" s="160">
        <f t="shared" si="4"/>
        <v>108377.20999999999</v>
      </c>
      <c r="J25" s="145">
        <f t="shared" si="4"/>
        <v>0</v>
      </c>
      <c r="K25" s="114">
        <f t="shared" si="4"/>
        <v>0</v>
      </c>
      <c r="L25" s="160">
        <f t="shared" si="4"/>
        <v>108377.20999999999</v>
      </c>
      <c r="M25" s="115">
        <f t="shared" si="4"/>
        <v>0</v>
      </c>
      <c r="N25" s="115">
        <f t="shared" si="4"/>
        <v>0</v>
      </c>
      <c r="O25" s="115">
        <f t="shared" si="4"/>
        <v>108377.20999999999</v>
      </c>
      <c r="P25" s="115">
        <f t="shared" si="4"/>
        <v>0</v>
      </c>
      <c r="Q25" s="241">
        <f t="shared" si="4"/>
        <v>108377.20999999999</v>
      </c>
    </row>
    <row r="26" spans="1:17" ht="12.75">
      <c r="A26" s="34" t="s">
        <v>23</v>
      </c>
      <c r="B26" s="92"/>
      <c r="C26" s="145">
        <v>44302</v>
      </c>
      <c r="D26" s="114">
        <f>127.7</f>
        <v>127.7</v>
      </c>
      <c r="E26" s="160"/>
      <c r="F26" s="189">
        <f t="shared" si="3"/>
        <v>44429.7</v>
      </c>
      <c r="G26" s="87"/>
      <c r="H26" s="7"/>
      <c r="I26" s="73">
        <f aca="true" t="shared" si="5" ref="I26:I31">F26+G26+H26</f>
        <v>44429.7</v>
      </c>
      <c r="J26" s="28"/>
      <c r="K26" s="7"/>
      <c r="L26" s="73">
        <f aca="true" t="shared" si="6" ref="L26:L31">I26+J26+K26</f>
        <v>44429.7</v>
      </c>
      <c r="M26" s="22"/>
      <c r="N26" s="7"/>
      <c r="O26" s="23">
        <f aca="true" t="shared" si="7" ref="O26:O31">L26+M26+N26</f>
        <v>44429.7</v>
      </c>
      <c r="P26" s="81"/>
      <c r="Q26" s="79">
        <f t="shared" si="1"/>
        <v>44429.7</v>
      </c>
    </row>
    <row r="27" spans="1:17" ht="12.75">
      <c r="A27" s="35" t="s">
        <v>148</v>
      </c>
      <c r="B27" s="93"/>
      <c r="C27" s="145">
        <v>899.66</v>
      </c>
      <c r="D27" s="114"/>
      <c r="E27" s="160"/>
      <c r="F27" s="189">
        <f t="shared" si="3"/>
        <v>899.66</v>
      </c>
      <c r="G27" s="87"/>
      <c r="H27" s="7"/>
      <c r="I27" s="73">
        <f t="shared" si="5"/>
        <v>899.66</v>
      </c>
      <c r="J27" s="28"/>
      <c r="K27" s="7"/>
      <c r="L27" s="73">
        <f t="shared" si="6"/>
        <v>899.66</v>
      </c>
      <c r="M27" s="22"/>
      <c r="N27" s="7"/>
      <c r="O27" s="23">
        <f t="shared" si="7"/>
        <v>899.66</v>
      </c>
      <c r="P27" s="81"/>
      <c r="Q27" s="79">
        <f t="shared" si="1"/>
        <v>899.66</v>
      </c>
    </row>
    <row r="28" spans="1:17" ht="12.75">
      <c r="A28" s="34" t="s">
        <v>24</v>
      </c>
      <c r="B28" s="92"/>
      <c r="C28" s="145">
        <v>23039</v>
      </c>
      <c r="D28" s="114"/>
      <c r="E28" s="160"/>
      <c r="F28" s="189">
        <f t="shared" si="3"/>
        <v>23039</v>
      </c>
      <c r="G28" s="87"/>
      <c r="H28" s="7"/>
      <c r="I28" s="73">
        <f t="shared" si="5"/>
        <v>23039</v>
      </c>
      <c r="J28" s="28"/>
      <c r="K28" s="7"/>
      <c r="L28" s="73">
        <f t="shared" si="6"/>
        <v>23039</v>
      </c>
      <c r="M28" s="22"/>
      <c r="N28" s="7"/>
      <c r="O28" s="23">
        <f t="shared" si="7"/>
        <v>23039</v>
      </c>
      <c r="P28" s="81"/>
      <c r="Q28" s="79">
        <f t="shared" si="1"/>
        <v>23039</v>
      </c>
    </row>
    <row r="29" spans="1:17" ht="12.75">
      <c r="A29" s="35" t="s">
        <v>149</v>
      </c>
      <c r="B29" s="93"/>
      <c r="C29" s="145">
        <v>9557.2</v>
      </c>
      <c r="D29" s="114"/>
      <c r="E29" s="160"/>
      <c r="F29" s="189">
        <f t="shared" si="3"/>
        <v>9557.2</v>
      </c>
      <c r="G29" s="87"/>
      <c r="H29" s="7"/>
      <c r="I29" s="73">
        <f t="shared" si="5"/>
        <v>9557.2</v>
      </c>
      <c r="J29" s="28"/>
      <c r="K29" s="7"/>
      <c r="L29" s="73">
        <f t="shared" si="6"/>
        <v>9557.2</v>
      </c>
      <c r="M29" s="22"/>
      <c r="N29" s="7"/>
      <c r="O29" s="23">
        <f t="shared" si="7"/>
        <v>9557.2</v>
      </c>
      <c r="P29" s="81"/>
      <c r="Q29" s="79">
        <f t="shared" si="1"/>
        <v>9557.2</v>
      </c>
    </row>
    <row r="30" spans="1:17" ht="12.75">
      <c r="A30" s="35" t="s">
        <v>249</v>
      </c>
      <c r="B30" s="93"/>
      <c r="C30" s="145">
        <v>512.75</v>
      </c>
      <c r="D30" s="114"/>
      <c r="E30" s="160"/>
      <c r="F30" s="189">
        <f t="shared" si="3"/>
        <v>512.75</v>
      </c>
      <c r="G30" s="87"/>
      <c r="H30" s="7"/>
      <c r="I30" s="73">
        <f t="shared" si="5"/>
        <v>512.75</v>
      </c>
      <c r="J30" s="28"/>
      <c r="K30" s="7"/>
      <c r="L30" s="73">
        <f t="shared" si="6"/>
        <v>512.75</v>
      </c>
      <c r="M30" s="22"/>
      <c r="N30" s="7"/>
      <c r="O30" s="23">
        <f t="shared" si="7"/>
        <v>512.75</v>
      </c>
      <c r="P30" s="81"/>
      <c r="Q30" s="79">
        <f t="shared" si="1"/>
        <v>512.75</v>
      </c>
    </row>
    <row r="31" spans="1:17" ht="12.75">
      <c r="A31" s="35" t="s">
        <v>150</v>
      </c>
      <c r="B31" s="93"/>
      <c r="C31" s="145">
        <v>29938.9</v>
      </c>
      <c r="D31" s="114"/>
      <c r="E31" s="160"/>
      <c r="F31" s="189">
        <f t="shared" si="3"/>
        <v>29938.9</v>
      </c>
      <c r="G31" s="87"/>
      <c r="H31" s="7"/>
      <c r="I31" s="73">
        <f t="shared" si="5"/>
        <v>29938.9</v>
      </c>
      <c r="J31" s="28"/>
      <c r="K31" s="7"/>
      <c r="L31" s="73">
        <f t="shared" si="6"/>
        <v>29938.9</v>
      </c>
      <c r="M31" s="22"/>
      <c r="N31" s="7"/>
      <c r="O31" s="23">
        <f t="shared" si="7"/>
        <v>29938.9</v>
      </c>
      <c r="P31" s="81"/>
      <c r="Q31" s="79">
        <f>O31+P31</f>
        <v>29938.9</v>
      </c>
    </row>
    <row r="32" spans="1:17" ht="12.75">
      <c r="A32" s="35" t="s">
        <v>192</v>
      </c>
      <c r="B32" s="93"/>
      <c r="C32" s="145"/>
      <c r="D32" s="142">
        <f>725.52+16001.9+1847.46+821.71+940.71+47.41</f>
        <v>20384.709999999995</v>
      </c>
      <c r="E32" s="160"/>
      <c r="F32" s="189">
        <f t="shared" si="3"/>
        <v>20384.709999999995</v>
      </c>
      <c r="G32" s="242"/>
      <c r="H32" s="223"/>
      <c r="I32" s="242"/>
      <c r="J32" s="242"/>
      <c r="K32" s="223"/>
      <c r="L32" s="242"/>
      <c r="M32" s="242"/>
      <c r="N32" s="242"/>
      <c r="O32" s="242"/>
      <c r="P32" s="242"/>
      <c r="Q32" s="78"/>
    </row>
    <row r="33" spans="1:17" ht="12.75" hidden="1">
      <c r="A33" s="36" t="s">
        <v>225</v>
      </c>
      <c r="B33" s="94"/>
      <c r="C33" s="139">
        <f>SUM(C35:C39)</f>
        <v>0</v>
      </c>
      <c r="D33" s="117">
        <f aca="true" t="shared" si="8" ref="D33:Q33">SUM(D35:D39)</f>
        <v>0</v>
      </c>
      <c r="E33" s="161">
        <f t="shared" si="8"/>
        <v>0</v>
      </c>
      <c r="F33" s="190">
        <f t="shared" si="8"/>
        <v>0</v>
      </c>
      <c r="G33" s="140">
        <f t="shared" si="8"/>
        <v>0</v>
      </c>
      <c r="H33" s="117">
        <f t="shared" si="8"/>
        <v>0</v>
      </c>
      <c r="I33" s="161">
        <f t="shared" si="8"/>
        <v>0</v>
      </c>
      <c r="J33" s="139">
        <f t="shared" si="8"/>
        <v>0</v>
      </c>
      <c r="K33" s="117">
        <f t="shared" si="8"/>
        <v>0</v>
      </c>
      <c r="L33" s="161">
        <f t="shared" si="8"/>
        <v>0</v>
      </c>
      <c r="M33" s="116">
        <f t="shared" si="8"/>
        <v>0</v>
      </c>
      <c r="N33" s="116">
        <f t="shared" si="8"/>
        <v>0</v>
      </c>
      <c r="O33" s="116">
        <f t="shared" si="8"/>
        <v>0</v>
      </c>
      <c r="P33" s="116">
        <f t="shared" si="8"/>
        <v>0</v>
      </c>
      <c r="Q33" s="243">
        <f t="shared" si="8"/>
        <v>0</v>
      </c>
    </row>
    <row r="34" spans="1:17" ht="11.25" customHeight="1" hidden="1">
      <c r="A34" s="33" t="s">
        <v>20</v>
      </c>
      <c r="B34" s="91"/>
      <c r="C34" s="145"/>
      <c r="D34" s="114"/>
      <c r="E34" s="160"/>
      <c r="F34" s="189"/>
      <c r="G34" s="87"/>
      <c r="H34" s="7"/>
      <c r="I34" s="73"/>
      <c r="J34" s="28"/>
      <c r="K34" s="7"/>
      <c r="L34" s="73"/>
      <c r="M34" s="22"/>
      <c r="N34" s="7"/>
      <c r="O34" s="23"/>
      <c r="P34" s="81"/>
      <c r="Q34" s="79"/>
    </row>
    <row r="35" spans="1:17" ht="12.75" hidden="1">
      <c r="A35" s="99" t="s">
        <v>111</v>
      </c>
      <c r="B35" s="92"/>
      <c r="C35" s="145"/>
      <c r="D35" s="114"/>
      <c r="E35" s="160"/>
      <c r="F35" s="189">
        <f>C35+D35+E35</f>
        <v>0</v>
      </c>
      <c r="G35" s="87"/>
      <c r="H35" s="7"/>
      <c r="I35" s="73">
        <f>F35+G35+H35</f>
        <v>0</v>
      </c>
      <c r="J35" s="28"/>
      <c r="K35" s="7"/>
      <c r="L35" s="73">
        <f>I35+J35+K35</f>
        <v>0</v>
      </c>
      <c r="M35" s="22"/>
      <c r="N35" s="7"/>
      <c r="O35" s="23">
        <f>L35+M35+N35</f>
        <v>0</v>
      </c>
      <c r="P35" s="81"/>
      <c r="Q35" s="79">
        <f t="shared" si="1"/>
        <v>0</v>
      </c>
    </row>
    <row r="36" spans="1:17" ht="12.75" hidden="1">
      <c r="A36" s="35" t="s">
        <v>106</v>
      </c>
      <c r="B36" s="93"/>
      <c r="C36" s="145"/>
      <c r="D36" s="114"/>
      <c r="E36" s="160"/>
      <c r="F36" s="189">
        <f>C36+D36+E36</f>
        <v>0</v>
      </c>
      <c r="G36" s="87"/>
      <c r="H36" s="7"/>
      <c r="I36" s="73">
        <f>F36+G36+H36</f>
        <v>0</v>
      </c>
      <c r="J36" s="225"/>
      <c r="K36" s="7"/>
      <c r="L36" s="73">
        <f>I36+J36+K36</f>
        <v>0</v>
      </c>
      <c r="M36" s="31"/>
      <c r="N36" s="7"/>
      <c r="O36" s="23">
        <f>L36+M36+N36</f>
        <v>0</v>
      </c>
      <c r="P36" s="81"/>
      <c r="Q36" s="79">
        <f t="shared" si="1"/>
        <v>0</v>
      </c>
    </row>
    <row r="37" spans="1:17" ht="12.75" hidden="1">
      <c r="A37" s="35" t="s">
        <v>109</v>
      </c>
      <c r="B37" s="93"/>
      <c r="C37" s="145"/>
      <c r="D37" s="114"/>
      <c r="E37" s="160"/>
      <c r="F37" s="189">
        <f>C37+D37+E37</f>
        <v>0</v>
      </c>
      <c r="G37" s="87"/>
      <c r="H37" s="7"/>
      <c r="I37" s="73"/>
      <c r="J37" s="225"/>
      <c r="K37" s="7"/>
      <c r="L37" s="73"/>
      <c r="M37" s="31"/>
      <c r="N37" s="7"/>
      <c r="O37" s="23"/>
      <c r="P37" s="81"/>
      <c r="Q37" s="79"/>
    </row>
    <row r="38" spans="1:17" ht="12.75" hidden="1">
      <c r="A38" s="35" t="s">
        <v>116</v>
      </c>
      <c r="B38" s="93"/>
      <c r="C38" s="145"/>
      <c r="D38" s="114"/>
      <c r="E38" s="160"/>
      <c r="F38" s="189">
        <f>C38+D38+E38</f>
        <v>0</v>
      </c>
      <c r="G38" s="87"/>
      <c r="H38" s="7"/>
      <c r="I38" s="73">
        <f>F38+G38+H38</f>
        <v>0</v>
      </c>
      <c r="J38" s="225"/>
      <c r="K38" s="7"/>
      <c r="L38" s="73">
        <f>I38+J38+K38</f>
        <v>0</v>
      </c>
      <c r="M38" s="31"/>
      <c r="N38" s="7"/>
      <c r="O38" s="23">
        <f>L38+M38+N38</f>
        <v>0</v>
      </c>
      <c r="P38" s="81"/>
      <c r="Q38" s="79">
        <f t="shared" si="1"/>
        <v>0</v>
      </c>
    </row>
    <row r="39" spans="1:17" ht="12.75" hidden="1">
      <c r="A39" s="99" t="s">
        <v>250</v>
      </c>
      <c r="B39" s="92"/>
      <c r="C39" s="145">
        <v>0</v>
      </c>
      <c r="D39" s="114"/>
      <c r="E39" s="160"/>
      <c r="F39" s="189">
        <f>C39+D39+E39</f>
        <v>0</v>
      </c>
      <c r="G39" s="87"/>
      <c r="H39" s="7"/>
      <c r="I39" s="73">
        <f>F39+G39+H39</f>
        <v>0</v>
      </c>
      <c r="J39" s="28"/>
      <c r="K39" s="7"/>
      <c r="L39" s="73">
        <f>I39+J39+K39</f>
        <v>0</v>
      </c>
      <c r="M39" s="22"/>
      <c r="N39" s="7"/>
      <c r="O39" s="23">
        <f>L39+M39+N39</f>
        <v>0</v>
      </c>
      <c r="P39" s="81"/>
      <c r="Q39" s="79">
        <f t="shared" si="1"/>
        <v>0</v>
      </c>
    </row>
    <row r="40" spans="1:17" ht="12.75">
      <c r="A40" s="36" t="s">
        <v>226</v>
      </c>
      <c r="B40" s="92"/>
      <c r="C40" s="145"/>
      <c r="D40" s="114"/>
      <c r="E40" s="160"/>
      <c r="F40" s="189"/>
      <c r="G40" s="87"/>
      <c r="H40" s="7"/>
      <c r="I40" s="73"/>
      <c r="J40" s="28"/>
      <c r="K40" s="7"/>
      <c r="L40" s="73"/>
      <c r="M40" s="22"/>
      <c r="N40" s="7"/>
      <c r="O40" s="23"/>
      <c r="P40" s="81"/>
      <c r="Q40" s="79"/>
    </row>
    <row r="41" spans="1:17" ht="12.75">
      <c r="A41" s="32" t="s">
        <v>25</v>
      </c>
      <c r="B41" s="90"/>
      <c r="C41" s="152">
        <f>SUM(C43:C62)</f>
        <v>101226.4</v>
      </c>
      <c r="D41" s="113">
        <f aca="true" t="shared" si="9" ref="D41:Q41">SUM(D43:D62)</f>
        <v>9465761.450000001</v>
      </c>
      <c r="E41" s="136">
        <f t="shared" si="9"/>
        <v>0</v>
      </c>
      <c r="F41" s="167">
        <f t="shared" si="9"/>
        <v>9566987.850000001</v>
      </c>
      <c r="G41" s="153">
        <f t="shared" si="9"/>
        <v>0</v>
      </c>
      <c r="H41" s="113">
        <f t="shared" si="9"/>
        <v>0</v>
      </c>
      <c r="I41" s="136">
        <f t="shared" si="9"/>
        <v>9528536.38</v>
      </c>
      <c r="J41" s="152">
        <f t="shared" si="9"/>
        <v>0</v>
      </c>
      <c r="K41" s="113">
        <f t="shared" si="9"/>
        <v>0</v>
      </c>
      <c r="L41" s="136">
        <f t="shared" si="9"/>
        <v>9528536.38</v>
      </c>
      <c r="M41" s="112">
        <f t="shared" si="9"/>
        <v>0</v>
      </c>
      <c r="N41" s="112">
        <f t="shared" si="9"/>
        <v>0</v>
      </c>
      <c r="O41" s="112">
        <f t="shared" si="9"/>
        <v>9528536.38</v>
      </c>
      <c r="P41" s="112">
        <f t="shared" si="9"/>
        <v>0</v>
      </c>
      <c r="Q41" s="240">
        <f t="shared" si="9"/>
        <v>9528536.38</v>
      </c>
    </row>
    <row r="42" spans="1:17" ht="10.5" customHeight="1">
      <c r="A42" s="37" t="s">
        <v>26</v>
      </c>
      <c r="B42" s="95"/>
      <c r="C42" s="145"/>
      <c r="D42" s="114"/>
      <c r="E42" s="160"/>
      <c r="F42" s="189"/>
      <c r="G42" s="87"/>
      <c r="H42" s="7"/>
      <c r="I42" s="73"/>
      <c r="J42" s="28"/>
      <c r="K42" s="7"/>
      <c r="L42" s="73"/>
      <c r="M42" s="22"/>
      <c r="N42" s="7"/>
      <c r="O42" s="23"/>
      <c r="P42" s="81"/>
      <c r="Q42" s="79"/>
    </row>
    <row r="43" spans="1:17" ht="12.75">
      <c r="A43" s="35" t="s">
        <v>27</v>
      </c>
      <c r="B43" s="93"/>
      <c r="C43" s="145">
        <v>100976.4</v>
      </c>
      <c r="D43" s="114"/>
      <c r="E43" s="160"/>
      <c r="F43" s="189">
        <f aca="true" t="shared" si="10" ref="F43:F62">C43+D43+E43</f>
        <v>100976.4</v>
      </c>
      <c r="G43" s="87"/>
      <c r="H43" s="7"/>
      <c r="I43" s="73">
        <f>F43+G43+H43</f>
        <v>100976.4</v>
      </c>
      <c r="J43" s="28"/>
      <c r="K43" s="7"/>
      <c r="L43" s="73">
        <f>I43+J43+K43</f>
        <v>100976.4</v>
      </c>
      <c r="M43" s="22"/>
      <c r="N43" s="7"/>
      <c r="O43" s="23">
        <f>L43+M43+N43</f>
        <v>100976.4</v>
      </c>
      <c r="P43" s="81"/>
      <c r="Q43" s="79">
        <f t="shared" si="1"/>
        <v>100976.4</v>
      </c>
    </row>
    <row r="44" spans="1:17" ht="12.75">
      <c r="A44" s="35" t="s">
        <v>28</v>
      </c>
      <c r="B44" s="93"/>
      <c r="C44" s="145"/>
      <c r="D44" s="114">
        <f>65.31+3.5+59.04+89.73+48+59.26+24+22.5+24+15</f>
        <v>410.34</v>
      </c>
      <c r="E44" s="160"/>
      <c r="F44" s="189">
        <f t="shared" si="10"/>
        <v>410.34</v>
      </c>
      <c r="G44" s="87"/>
      <c r="H44" s="7"/>
      <c r="I44" s="73">
        <f aca="true" t="shared" si="11" ref="I44:I61">F44+G44+H44</f>
        <v>410.34</v>
      </c>
      <c r="J44" s="28"/>
      <c r="K44" s="7"/>
      <c r="L44" s="73">
        <f aca="true" t="shared" si="12" ref="L44:L62">I44+J44+K44</f>
        <v>410.34</v>
      </c>
      <c r="M44" s="22"/>
      <c r="N44" s="7"/>
      <c r="O44" s="23">
        <f aca="true" t="shared" si="13" ref="O44:O62">L44+M44+N44</f>
        <v>410.34</v>
      </c>
      <c r="P44" s="81"/>
      <c r="Q44" s="79">
        <f t="shared" si="1"/>
        <v>410.34</v>
      </c>
    </row>
    <row r="45" spans="1:17" ht="12.75">
      <c r="A45" s="35" t="s">
        <v>29</v>
      </c>
      <c r="B45" s="93"/>
      <c r="C45" s="145"/>
      <c r="D45" s="114">
        <f>100779.32+10991.83+8106896.7+4982.3+1658.34+1744.74</f>
        <v>8227053.23</v>
      </c>
      <c r="E45" s="160"/>
      <c r="F45" s="189">
        <f t="shared" si="10"/>
        <v>8227053.23</v>
      </c>
      <c r="G45" s="87"/>
      <c r="H45" s="7"/>
      <c r="I45" s="73">
        <f t="shared" si="11"/>
        <v>8227053.23</v>
      </c>
      <c r="J45" s="28"/>
      <c r="K45" s="7"/>
      <c r="L45" s="73">
        <f t="shared" si="12"/>
        <v>8227053.23</v>
      </c>
      <c r="M45" s="22"/>
      <c r="N45" s="7"/>
      <c r="O45" s="23">
        <f t="shared" si="13"/>
        <v>8227053.23</v>
      </c>
      <c r="P45" s="81"/>
      <c r="Q45" s="79">
        <f t="shared" si="1"/>
        <v>8227053.23</v>
      </c>
    </row>
    <row r="46" spans="1:17" ht="12.75">
      <c r="A46" s="35" t="s">
        <v>30</v>
      </c>
      <c r="B46" s="93"/>
      <c r="C46" s="145"/>
      <c r="D46" s="114">
        <f>1738.53+960818.68+2217.64+7000</f>
        <v>971774.8500000001</v>
      </c>
      <c r="E46" s="160"/>
      <c r="F46" s="189">
        <f t="shared" si="10"/>
        <v>971774.8500000001</v>
      </c>
      <c r="G46" s="87"/>
      <c r="H46" s="7"/>
      <c r="I46" s="73">
        <f t="shared" si="11"/>
        <v>971774.8500000001</v>
      </c>
      <c r="J46" s="28"/>
      <c r="K46" s="7"/>
      <c r="L46" s="73">
        <f t="shared" si="12"/>
        <v>971774.8500000001</v>
      </c>
      <c r="M46" s="22"/>
      <c r="N46" s="7"/>
      <c r="O46" s="23">
        <f t="shared" si="13"/>
        <v>971774.8500000001</v>
      </c>
      <c r="P46" s="81"/>
      <c r="Q46" s="79">
        <f t="shared" si="1"/>
        <v>971774.8500000001</v>
      </c>
    </row>
    <row r="47" spans="1:17" ht="12.75">
      <c r="A47" s="35" t="s">
        <v>31</v>
      </c>
      <c r="B47" s="93"/>
      <c r="C47" s="145"/>
      <c r="D47" s="114">
        <f>558.14+13.91</f>
        <v>572.05</v>
      </c>
      <c r="E47" s="160"/>
      <c r="F47" s="189">
        <f t="shared" si="10"/>
        <v>572.05</v>
      </c>
      <c r="G47" s="87"/>
      <c r="H47" s="7"/>
      <c r="I47" s="73">
        <f t="shared" si="11"/>
        <v>572.05</v>
      </c>
      <c r="J47" s="28"/>
      <c r="K47" s="7"/>
      <c r="L47" s="73">
        <f t="shared" si="12"/>
        <v>572.05</v>
      </c>
      <c r="M47" s="22"/>
      <c r="N47" s="7"/>
      <c r="O47" s="23">
        <f t="shared" si="13"/>
        <v>572.05</v>
      </c>
      <c r="P47" s="81"/>
      <c r="Q47" s="79">
        <f t="shared" si="1"/>
        <v>572.05</v>
      </c>
    </row>
    <row r="48" spans="1:17" ht="12.75" hidden="1">
      <c r="A48" s="35" t="s">
        <v>32</v>
      </c>
      <c r="B48" s="93"/>
      <c r="C48" s="145"/>
      <c r="D48" s="114"/>
      <c r="E48" s="160"/>
      <c r="F48" s="189">
        <f t="shared" si="10"/>
        <v>0</v>
      </c>
      <c r="G48" s="87"/>
      <c r="H48" s="7"/>
      <c r="I48" s="73">
        <f t="shared" si="11"/>
        <v>0</v>
      </c>
      <c r="J48" s="28"/>
      <c r="K48" s="7"/>
      <c r="L48" s="73">
        <f t="shared" si="12"/>
        <v>0</v>
      </c>
      <c r="M48" s="22"/>
      <c r="N48" s="7"/>
      <c r="O48" s="23">
        <f t="shared" si="13"/>
        <v>0</v>
      </c>
      <c r="P48" s="81"/>
      <c r="Q48" s="79">
        <f t="shared" si="1"/>
        <v>0</v>
      </c>
    </row>
    <row r="49" spans="1:17" ht="12.75" hidden="1">
      <c r="A49" s="35" t="s">
        <v>33</v>
      </c>
      <c r="B49" s="93"/>
      <c r="C49" s="145"/>
      <c r="D49" s="114"/>
      <c r="E49" s="160"/>
      <c r="F49" s="189">
        <f t="shared" si="10"/>
        <v>0</v>
      </c>
      <c r="G49" s="87"/>
      <c r="H49" s="7"/>
      <c r="I49" s="73">
        <f t="shared" si="11"/>
        <v>0</v>
      </c>
      <c r="J49" s="28"/>
      <c r="K49" s="7"/>
      <c r="L49" s="73">
        <f t="shared" si="12"/>
        <v>0</v>
      </c>
      <c r="M49" s="22"/>
      <c r="N49" s="7"/>
      <c r="O49" s="23">
        <f t="shared" si="13"/>
        <v>0</v>
      </c>
      <c r="P49" s="81"/>
      <c r="Q49" s="79">
        <f t="shared" si="1"/>
        <v>0</v>
      </c>
    </row>
    <row r="50" spans="1:17" ht="12.75">
      <c r="A50" s="35" t="s">
        <v>34</v>
      </c>
      <c r="B50" s="93"/>
      <c r="C50" s="145"/>
      <c r="D50" s="114">
        <f>1645+1275</f>
        <v>2920</v>
      </c>
      <c r="E50" s="160"/>
      <c r="F50" s="189">
        <f t="shared" si="10"/>
        <v>2920</v>
      </c>
      <c r="G50" s="87"/>
      <c r="H50" s="7"/>
      <c r="I50" s="73">
        <f t="shared" si="11"/>
        <v>2920</v>
      </c>
      <c r="J50" s="28"/>
      <c r="K50" s="7"/>
      <c r="L50" s="73">
        <f t="shared" si="12"/>
        <v>2920</v>
      </c>
      <c r="M50" s="22"/>
      <c r="N50" s="7"/>
      <c r="O50" s="23">
        <f t="shared" si="13"/>
        <v>2920</v>
      </c>
      <c r="P50" s="81"/>
      <c r="Q50" s="79">
        <f t="shared" si="1"/>
        <v>2920</v>
      </c>
    </row>
    <row r="51" spans="1:17" ht="12.75">
      <c r="A51" s="35" t="s">
        <v>141</v>
      </c>
      <c r="B51" s="93"/>
      <c r="C51" s="145"/>
      <c r="D51" s="114">
        <f>223545.15</f>
        <v>223545.15</v>
      </c>
      <c r="E51" s="160"/>
      <c r="F51" s="189">
        <f t="shared" si="10"/>
        <v>223545.15</v>
      </c>
      <c r="G51" s="87"/>
      <c r="H51" s="7"/>
      <c r="I51" s="73">
        <f t="shared" si="11"/>
        <v>223545.15</v>
      </c>
      <c r="J51" s="28"/>
      <c r="K51" s="7"/>
      <c r="L51" s="73">
        <f t="shared" si="12"/>
        <v>223545.15</v>
      </c>
      <c r="M51" s="22"/>
      <c r="N51" s="7"/>
      <c r="O51" s="23">
        <f t="shared" si="13"/>
        <v>223545.15</v>
      </c>
      <c r="P51" s="81"/>
      <c r="Q51" s="79">
        <f t="shared" si="1"/>
        <v>223545.15</v>
      </c>
    </row>
    <row r="52" spans="1:17" ht="12.75">
      <c r="A52" s="35" t="s">
        <v>154</v>
      </c>
      <c r="B52" s="93"/>
      <c r="C52" s="145"/>
      <c r="D52" s="114">
        <f>4049.47</f>
        <v>4049.47</v>
      </c>
      <c r="E52" s="160"/>
      <c r="F52" s="189">
        <f t="shared" si="10"/>
        <v>4049.47</v>
      </c>
      <c r="G52" s="87"/>
      <c r="H52" s="7"/>
      <c r="I52" s="73"/>
      <c r="J52" s="28"/>
      <c r="K52" s="7"/>
      <c r="L52" s="73"/>
      <c r="M52" s="22"/>
      <c r="N52" s="7"/>
      <c r="O52" s="23">
        <f t="shared" si="13"/>
        <v>0</v>
      </c>
      <c r="P52" s="81"/>
      <c r="Q52" s="79">
        <f t="shared" si="1"/>
        <v>0</v>
      </c>
    </row>
    <row r="53" spans="1:17" ht="12.75">
      <c r="A53" s="35" t="s">
        <v>35</v>
      </c>
      <c r="B53" s="93"/>
      <c r="C53" s="145"/>
      <c r="D53" s="114">
        <f>405.5</f>
        <v>405.5</v>
      </c>
      <c r="E53" s="160"/>
      <c r="F53" s="189">
        <f t="shared" si="10"/>
        <v>405.5</v>
      </c>
      <c r="G53" s="87"/>
      <c r="H53" s="7"/>
      <c r="I53" s="73">
        <f t="shared" si="11"/>
        <v>405.5</v>
      </c>
      <c r="J53" s="28"/>
      <c r="K53" s="7"/>
      <c r="L53" s="73">
        <f t="shared" si="12"/>
        <v>405.5</v>
      </c>
      <c r="M53" s="22"/>
      <c r="N53" s="7"/>
      <c r="O53" s="23">
        <f t="shared" si="13"/>
        <v>405.5</v>
      </c>
      <c r="P53" s="86"/>
      <c r="Q53" s="79">
        <f t="shared" si="1"/>
        <v>405.5</v>
      </c>
    </row>
    <row r="54" spans="1:17" ht="12.75" hidden="1">
      <c r="A54" s="35" t="s">
        <v>36</v>
      </c>
      <c r="B54" s="93"/>
      <c r="C54" s="145"/>
      <c r="D54" s="114"/>
      <c r="E54" s="160"/>
      <c r="F54" s="189">
        <f t="shared" si="10"/>
        <v>0</v>
      </c>
      <c r="G54" s="87"/>
      <c r="H54" s="7"/>
      <c r="I54" s="73">
        <f t="shared" si="11"/>
        <v>0</v>
      </c>
      <c r="J54" s="225"/>
      <c r="K54" s="7"/>
      <c r="L54" s="73">
        <f t="shared" si="12"/>
        <v>0</v>
      </c>
      <c r="M54" s="22"/>
      <c r="N54" s="7"/>
      <c r="O54" s="23">
        <f t="shared" si="13"/>
        <v>0</v>
      </c>
      <c r="P54" s="81"/>
      <c r="Q54" s="79">
        <f t="shared" si="1"/>
        <v>0</v>
      </c>
    </row>
    <row r="55" spans="1:17" ht="12.75" hidden="1">
      <c r="A55" s="35" t="s">
        <v>201</v>
      </c>
      <c r="B55" s="93"/>
      <c r="C55" s="145"/>
      <c r="D55" s="114"/>
      <c r="E55" s="160"/>
      <c r="F55" s="189">
        <f t="shared" si="10"/>
        <v>0</v>
      </c>
      <c r="G55" s="87"/>
      <c r="H55" s="7"/>
      <c r="I55" s="73"/>
      <c r="J55" s="225"/>
      <c r="K55" s="7"/>
      <c r="L55" s="73"/>
      <c r="M55" s="22"/>
      <c r="N55" s="7"/>
      <c r="O55" s="23"/>
      <c r="P55" s="81"/>
      <c r="Q55" s="79"/>
    </row>
    <row r="56" spans="1:17" ht="12.75" hidden="1">
      <c r="A56" s="35" t="s">
        <v>155</v>
      </c>
      <c r="B56" s="93"/>
      <c r="C56" s="145"/>
      <c r="D56" s="114"/>
      <c r="E56" s="160"/>
      <c r="F56" s="189">
        <f t="shared" si="10"/>
        <v>0</v>
      </c>
      <c r="G56" s="87"/>
      <c r="H56" s="7"/>
      <c r="I56" s="73"/>
      <c r="J56" s="225"/>
      <c r="K56" s="7"/>
      <c r="L56" s="73"/>
      <c r="M56" s="22"/>
      <c r="N56" s="7"/>
      <c r="O56" s="23">
        <f t="shared" si="13"/>
        <v>0</v>
      </c>
      <c r="P56" s="81"/>
      <c r="Q56" s="79">
        <f t="shared" si="1"/>
        <v>0</v>
      </c>
    </row>
    <row r="57" spans="1:17" ht="12.75" hidden="1">
      <c r="A57" s="35" t="s">
        <v>37</v>
      </c>
      <c r="B57" s="93"/>
      <c r="C57" s="145"/>
      <c r="D57" s="114"/>
      <c r="E57" s="160"/>
      <c r="F57" s="189">
        <f t="shared" si="10"/>
        <v>0</v>
      </c>
      <c r="G57" s="87"/>
      <c r="H57" s="7"/>
      <c r="I57" s="73">
        <f t="shared" si="11"/>
        <v>0</v>
      </c>
      <c r="J57" s="28"/>
      <c r="K57" s="7"/>
      <c r="L57" s="73">
        <f t="shared" si="12"/>
        <v>0</v>
      </c>
      <c r="M57" s="22"/>
      <c r="N57" s="7"/>
      <c r="O57" s="23">
        <f t="shared" si="13"/>
        <v>0</v>
      </c>
      <c r="P57" s="81"/>
      <c r="Q57" s="79">
        <f t="shared" si="1"/>
        <v>0</v>
      </c>
    </row>
    <row r="58" spans="1:17" ht="12.75" hidden="1">
      <c r="A58" s="35" t="s">
        <v>44</v>
      </c>
      <c r="B58" s="93"/>
      <c r="C58" s="145"/>
      <c r="D58" s="114"/>
      <c r="E58" s="160"/>
      <c r="F58" s="189">
        <f t="shared" si="10"/>
        <v>0</v>
      </c>
      <c r="G58" s="87"/>
      <c r="H58" s="7"/>
      <c r="I58" s="73">
        <f t="shared" si="11"/>
        <v>0</v>
      </c>
      <c r="J58" s="28"/>
      <c r="K58" s="7"/>
      <c r="L58" s="73">
        <f t="shared" si="12"/>
        <v>0</v>
      </c>
      <c r="M58" s="22"/>
      <c r="N58" s="7"/>
      <c r="O58" s="23">
        <f t="shared" si="13"/>
        <v>0</v>
      </c>
      <c r="P58" s="81"/>
      <c r="Q58" s="79">
        <f t="shared" si="1"/>
        <v>0</v>
      </c>
    </row>
    <row r="59" spans="1:17" ht="12.75" hidden="1">
      <c r="A59" s="35" t="s">
        <v>38</v>
      </c>
      <c r="B59" s="93"/>
      <c r="C59" s="145"/>
      <c r="D59" s="114"/>
      <c r="E59" s="160"/>
      <c r="F59" s="189">
        <f t="shared" si="10"/>
        <v>0</v>
      </c>
      <c r="G59" s="87"/>
      <c r="H59" s="7"/>
      <c r="I59" s="73">
        <f t="shared" si="11"/>
        <v>0</v>
      </c>
      <c r="J59" s="28"/>
      <c r="K59" s="7"/>
      <c r="L59" s="73">
        <f t="shared" si="12"/>
        <v>0</v>
      </c>
      <c r="M59" s="22"/>
      <c r="N59" s="7"/>
      <c r="O59" s="23">
        <f t="shared" si="13"/>
        <v>0</v>
      </c>
      <c r="P59" s="81"/>
      <c r="Q59" s="79">
        <f t="shared" si="1"/>
        <v>0</v>
      </c>
    </row>
    <row r="60" spans="1:17" ht="12.75">
      <c r="A60" s="35" t="s">
        <v>39</v>
      </c>
      <c r="B60" s="93"/>
      <c r="C60" s="145"/>
      <c r="D60" s="114">
        <f>236.9+159.54+232.42</f>
        <v>628.86</v>
      </c>
      <c r="E60" s="160"/>
      <c r="F60" s="189">
        <f t="shared" si="10"/>
        <v>628.86</v>
      </c>
      <c r="G60" s="87"/>
      <c r="H60" s="7"/>
      <c r="I60" s="73">
        <f t="shared" si="11"/>
        <v>628.86</v>
      </c>
      <c r="J60" s="28"/>
      <c r="K60" s="7"/>
      <c r="L60" s="73">
        <f t="shared" si="12"/>
        <v>628.86</v>
      </c>
      <c r="M60" s="22"/>
      <c r="N60" s="7"/>
      <c r="O60" s="23">
        <f t="shared" si="13"/>
        <v>628.86</v>
      </c>
      <c r="P60" s="81"/>
      <c r="Q60" s="79">
        <f t="shared" si="1"/>
        <v>628.86</v>
      </c>
    </row>
    <row r="61" spans="1:17" ht="12.75">
      <c r="A61" s="35" t="s">
        <v>40</v>
      </c>
      <c r="B61" s="93"/>
      <c r="C61" s="145">
        <v>250</v>
      </c>
      <c r="D61" s="114"/>
      <c r="E61" s="160"/>
      <c r="F61" s="189">
        <f t="shared" si="10"/>
        <v>250</v>
      </c>
      <c r="G61" s="87"/>
      <c r="H61" s="7"/>
      <c r="I61" s="73">
        <f t="shared" si="11"/>
        <v>250</v>
      </c>
      <c r="J61" s="28"/>
      <c r="K61" s="7"/>
      <c r="L61" s="73">
        <f t="shared" si="12"/>
        <v>250</v>
      </c>
      <c r="M61" s="22"/>
      <c r="N61" s="7"/>
      <c r="O61" s="23">
        <f t="shared" si="13"/>
        <v>250</v>
      </c>
      <c r="P61" s="81"/>
      <c r="Q61" s="79">
        <f t="shared" si="1"/>
        <v>250</v>
      </c>
    </row>
    <row r="62" spans="1:17" ht="12.75">
      <c r="A62" s="35" t="s">
        <v>159</v>
      </c>
      <c r="B62" s="93"/>
      <c r="C62" s="145"/>
      <c r="D62" s="114">
        <f>34402</f>
        <v>34402</v>
      </c>
      <c r="E62" s="160"/>
      <c r="F62" s="189">
        <f t="shared" si="10"/>
        <v>34402</v>
      </c>
      <c r="G62" s="87"/>
      <c r="H62" s="7"/>
      <c r="I62" s="73"/>
      <c r="J62" s="28"/>
      <c r="K62" s="7"/>
      <c r="L62" s="73">
        <f t="shared" si="12"/>
        <v>0</v>
      </c>
      <c r="M62" s="22"/>
      <c r="N62" s="7"/>
      <c r="O62" s="23">
        <f t="shared" si="13"/>
        <v>0</v>
      </c>
      <c r="P62" s="81"/>
      <c r="Q62" s="79">
        <f t="shared" si="1"/>
        <v>0</v>
      </c>
    </row>
    <row r="63" spans="1:17" ht="12.75">
      <c r="A63" s="32" t="s">
        <v>41</v>
      </c>
      <c r="B63" s="90"/>
      <c r="C63" s="152">
        <f>SUM(C65:C78)</f>
        <v>0</v>
      </c>
      <c r="D63" s="113">
        <f aca="true" t="shared" si="14" ref="D63:Q63">SUM(D65:D78)</f>
        <v>353486.87</v>
      </c>
      <c r="E63" s="136">
        <f t="shared" si="14"/>
        <v>0</v>
      </c>
      <c r="F63" s="167">
        <f t="shared" si="14"/>
        <v>353486.87</v>
      </c>
      <c r="G63" s="153">
        <f t="shared" si="14"/>
        <v>0</v>
      </c>
      <c r="H63" s="113">
        <f t="shared" si="14"/>
        <v>0</v>
      </c>
      <c r="I63" s="136">
        <f t="shared" si="14"/>
        <v>328322.13</v>
      </c>
      <c r="J63" s="152">
        <f t="shared" si="14"/>
        <v>0</v>
      </c>
      <c r="K63" s="113">
        <f t="shared" si="14"/>
        <v>0</v>
      </c>
      <c r="L63" s="136">
        <f t="shared" si="14"/>
        <v>328322.13</v>
      </c>
      <c r="M63" s="112">
        <f t="shared" si="14"/>
        <v>0</v>
      </c>
      <c r="N63" s="112">
        <f t="shared" si="14"/>
        <v>0</v>
      </c>
      <c r="O63" s="112">
        <f t="shared" si="14"/>
        <v>328322.13</v>
      </c>
      <c r="P63" s="112">
        <f t="shared" si="14"/>
        <v>0</v>
      </c>
      <c r="Q63" s="240">
        <f t="shared" si="14"/>
        <v>328322.13</v>
      </c>
    </row>
    <row r="64" spans="1:17" ht="12.75">
      <c r="A64" s="37" t="s">
        <v>26</v>
      </c>
      <c r="B64" s="95"/>
      <c r="C64" s="145"/>
      <c r="D64" s="114"/>
      <c r="E64" s="160"/>
      <c r="F64" s="189"/>
      <c r="G64" s="87"/>
      <c r="H64" s="7"/>
      <c r="I64" s="73"/>
      <c r="J64" s="28"/>
      <c r="K64" s="7"/>
      <c r="L64" s="73"/>
      <c r="M64" s="22"/>
      <c r="N64" s="7"/>
      <c r="O64" s="23"/>
      <c r="P64" s="81"/>
      <c r="Q64" s="79"/>
    </row>
    <row r="65" spans="1:17" ht="12.75" hidden="1">
      <c r="A65" s="35" t="s">
        <v>29</v>
      </c>
      <c r="B65" s="93"/>
      <c r="C65" s="145"/>
      <c r="D65" s="114"/>
      <c r="E65" s="160"/>
      <c r="F65" s="189">
        <f aca="true" t="shared" si="15" ref="F65:F78">C65+D65+E65</f>
        <v>0</v>
      </c>
      <c r="G65" s="87"/>
      <c r="H65" s="7"/>
      <c r="I65" s="73">
        <f>F65+G65+H65</f>
        <v>0</v>
      </c>
      <c r="J65" s="28"/>
      <c r="K65" s="7"/>
      <c r="L65" s="73">
        <f>I65+J65+K65</f>
        <v>0</v>
      </c>
      <c r="M65" s="22"/>
      <c r="N65" s="7"/>
      <c r="O65" s="23">
        <f>L65+M65+N65</f>
        <v>0</v>
      </c>
      <c r="P65" s="81"/>
      <c r="Q65" s="79">
        <f t="shared" si="1"/>
        <v>0</v>
      </c>
    </row>
    <row r="66" spans="1:17" ht="12.75" hidden="1">
      <c r="A66" s="39" t="s">
        <v>30</v>
      </c>
      <c r="B66" s="96"/>
      <c r="C66" s="145"/>
      <c r="D66" s="114"/>
      <c r="E66" s="160"/>
      <c r="F66" s="189">
        <f t="shared" si="15"/>
        <v>0</v>
      </c>
      <c r="G66" s="87"/>
      <c r="H66" s="7"/>
      <c r="I66" s="73">
        <f aca="true" t="shared" si="16" ref="I66:I78">F66+G66+H66</f>
        <v>0</v>
      </c>
      <c r="J66" s="28"/>
      <c r="K66" s="7"/>
      <c r="L66" s="73">
        <f aca="true" t="shared" si="17" ref="L66:L78">I66+J66+K66</f>
        <v>0</v>
      </c>
      <c r="M66" s="22"/>
      <c r="N66" s="7"/>
      <c r="O66" s="23">
        <f aca="true" t="shared" si="18" ref="O66:O78">L66+M66+N66</f>
        <v>0</v>
      </c>
      <c r="P66" s="81"/>
      <c r="Q66" s="79">
        <f t="shared" si="1"/>
        <v>0</v>
      </c>
    </row>
    <row r="67" spans="1:17" ht="12.75" hidden="1">
      <c r="A67" s="39" t="s">
        <v>28</v>
      </c>
      <c r="B67" s="96"/>
      <c r="C67" s="145"/>
      <c r="D67" s="114"/>
      <c r="E67" s="160"/>
      <c r="F67" s="189">
        <f t="shared" si="15"/>
        <v>0</v>
      </c>
      <c r="G67" s="87"/>
      <c r="H67" s="7"/>
      <c r="I67" s="73">
        <f t="shared" si="16"/>
        <v>0</v>
      </c>
      <c r="J67" s="28"/>
      <c r="K67" s="7"/>
      <c r="L67" s="73">
        <f t="shared" si="17"/>
        <v>0</v>
      </c>
      <c r="M67" s="22"/>
      <c r="N67" s="7"/>
      <c r="O67" s="23">
        <f t="shared" si="18"/>
        <v>0</v>
      </c>
      <c r="P67" s="81"/>
      <c r="Q67" s="79">
        <f t="shared" si="1"/>
        <v>0</v>
      </c>
    </row>
    <row r="68" spans="1:17" ht="12.75" hidden="1">
      <c r="A68" s="39" t="s">
        <v>42</v>
      </c>
      <c r="B68" s="96"/>
      <c r="C68" s="145"/>
      <c r="D68" s="114"/>
      <c r="E68" s="160"/>
      <c r="F68" s="189">
        <f t="shared" si="15"/>
        <v>0</v>
      </c>
      <c r="G68" s="87"/>
      <c r="H68" s="7"/>
      <c r="I68" s="73">
        <f t="shared" si="16"/>
        <v>0</v>
      </c>
      <c r="J68" s="28"/>
      <c r="K68" s="7"/>
      <c r="L68" s="73">
        <f t="shared" si="17"/>
        <v>0</v>
      </c>
      <c r="M68" s="22"/>
      <c r="N68" s="7"/>
      <c r="O68" s="23">
        <f t="shared" si="18"/>
        <v>0</v>
      </c>
      <c r="P68" s="81"/>
      <c r="Q68" s="79">
        <f t="shared" si="1"/>
        <v>0</v>
      </c>
    </row>
    <row r="69" spans="1:17" ht="12.75">
      <c r="A69" s="35" t="s">
        <v>31</v>
      </c>
      <c r="B69" s="93"/>
      <c r="C69" s="145"/>
      <c r="D69" s="114">
        <f>2568.52+19217.2</f>
        <v>21785.72</v>
      </c>
      <c r="E69" s="160"/>
      <c r="F69" s="189">
        <f t="shared" si="15"/>
        <v>21785.72</v>
      </c>
      <c r="G69" s="87"/>
      <c r="H69" s="7"/>
      <c r="I69" s="73">
        <f t="shared" si="16"/>
        <v>21785.72</v>
      </c>
      <c r="J69" s="28"/>
      <c r="K69" s="7"/>
      <c r="L69" s="73">
        <f t="shared" si="17"/>
        <v>21785.72</v>
      </c>
      <c r="M69" s="22"/>
      <c r="N69" s="7"/>
      <c r="O69" s="23">
        <f t="shared" si="18"/>
        <v>21785.72</v>
      </c>
      <c r="P69" s="81"/>
      <c r="Q69" s="79">
        <f aca="true" t="shared" si="19" ref="Q69:Q87">O69+P69</f>
        <v>21785.72</v>
      </c>
    </row>
    <row r="70" spans="1:17" ht="12.75" hidden="1">
      <c r="A70" s="35" t="s">
        <v>218</v>
      </c>
      <c r="B70" s="93"/>
      <c r="C70" s="145"/>
      <c r="D70" s="114"/>
      <c r="E70" s="160"/>
      <c r="F70" s="189">
        <f t="shared" si="15"/>
        <v>0</v>
      </c>
      <c r="G70" s="87"/>
      <c r="H70" s="7"/>
      <c r="I70" s="73"/>
      <c r="J70" s="28"/>
      <c r="K70" s="7"/>
      <c r="L70" s="73"/>
      <c r="M70" s="22"/>
      <c r="N70" s="7"/>
      <c r="O70" s="23"/>
      <c r="P70" s="81"/>
      <c r="Q70" s="79"/>
    </row>
    <row r="71" spans="1:17" ht="12.75">
      <c r="A71" s="35" t="s">
        <v>154</v>
      </c>
      <c r="B71" s="93"/>
      <c r="C71" s="145"/>
      <c r="D71" s="114">
        <f>99736.84</f>
        <v>99736.84</v>
      </c>
      <c r="E71" s="160"/>
      <c r="F71" s="189">
        <f t="shared" si="15"/>
        <v>99736.84</v>
      </c>
      <c r="G71" s="87"/>
      <c r="H71" s="7"/>
      <c r="I71" s="73">
        <f t="shared" si="16"/>
        <v>99736.84</v>
      </c>
      <c r="J71" s="28"/>
      <c r="K71" s="7"/>
      <c r="L71" s="73">
        <f t="shared" si="17"/>
        <v>99736.84</v>
      </c>
      <c r="M71" s="22"/>
      <c r="N71" s="7"/>
      <c r="O71" s="23">
        <f t="shared" si="18"/>
        <v>99736.84</v>
      </c>
      <c r="P71" s="81"/>
      <c r="Q71" s="79">
        <f t="shared" si="19"/>
        <v>99736.84</v>
      </c>
    </row>
    <row r="72" spans="1:17" ht="12.75" hidden="1">
      <c r="A72" s="35" t="s">
        <v>155</v>
      </c>
      <c r="B72" s="93"/>
      <c r="C72" s="145"/>
      <c r="D72" s="114"/>
      <c r="E72" s="160"/>
      <c r="F72" s="189">
        <f t="shared" si="15"/>
        <v>0</v>
      </c>
      <c r="G72" s="87"/>
      <c r="H72" s="7"/>
      <c r="I72" s="73">
        <f t="shared" si="16"/>
        <v>0</v>
      </c>
      <c r="J72" s="28"/>
      <c r="K72" s="7"/>
      <c r="L72" s="73">
        <f t="shared" si="17"/>
        <v>0</v>
      </c>
      <c r="M72" s="22"/>
      <c r="N72" s="7"/>
      <c r="O72" s="23">
        <f t="shared" si="18"/>
        <v>0</v>
      </c>
      <c r="P72" s="81"/>
      <c r="Q72" s="79">
        <f t="shared" si="19"/>
        <v>0</v>
      </c>
    </row>
    <row r="73" spans="1:17" ht="12.75">
      <c r="A73" s="35" t="s">
        <v>43</v>
      </c>
      <c r="B73" s="93"/>
      <c r="C73" s="145"/>
      <c r="D73" s="114">
        <f>183880</f>
        <v>183880</v>
      </c>
      <c r="E73" s="160"/>
      <c r="F73" s="189">
        <f t="shared" si="15"/>
        <v>183880</v>
      </c>
      <c r="G73" s="87"/>
      <c r="H73" s="7"/>
      <c r="I73" s="73">
        <f t="shared" si="16"/>
        <v>183880</v>
      </c>
      <c r="J73" s="28"/>
      <c r="K73" s="7"/>
      <c r="L73" s="73">
        <f t="shared" si="17"/>
        <v>183880</v>
      </c>
      <c r="M73" s="22"/>
      <c r="N73" s="7"/>
      <c r="O73" s="23">
        <f t="shared" si="18"/>
        <v>183880</v>
      </c>
      <c r="P73" s="81"/>
      <c r="Q73" s="79">
        <f t="shared" si="19"/>
        <v>183880</v>
      </c>
    </row>
    <row r="74" spans="1:17" ht="12.75" hidden="1">
      <c r="A74" s="35" t="s">
        <v>44</v>
      </c>
      <c r="B74" s="93"/>
      <c r="C74" s="145"/>
      <c r="D74" s="114"/>
      <c r="E74" s="160"/>
      <c r="F74" s="189">
        <f t="shared" si="15"/>
        <v>0</v>
      </c>
      <c r="G74" s="87"/>
      <c r="H74" s="7"/>
      <c r="I74" s="73">
        <f t="shared" si="16"/>
        <v>0</v>
      </c>
      <c r="J74" s="28"/>
      <c r="K74" s="7"/>
      <c r="L74" s="73">
        <f t="shared" si="17"/>
        <v>0</v>
      </c>
      <c r="M74" s="22"/>
      <c r="N74" s="7"/>
      <c r="O74" s="23">
        <f t="shared" si="18"/>
        <v>0</v>
      </c>
      <c r="P74" s="81"/>
      <c r="Q74" s="79">
        <f t="shared" si="19"/>
        <v>0</v>
      </c>
    </row>
    <row r="75" spans="1:17" ht="12.75" hidden="1">
      <c r="A75" s="35" t="s">
        <v>45</v>
      </c>
      <c r="B75" s="93"/>
      <c r="C75" s="145"/>
      <c r="D75" s="114"/>
      <c r="E75" s="160"/>
      <c r="F75" s="189">
        <f t="shared" si="15"/>
        <v>0</v>
      </c>
      <c r="G75" s="87"/>
      <c r="H75" s="7"/>
      <c r="I75" s="73">
        <f t="shared" si="16"/>
        <v>0</v>
      </c>
      <c r="J75" s="28"/>
      <c r="K75" s="7"/>
      <c r="L75" s="73">
        <f t="shared" si="17"/>
        <v>0</v>
      </c>
      <c r="M75" s="22"/>
      <c r="N75" s="7"/>
      <c r="O75" s="23">
        <f t="shared" si="18"/>
        <v>0</v>
      </c>
      <c r="P75" s="81"/>
      <c r="Q75" s="79">
        <f t="shared" si="19"/>
        <v>0</v>
      </c>
    </row>
    <row r="76" spans="1:17" ht="12.75">
      <c r="A76" s="35" t="s">
        <v>35</v>
      </c>
      <c r="B76" s="93"/>
      <c r="C76" s="145"/>
      <c r="D76" s="114">
        <f>22919.57</f>
        <v>22919.57</v>
      </c>
      <c r="E76" s="160"/>
      <c r="F76" s="189">
        <f t="shared" si="15"/>
        <v>22919.57</v>
      </c>
      <c r="G76" s="87"/>
      <c r="H76" s="7"/>
      <c r="I76" s="73">
        <f t="shared" si="16"/>
        <v>22919.57</v>
      </c>
      <c r="J76" s="28"/>
      <c r="K76" s="7"/>
      <c r="L76" s="73">
        <f t="shared" si="17"/>
        <v>22919.57</v>
      </c>
      <c r="M76" s="22"/>
      <c r="N76" s="7"/>
      <c r="O76" s="23">
        <f t="shared" si="18"/>
        <v>22919.57</v>
      </c>
      <c r="P76" s="86"/>
      <c r="Q76" s="79">
        <f t="shared" si="19"/>
        <v>22919.57</v>
      </c>
    </row>
    <row r="77" spans="1:17" ht="12.75">
      <c r="A77" s="35" t="s">
        <v>39</v>
      </c>
      <c r="B77" s="93"/>
      <c r="C77" s="145"/>
      <c r="D77" s="114">
        <f>25164.74</f>
        <v>25164.74</v>
      </c>
      <c r="E77" s="160"/>
      <c r="F77" s="189">
        <f t="shared" si="15"/>
        <v>25164.74</v>
      </c>
      <c r="G77" s="87"/>
      <c r="H77" s="7"/>
      <c r="I77" s="73"/>
      <c r="J77" s="28"/>
      <c r="K77" s="7"/>
      <c r="L77" s="73"/>
      <c r="M77" s="22"/>
      <c r="N77" s="7"/>
      <c r="O77" s="23"/>
      <c r="P77" s="86"/>
      <c r="Q77" s="79"/>
    </row>
    <row r="78" spans="1:17" ht="12.75" hidden="1">
      <c r="A78" s="35" t="s">
        <v>159</v>
      </c>
      <c r="B78" s="93"/>
      <c r="C78" s="145"/>
      <c r="D78" s="114"/>
      <c r="E78" s="160"/>
      <c r="F78" s="189">
        <f t="shared" si="15"/>
        <v>0</v>
      </c>
      <c r="G78" s="87"/>
      <c r="H78" s="7"/>
      <c r="I78" s="73">
        <f t="shared" si="16"/>
        <v>0</v>
      </c>
      <c r="J78" s="28"/>
      <c r="K78" s="7"/>
      <c r="L78" s="73">
        <f t="shared" si="17"/>
        <v>0</v>
      </c>
      <c r="M78" s="22"/>
      <c r="N78" s="7"/>
      <c r="O78" s="23">
        <f t="shared" si="18"/>
        <v>0</v>
      </c>
      <c r="P78" s="81"/>
      <c r="Q78" s="79">
        <f t="shared" si="19"/>
        <v>0</v>
      </c>
    </row>
    <row r="79" spans="1:17" ht="15.75" thickBot="1">
      <c r="A79" s="40" t="s">
        <v>46</v>
      </c>
      <c r="B79" s="97"/>
      <c r="C79" s="171">
        <f>C11+C17+C41+C63+C33</f>
        <v>5004513</v>
      </c>
      <c r="D79" s="119">
        <f>D11+D17+D41+D63+D33</f>
        <v>9728752.120000001</v>
      </c>
      <c r="E79" s="162" t="e">
        <f>E11+E17+E41+E63+E33+#REF!</f>
        <v>#REF!</v>
      </c>
      <c r="F79" s="191">
        <f>F11+F17+F41+F63+F33</f>
        <v>14733265.12</v>
      </c>
      <c r="G79" s="209" t="e">
        <f>G11+G17+G41+G63+G33+#REF!</f>
        <v>#REF!</v>
      </c>
      <c r="H79" s="119" t="e">
        <f>H11+H17+H41+H63+H33+#REF!</f>
        <v>#REF!</v>
      </c>
      <c r="I79" s="162" t="e">
        <f>I11+I17+I41+I63+I33+#REF!</f>
        <v>#REF!</v>
      </c>
      <c r="J79" s="171" t="e">
        <f>J11+J17+J41+J63+J33+#REF!</f>
        <v>#REF!</v>
      </c>
      <c r="K79" s="119" t="e">
        <f>K11+K17+K41+K63+K33+#REF!</f>
        <v>#REF!</v>
      </c>
      <c r="L79" s="162" t="e">
        <f>L11+L17+L41+L63+L33+#REF!</f>
        <v>#REF!</v>
      </c>
      <c r="M79" s="118" t="e">
        <f>M11+M17+M41+M63+M33+#REF!</f>
        <v>#REF!</v>
      </c>
      <c r="N79" s="118" t="e">
        <f>N11+N17+N41+N63+N33+#REF!</f>
        <v>#REF!</v>
      </c>
      <c r="O79" s="118" t="e">
        <f>O11+O17+O41+O63+O33+#REF!</f>
        <v>#REF!</v>
      </c>
      <c r="P79" s="118" t="e">
        <f>P11+P17+P41+P63+P33+#REF!</f>
        <v>#REF!</v>
      </c>
      <c r="Q79" s="244" t="e">
        <f>Q11+Q17+Q41+Q63+Q33+#REF!</f>
        <v>#REF!</v>
      </c>
    </row>
    <row r="80" spans="1:17" ht="12.75">
      <c r="A80" s="32" t="s">
        <v>47</v>
      </c>
      <c r="B80" s="90"/>
      <c r="C80" s="152"/>
      <c r="D80" s="114"/>
      <c r="E80" s="160"/>
      <c r="F80" s="189"/>
      <c r="G80" s="87"/>
      <c r="H80" s="7"/>
      <c r="I80" s="73"/>
      <c r="J80" s="28"/>
      <c r="K80" s="7"/>
      <c r="L80" s="73"/>
      <c r="M80" s="22"/>
      <c r="N80" s="7"/>
      <c r="O80" s="23"/>
      <c r="P80" s="81"/>
      <c r="Q80" s="79"/>
    </row>
    <row r="81" spans="1:17" ht="12.75">
      <c r="A81" s="32" t="s">
        <v>63</v>
      </c>
      <c r="B81" s="102"/>
      <c r="C81" s="152">
        <f>C82+C91</f>
        <v>103319</v>
      </c>
      <c r="D81" s="113">
        <f aca="true" t="shared" si="20" ref="D81:Q81">D82+D91</f>
        <v>65537.51000000001</v>
      </c>
      <c r="E81" s="136">
        <f t="shared" si="20"/>
        <v>0</v>
      </c>
      <c r="F81" s="167">
        <f t="shared" si="20"/>
        <v>168856.51</v>
      </c>
      <c r="G81" s="153">
        <f t="shared" si="20"/>
        <v>0</v>
      </c>
      <c r="H81" s="113">
        <f t="shared" si="20"/>
        <v>0</v>
      </c>
      <c r="I81" s="136">
        <f t="shared" si="20"/>
        <v>81468.51000000001</v>
      </c>
      <c r="J81" s="152">
        <f t="shared" si="20"/>
        <v>0</v>
      </c>
      <c r="K81" s="113">
        <f t="shared" si="20"/>
        <v>0</v>
      </c>
      <c r="L81" s="136">
        <f t="shared" si="20"/>
        <v>81468.51000000001</v>
      </c>
      <c r="M81" s="112">
        <f t="shared" si="20"/>
        <v>0</v>
      </c>
      <c r="N81" s="112">
        <f t="shared" si="20"/>
        <v>0</v>
      </c>
      <c r="O81" s="112">
        <f t="shared" si="20"/>
        <v>81468.51000000001</v>
      </c>
      <c r="P81" s="112">
        <f t="shared" si="20"/>
        <v>0</v>
      </c>
      <c r="Q81" s="240">
        <f t="shared" si="20"/>
        <v>81468.51000000001</v>
      </c>
    </row>
    <row r="82" spans="1:17" ht="12.75">
      <c r="A82" s="41" t="s">
        <v>49</v>
      </c>
      <c r="B82" s="102"/>
      <c r="C82" s="172">
        <f>SUM(C84:C89)</f>
        <v>71319</v>
      </c>
      <c r="D82" s="121">
        <f aca="true" t="shared" si="21" ref="D82:Q82">SUM(D84:D89)</f>
        <v>5253.35</v>
      </c>
      <c r="E82" s="163">
        <f t="shared" si="21"/>
        <v>0</v>
      </c>
      <c r="F82" s="192">
        <f t="shared" si="21"/>
        <v>76572.34999999999</v>
      </c>
      <c r="G82" s="210">
        <f t="shared" si="21"/>
        <v>0</v>
      </c>
      <c r="H82" s="121">
        <f t="shared" si="21"/>
        <v>0</v>
      </c>
      <c r="I82" s="163">
        <f t="shared" si="21"/>
        <v>15184.35</v>
      </c>
      <c r="J82" s="172">
        <f t="shared" si="21"/>
        <v>0</v>
      </c>
      <c r="K82" s="121">
        <f t="shared" si="21"/>
        <v>0</v>
      </c>
      <c r="L82" s="163">
        <f t="shared" si="21"/>
        <v>15184.35</v>
      </c>
      <c r="M82" s="120">
        <f t="shared" si="21"/>
        <v>0</v>
      </c>
      <c r="N82" s="120">
        <f t="shared" si="21"/>
        <v>0</v>
      </c>
      <c r="O82" s="120">
        <f t="shared" si="21"/>
        <v>15184.35</v>
      </c>
      <c r="P82" s="120">
        <f t="shared" si="21"/>
        <v>0</v>
      </c>
      <c r="Q82" s="245">
        <f t="shared" si="21"/>
        <v>15184.35</v>
      </c>
    </row>
    <row r="83" spans="1:17" ht="12.75">
      <c r="A83" s="37" t="s">
        <v>26</v>
      </c>
      <c r="B83" s="98"/>
      <c r="C83" s="145"/>
      <c r="D83" s="114"/>
      <c r="E83" s="160"/>
      <c r="F83" s="167"/>
      <c r="G83" s="87"/>
      <c r="H83" s="7"/>
      <c r="I83" s="69"/>
      <c r="J83" s="28"/>
      <c r="K83" s="7"/>
      <c r="L83" s="69"/>
      <c r="M83" s="22"/>
      <c r="N83" s="7"/>
      <c r="O83" s="21"/>
      <c r="P83" s="81"/>
      <c r="Q83" s="79"/>
    </row>
    <row r="84" spans="1:17" ht="12.75">
      <c r="A84" s="35" t="s">
        <v>51</v>
      </c>
      <c r="B84" s="98"/>
      <c r="C84" s="145">
        <v>9931</v>
      </c>
      <c r="D84" s="114"/>
      <c r="E84" s="160"/>
      <c r="F84" s="189">
        <f aca="true" t="shared" si="22" ref="F84:F90">C84+D84+E84</f>
        <v>9931</v>
      </c>
      <c r="G84" s="87"/>
      <c r="H84" s="7"/>
      <c r="I84" s="73">
        <f aca="true" t="shared" si="23" ref="I84:I90">F84+G84+H84</f>
        <v>9931</v>
      </c>
      <c r="J84" s="28"/>
      <c r="K84" s="7"/>
      <c r="L84" s="73">
        <f aca="true" t="shared" si="24" ref="L84:L90">I84+J84+K84</f>
        <v>9931</v>
      </c>
      <c r="M84" s="22"/>
      <c r="N84" s="7"/>
      <c r="O84" s="23">
        <f aca="true" t="shared" si="25" ref="O84:O90">L84+M84+N84</f>
        <v>9931</v>
      </c>
      <c r="P84" s="81"/>
      <c r="Q84" s="79">
        <f t="shared" si="19"/>
        <v>9931</v>
      </c>
    </row>
    <row r="85" spans="1:17" ht="12.75" hidden="1">
      <c r="A85" s="35" t="s">
        <v>65</v>
      </c>
      <c r="B85" s="98"/>
      <c r="C85" s="145"/>
      <c r="D85" s="114"/>
      <c r="E85" s="160"/>
      <c r="F85" s="189">
        <f t="shared" si="22"/>
        <v>0</v>
      </c>
      <c r="G85" s="87"/>
      <c r="H85" s="7"/>
      <c r="I85" s="73">
        <f t="shared" si="23"/>
        <v>0</v>
      </c>
      <c r="J85" s="28"/>
      <c r="K85" s="7"/>
      <c r="L85" s="73">
        <f t="shared" si="24"/>
        <v>0</v>
      </c>
      <c r="M85" s="22"/>
      <c r="N85" s="7"/>
      <c r="O85" s="23">
        <f t="shared" si="25"/>
        <v>0</v>
      </c>
      <c r="P85" s="81"/>
      <c r="Q85" s="79">
        <f t="shared" si="19"/>
        <v>0</v>
      </c>
    </row>
    <row r="86" spans="1:17" ht="12.75">
      <c r="A86" s="46" t="s">
        <v>208</v>
      </c>
      <c r="B86" s="101"/>
      <c r="C86" s="173">
        <v>61388</v>
      </c>
      <c r="D86" s="122"/>
      <c r="E86" s="261"/>
      <c r="F86" s="193">
        <f t="shared" si="22"/>
        <v>61388</v>
      </c>
      <c r="G86" s="87"/>
      <c r="H86" s="7"/>
      <c r="I86" s="73"/>
      <c r="J86" s="28"/>
      <c r="K86" s="7"/>
      <c r="L86" s="73"/>
      <c r="M86" s="22"/>
      <c r="N86" s="7"/>
      <c r="O86" s="23"/>
      <c r="P86" s="81"/>
      <c r="Q86" s="79"/>
    </row>
    <row r="87" spans="1:17" ht="12.75">
      <c r="A87" s="35" t="s">
        <v>66</v>
      </c>
      <c r="B87" s="98">
        <v>98278</v>
      </c>
      <c r="C87" s="145"/>
      <c r="D87" s="114">
        <f>65.31+3.5+59.04+89.73+48+59.26+24+22.5+24</f>
        <v>395.34</v>
      </c>
      <c r="E87" s="160"/>
      <c r="F87" s="189">
        <f t="shared" si="22"/>
        <v>395.34</v>
      </c>
      <c r="G87" s="87"/>
      <c r="H87" s="7"/>
      <c r="I87" s="73">
        <f t="shared" si="23"/>
        <v>395.34</v>
      </c>
      <c r="J87" s="28"/>
      <c r="K87" s="7"/>
      <c r="L87" s="73">
        <f t="shared" si="24"/>
        <v>395.34</v>
      </c>
      <c r="M87" s="22"/>
      <c r="N87" s="7"/>
      <c r="O87" s="23">
        <f t="shared" si="25"/>
        <v>395.34</v>
      </c>
      <c r="P87" s="81"/>
      <c r="Q87" s="79">
        <f t="shared" si="19"/>
        <v>395.34</v>
      </c>
    </row>
    <row r="88" spans="1:17" ht="12.75" hidden="1">
      <c r="A88" s="35" t="s">
        <v>77</v>
      </c>
      <c r="B88" s="98"/>
      <c r="C88" s="145"/>
      <c r="D88" s="114"/>
      <c r="E88" s="160"/>
      <c r="F88" s="189">
        <f t="shared" si="22"/>
        <v>0</v>
      </c>
      <c r="G88" s="87"/>
      <c r="H88" s="7"/>
      <c r="I88" s="73">
        <f t="shared" si="23"/>
        <v>0</v>
      </c>
      <c r="J88" s="28"/>
      <c r="K88" s="7"/>
      <c r="L88" s="73">
        <f t="shared" si="24"/>
        <v>0</v>
      </c>
      <c r="M88" s="22"/>
      <c r="N88" s="7"/>
      <c r="O88" s="23">
        <f t="shared" si="25"/>
        <v>0</v>
      </c>
      <c r="P88" s="81"/>
      <c r="Q88" s="79">
        <f aca="true" t="shared" si="26" ref="Q88:Q134">O88+P88</f>
        <v>0</v>
      </c>
    </row>
    <row r="89" spans="1:17" ht="12.75">
      <c r="A89" s="34" t="s">
        <v>67</v>
      </c>
      <c r="B89" s="98"/>
      <c r="C89" s="145"/>
      <c r="D89" s="114">
        <f>3124.33+1733.68</f>
        <v>4858.01</v>
      </c>
      <c r="E89" s="160"/>
      <c r="F89" s="189">
        <f t="shared" si="22"/>
        <v>4858.01</v>
      </c>
      <c r="G89" s="87"/>
      <c r="H89" s="7"/>
      <c r="I89" s="73">
        <f t="shared" si="23"/>
        <v>4858.01</v>
      </c>
      <c r="J89" s="28"/>
      <c r="K89" s="7"/>
      <c r="L89" s="73">
        <f t="shared" si="24"/>
        <v>4858.01</v>
      </c>
      <c r="M89" s="22"/>
      <c r="N89" s="7"/>
      <c r="O89" s="23">
        <f t="shared" si="25"/>
        <v>4858.01</v>
      </c>
      <c r="P89" s="81"/>
      <c r="Q89" s="79">
        <f t="shared" si="26"/>
        <v>4858.01</v>
      </c>
    </row>
    <row r="90" spans="1:17" ht="12.75" hidden="1">
      <c r="A90" s="34" t="s">
        <v>68</v>
      </c>
      <c r="B90" s="98"/>
      <c r="C90" s="145"/>
      <c r="D90" s="114">
        <f>3124.33+1733.68</f>
        <v>4858.01</v>
      </c>
      <c r="E90" s="160"/>
      <c r="F90" s="189">
        <f t="shared" si="22"/>
        <v>4858.01</v>
      </c>
      <c r="G90" s="87"/>
      <c r="H90" s="7"/>
      <c r="I90" s="73">
        <f t="shared" si="23"/>
        <v>4858.01</v>
      </c>
      <c r="J90" s="28"/>
      <c r="K90" s="7"/>
      <c r="L90" s="73">
        <f t="shared" si="24"/>
        <v>4858.01</v>
      </c>
      <c r="M90" s="22"/>
      <c r="N90" s="7"/>
      <c r="O90" s="23">
        <f t="shared" si="25"/>
        <v>4858.01</v>
      </c>
      <c r="P90" s="81"/>
      <c r="Q90" s="79">
        <f t="shared" si="26"/>
        <v>4858.01</v>
      </c>
    </row>
    <row r="91" spans="1:17" ht="12.75">
      <c r="A91" s="42" t="s">
        <v>54</v>
      </c>
      <c r="B91" s="102"/>
      <c r="C91" s="174">
        <f>SUM(C93:C99)</f>
        <v>32000</v>
      </c>
      <c r="D91" s="124">
        <f aca="true" t="shared" si="27" ref="D91:Q91">SUM(D93:D99)</f>
        <v>60284.16</v>
      </c>
      <c r="E91" s="164">
        <f t="shared" si="27"/>
        <v>0</v>
      </c>
      <c r="F91" s="194">
        <f t="shared" si="27"/>
        <v>92284.16</v>
      </c>
      <c r="G91" s="211">
        <f t="shared" si="27"/>
        <v>0</v>
      </c>
      <c r="H91" s="124">
        <f t="shared" si="27"/>
        <v>0</v>
      </c>
      <c r="I91" s="164">
        <f t="shared" si="27"/>
        <v>66284.16</v>
      </c>
      <c r="J91" s="174">
        <f t="shared" si="27"/>
        <v>0</v>
      </c>
      <c r="K91" s="124">
        <f t="shared" si="27"/>
        <v>0</v>
      </c>
      <c r="L91" s="164">
        <f t="shared" si="27"/>
        <v>66284.16</v>
      </c>
      <c r="M91" s="123">
        <f t="shared" si="27"/>
        <v>0</v>
      </c>
      <c r="N91" s="123">
        <f t="shared" si="27"/>
        <v>0</v>
      </c>
      <c r="O91" s="123">
        <f t="shared" si="27"/>
        <v>66284.16</v>
      </c>
      <c r="P91" s="123">
        <f t="shared" si="27"/>
        <v>0</v>
      </c>
      <c r="Q91" s="246">
        <f t="shared" si="27"/>
        <v>66284.16</v>
      </c>
    </row>
    <row r="92" spans="1:17" ht="12.75">
      <c r="A92" s="33" t="s">
        <v>26</v>
      </c>
      <c r="B92" s="98"/>
      <c r="C92" s="139"/>
      <c r="D92" s="117"/>
      <c r="E92" s="161"/>
      <c r="F92" s="190"/>
      <c r="G92" s="208"/>
      <c r="H92" s="8"/>
      <c r="I92" s="29"/>
      <c r="J92" s="226"/>
      <c r="K92" s="8"/>
      <c r="L92" s="29"/>
      <c r="M92" s="24"/>
      <c r="N92" s="8"/>
      <c r="O92" s="25"/>
      <c r="P92" s="81"/>
      <c r="Q92" s="79"/>
    </row>
    <row r="93" spans="1:17" ht="12.75">
      <c r="A93" s="99" t="s">
        <v>299</v>
      </c>
      <c r="B93" s="98"/>
      <c r="C93" s="145"/>
      <c r="D93" s="114">
        <f>24251.16+5500</f>
        <v>29751.16</v>
      </c>
      <c r="E93" s="160"/>
      <c r="F93" s="189">
        <f aca="true" t="shared" si="28" ref="F93:F100">C93+D93+E93</f>
        <v>29751.16</v>
      </c>
      <c r="G93" s="87"/>
      <c r="H93" s="7"/>
      <c r="I93" s="73">
        <f>F93+G93+H93</f>
        <v>29751.16</v>
      </c>
      <c r="J93" s="28"/>
      <c r="K93" s="7"/>
      <c r="L93" s="73">
        <f>I93+J93+K93</f>
        <v>29751.16</v>
      </c>
      <c r="M93" s="22"/>
      <c r="N93" s="7"/>
      <c r="O93" s="23">
        <f>L93+M93+N93</f>
        <v>29751.16</v>
      </c>
      <c r="P93" s="81"/>
      <c r="Q93" s="79">
        <f t="shared" si="26"/>
        <v>29751.16</v>
      </c>
    </row>
    <row r="94" spans="1:17" ht="12.75">
      <c r="A94" s="39" t="s">
        <v>245</v>
      </c>
      <c r="B94" s="98"/>
      <c r="C94" s="145"/>
      <c r="D94" s="114">
        <f>20000+4000</f>
        <v>24000</v>
      </c>
      <c r="E94" s="160"/>
      <c r="F94" s="189">
        <f t="shared" si="28"/>
        <v>24000</v>
      </c>
      <c r="G94" s="87"/>
      <c r="H94" s="7"/>
      <c r="I94" s="73"/>
      <c r="J94" s="28"/>
      <c r="K94" s="7"/>
      <c r="L94" s="73"/>
      <c r="M94" s="22"/>
      <c r="N94" s="7"/>
      <c r="O94" s="23"/>
      <c r="P94" s="81"/>
      <c r="Q94" s="79"/>
    </row>
    <row r="95" spans="1:17" ht="12.75" hidden="1">
      <c r="A95" s="34" t="s">
        <v>55</v>
      </c>
      <c r="B95" s="98"/>
      <c r="C95" s="145"/>
      <c r="D95" s="114"/>
      <c r="E95" s="160"/>
      <c r="F95" s="189">
        <f t="shared" si="28"/>
        <v>0</v>
      </c>
      <c r="G95" s="87"/>
      <c r="H95" s="7"/>
      <c r="I95" s="73"/>
      <c r="J95" s="28"/>
      <c r="K95" s="7"/>
      <c r="L95" s="73"/>
      <c r="M95" s="22"/>
      <c r="N95" s="7"/>
      <c r="O95" s="23"/>
      <c r="P95" s="81"/>
      <c r="Q95" s="79"/>
    </row>
    <row r="96" spans="1:17" ht="12.75" hidden="1">
      <c r="A96" s="35" t="s">
        <v>206</v>
      </c>
      <c r="B96" s="98"/>
      <c r="C96" s="145"/>
      <c r="D96" s="114"/>
      <c r="E96" s="160"/>
      <c r="F96" s="189">
        <f t="shared" si="28"/>
        <v>0</v>
      </c>
      <c r="G96" s="87"/>
      <c r="H96" s="7"/>
      <c r="I96" s="73"/>
      <c r="J96" s="28"/>
      <c r="K96" s="7"/>
      <c r="L96" s="73"/>
      <c r="M96" s="22"/>
      <c r="N96" s="7"/>
      <c r="O96" s="23"/>
      <c r="P96" s="81"/>
      <c r="Q96" s="79"/>
    </row>
    <row r="97" spans="1:17" ht="12.75" hidden="1">
      <c r="A97" s="35" t="s">
        <v>77</v>
      </c>
      <c r="B97" s="98"/>
      <c r="C97" s="145"/>
      <c r="D97" s="114"/>
      <c r="E97" s="160"/>
      <c r="F97" s="189">
        <f t="shared" si="28"/>
        <v>0</v>
      </c>
      <c r="G97" s="87"/>
      <c r="H97" s="7"/>
      <c r="I97" s="73">
        <f>F97+G97+H97</f>
        <v>0</v>
      </c>
      <c r="J97" s="28"/>
      <c r="K97" s="7"/>
      <c r="L97" s="73">
        <f>I97+J97+K97</f>
        <v>0</v>
      </c>
      <c r="M97" s="22"/>
      <c r="N97" s="7"/>
      <c r="O97" s="23">
        <f>L97+M97+N97</f>
        <v>0</v>
      </c>
      <c r="P97" s="81"/>
      <c r="Q97" s="79">
        <f t="shared" si="26"/>
        <v>0</v>
      </c>
    </row>
    <row r="98" spans="1:17" ht="12.75">
      <c r="A98" s="35" t="s">
        <v>251</v>
      </c>
      <c r="B98" s="98"/>
      <c r="C98" s="145">
        <v>2000</v>
      </c>
      <c r="D98" s="114"/>
      <c r="E98" s="160"/>
      <c r="F98" s="189">
        <f t="shared" si="28"/>
        <v>2000</v>
      </c>
      <c r="G98" s="87"/>
      <c r="H98" s="7"/>
      <c r="I98" s="73"/>
      <c r="J98" s="28"/>
      <c r="K98" s="7"/>
      <c r="L98" s="73"/>
      <c r="M98" s="22"/>
      <c r="N98" s="7"/>
      <c r="O98" s="23"/>
      <c r="P98" s="81"/>
      <c r="Q98" s="79"/>
    </row>
    <row r="99" spans="1:17" ht="12.75">
      <c r="A99" s="43" t="s">
        <v>67</v>
      </c>
      <c r="B99" s="101"/>
      <c r="C99" s="173">
        <v>30000</v>
      </c>
      <c r="D99" s="122">
        <f>-3124.33+9657.33</f>
        <v>6533</v>
      </c>
      <c r="E99" s="261"/>
      <c r="F99" s="193">
        <f t="shared" si="28"/>
        <v>36533</v>
      </c>
      <c r="G99" s="87"/>
      <c r="H99" s="7"/>
      <c r="I99" s="73">
        <f>F99+G99+H99</f>
        <v>36533</v>
      </c>
      <c r="J99" s="28"/>
      <c r="K99" s="7"/>
      <c r="L99" s="73">
        <f>I99+J99+K99</f>
        <v>36533</v>
      </c>
      <c r="M99" s="22"/>
      <c r="N99" s="7"/>
      <c r="O99" s="23">
        <f>L99+M99+N99</f>
        <v>36533</v>
      </c>
      <c r="P99" s="81"/>
      <c r="Q99" s="79">
        <f t="shared" si="26"/>
        <v>36533</v>
      </c>
    </row>
    <row r="100" spans="1:17" ht="12.75" hidden="1">
      <c r="A100" s="43" t="s">
        <v>70</v>
      </c>
      <c r="B100" s="101"/>
      <c r="C100" s="173"/>
      <c r="D100" s="122"/>
      <c r="E100" s="261"/>
      <c r="F100" s="193">
        <f t="shared" si="28"/>
        <v>0</v>
      </c>
      <c r="G100" s="212"/>
      <c r="H100" s="10"/>
      <c r="I100" s="72">
        <f>F100+G100+H100</f>
        <v>0</v>
      </c>
      <c r="J100" s="227"/>
      <c r="K100" s="10"/>
      <c r="L100" s="72">
        <f>I100+J100+K100</f>
        <v>0</v>
      </c>
      <c r="M100" s="26"/>
      <c r="N100" s="10"/>
      <c r="O100" s="27">
        <f>L100+M100+N100</f>
        <v>0</v>
      </c>
      <c r="P100" s="84"/>
      <c r="Q100" s="85">
        <f t="shared" si="26"/>
        <v>0</v>
      </c>
    </row>
    <row r="101" spans="1:17" ht="12.75">
      <c r="A101" s="36" t="s">
        <v>71</v>
      </c>
      <c r="B101" s="102"/>
      <c r="C101" s="139">
        <f>C102+C109</f>
        <v>17757</v>
      </c>
      <c r="D101" s="117">
        <f aca="true" t="shared" si="29" ref="D101:Q101">D102+D109</f>
        <v>0</v>
      </c>
      <c r="E101" s="161">
        <f t="shared" si="29"/>
        <v>0</v>
      </c>
      <c r="F101" s="190">
        <f t="shared" si="29"/>
        <v>17757</v>
      </c>
      <c r="G101" s="140">
        <f t="shared" si="29"/>
        <v>0</v>
      </c>
      <c r="H101" s="117">
        <f t="shared" si="29"/>
        <v>0</v>
      </c>
      <c r="I101" s="161">
        <f t="shared" si="29"/>
        <v>17093</v>
      </c>
      <c r="J101" s="139">
        <f t="shared" si="29"/>
        <v>0</v>
      </c>
      <c r="K101" s="117">
        <f t="shared" si="29"/>
        <v>0</v>
      </c>
      <c r="L101" s="161">
        <f t="shared" si="29"/>
        <v>17093</v>
      </c>
      <c r="M101" s="116">
        <f t="shared" si="29"/>
        <v>0</v>
      </c>
      <c r="N101" s="116">
        <f t="shared" si="29"/>
        <v>0</v>
      </c>
      <c r="O101" s="116">
        <f t="shared" si="29"/>
        <v>17093</v>
      </c>
      <c r="P101" s="116">
        <f t="shared" si="29"/>
        <v>0</v>
      </c>
      <c r="Q101" s="243">
        <f t="shared" si="29"/>
        <v>17093</v>
      </c>
    </row>
    <row r="102" spans="1:17" ht="12.75">
      <c r="A102" s="41" t="s">
        <v>49</v>
      </c>
      <c r="B102" s="102"/>
      <c r="C102" s="172">
        <f>SUM(C104:C108)</f>
        <v>17757</v>
      </c>
      <c r="D102" s="121">
        <f aca="true" t="shared" si="30" ref="D102:Q102">SUM(D104:D108)</f>
        <v>0</v>
      </c>
      <c r="E102" s="163">
        <f t="shared" si="30"/>
        <v>0</v>
      </c>
      <c r="F102" s="192">
        <f t="shared" si="30"/>
        <v>17757</v>
      </c>
      <c r="G102" s="210">
        <f t="shared" si="30"/>
        <v>0</v>
      </c>
      <c r="H102" s="121">
        <f t="shared" si="30"/>
        <v>0</v>
      </c>
      <c r="I102" s="163">
        <f t="shared" si="30"/>
        <v>17093</v>
      </c>
      <c r="J102" s="172">
        <f t="shared" si="30"/>
        <v>0</v>
      </c>
      <c r="K102" s="121">
        <f t="shared" si="30"/>
        <v>0</v>
      </c>
      <c r="L102" s="163">
        <f t="shared" si="30"/>
        <v>17093</v>
      </c>
      <c r="M102" s="120">
        <f t="shared" si="30"/>
        <v>0</v>
      </c>
      <c r="N102" s="120">
        <f t="shared" si="30"/>
        <v>0</v>
      </c>
      <c r="O102" s="120">
        <f t="shared" si="30"/>
        <v>17093</v>
      </c>
      <c r="P102" s="120">
        <f t="shared" si="30"/>
        <v>0</v>
      </c>
      <c r="Q102" s="245">
        <f t="shared" si="30"/>
        <v>17093</v>
      </c>
    </row>
    <row r="103" spans="1:17" ht="12.75">
      <c r="A103" s="37" t="s">
        <v>26</v>
      </c>
      <c r="B103" s="98"/>
      <c r="C103" s="145"/>
      <c r="D103" s="114"/>
      <c r="E103" s="160"/>
      <c r="F103" s="167"/>
      <c r="G103" s="87"/>
      <c r="H103" s="7"/>
      <c r="I103" s="69"/>
      <c r="J103" s="28"/>
      <c r="K103" s="7"/>
      <c r="L103" s="69"/>
      <c r="M103" s="22"/>
      <c r="N103" s="7"/>
      <c r="O103" s="21"/>
      <c r="P103" s="81"/>
      <c r="Q103" s="79"/>
    </row>
    <row r="104" spans="1:17" ht="12.75">
      <c r="A104" s="35" t="s">
        <v>51</v>
      </c>
      <c r="B104" s="98"/>
      <c r="C104" s="145">
        <v>17093</v>
      </c>
      <c r="D104" s="114"/>
      <c r="E104" s="160"/>
      <c r="F104" s="189">
        <f>C104+D104+E104</f>
        <v>17093</v>
      </c>
      <c r="G104" s="87"/>
      <c r="H104" s="7"/>
      <c r="I104" s="73">
        <f>SUM(F104:H104)</f>
        <v>17093</v>
      </c>
      <c r="J104" s="28"/>
      <c r="K104" s="7"/>
      <c r="L104" s="73">
        <f>I104+J104+K104</f>
        <v>17093</v>
      </c>
      <c r="M104" s="22"/>
      <c r="N104" s="7"/>
      <c r="O104" s="23">
        <f>L104+M104+N104</f>
        <v>17093</v>
      </c>
      <c r="P104" s="81"/>
      <c r="Q104" s="79">
        <f t="shared" si="26"/>
        <v>17093</v>
      </c>
    </row>
    <row r="105" spans="1:17" ht="12.75">
      <c r="A105" s="273" t="s">
        <v>78</v>
      </c>
      <c r="B105" s="101">
        <v>1245</v>
      </c>
      <c r="C105" s="173">
        <v>664</v>
      </c>
      <c r="D105" s="122"/>
      <c r="E105" s="261"/>
      <c r="F105" s="193">
        <f>C105+D105+E105</f>
        <v>664</v>
      </c>
      <c r="G105" s="87"/>
      <c r="H105" s="7"/>
      <c r="I105" s="73"/>
      <c r="J105" s="28"/>
      <c r="K105" s="7"/>
      <c r="L105" s="73"/>
      <c r="M105" s="22"/>
      <c r="N105" s="7"/>
      <c r="O105" s="23"/>
      <c r="P105" s="81"/>
      <c r="Q105" s="79"/>
    </row>
    <row r="106" spans="1:17" ht="12.75" hidden="1">
      <c r="A106" s="39" t="s">
        <v>72</v>
      </c>
      <c r="B106" s="98">
        <v>33166</v>
      </c>
      <c r="C106" s="145"/>
      <c r="D106" s="114"/>
      <c r="E106" s="160"/>
      <c r="F106" s="189">
        <f>C106+D106+E106</f>
        <v>0</v>
      </c>
      <c r="G106" s="87"/>
      <c r="H106" s="7"/>
      <c r="I106" s="73">
        <f>SUM(F106:H106)</f>
        <v>0</v>
      </c>
      <c r="J106" s="28"/>
      <c r="K106" s="7"/>
      <c r="L106" s="73">
        <f>I106+J106+K106</f>
        <v>0</v>
      </c>
      <c r="M106" s="22"/>
      <c r="N106" s="7"/>
      <c r="O106" s="23">
        <f>L106+M106+N106</f>
        <v>0</v>
      </c>
      <c r="P106" s="81"/>
      <c r="Q106" s="79">
        <f t="shared" si="26"/>
        <v>0</v>
      </c>
    </row>
    <row r="107" spans="1:17" ht="12.75" hidden="1">
      <c r="A107" s="46" t="s">
        <v>282</v>
      </c>
      <c r="B107" s="101">
        <v>33064</v>
      </c>
      <c r="C107" s="173"/>
      <c r="D107" s="122"/>
      <c r="E107" s="261"/>
      <c r="F107" s="193">
        <f>C107+D107+E107</f>
        <v>0</v>
      </c>
      <c r="G107" s="87"/>
      <c r="H107" s="7"/>
      <c r="I107" s="73"/>
      <c r="J107" s="28"/>
      <c r="K107" s="7"/>
      <c r="L107" s="73"/>
      <c r="M107" s="22"/>
      <c r="N107" s="7"/>
      <c r="O107" s="23"/>
      <c r="P107" s="81"/>
      <c r="Q107" s="79"/>
    </row>
    <row r="108" spans="1:17" ht="12.75" hidden="1">
      <c r="A108" s="39" t="s">
        <v>65</v>
      </c>
      <c r="B108" s="98"/>
      <c r="C108" s="145"/>
      <c r="D108" s="114"/>
      <c r="E108" s="160"/>
      <c r="F108" s="189">
        <f>C108+D108+E108</f>
        <v>0</v>
      </c>
      <c r="G108" s="87"/>
      <c r="H108" s="7"/>
      <c r="I108" s="73">
        <f>SUM(F108:H108)</f>
        <v>0</v>
      </c>
      <c r="J108" s="28"/>
      <c r="K108" s="7"/>
      <c r="L108" s="73">
        <f>I108+J108+K108</f>
        <v>0</v>
      </c>
      <c r="M108" s="22"/>
      <c r="N108" s="7"/>
      <c r="O108" s="23">
        <f>L108+M108+N108</f>
        <v>0</v>
      </c>
      <c r="P108" s="81"/>
      <c r="Q108" s="79">
        <f t="shared" si="26"/>
        <v>0</v>
      </c>
    </row>
    <row r="109" spans="1:17" ht="12.75" hidden="1">
      <c r="A109" s="41" t="s">
        <v>54</v>
      </c>
      <c r="B109" s="102"/>
      <c r="C109" s="172">
        <f>C111</f>
        <v>0</v>
      </c>
      <c r="D109" s="121">
        <f aca="true" t="shared" si="31" ref="D109:Q109">D111</f>
        <v>0</v>
      </c>
      <c r="E109" s="163">
        <f t="shared" si="31"/>
        <v>0</v>
      </c>
      <c r="F109" s="192">
        <f t="shared" si="31"/>
        <v>0</v>
      </c>
      <c r="G109" s="210">
        <f t="shared" si="31"/>
        <v>0</v>
      </c>
      <c r="H109" s="121">
        <f t="shared" si="31"/>
        <v>0</v>
      </c>
      <c r="I109" s="163">
        <f t="shared" si="31"/>
        <v>0</v>
      </c>
      <c r="J109" s="172">
        <f t="shared" si="31"/>
        <v>0</v>
      </c>
      <c r="K109" s="121">
        <f t="shared" si="31"/>
        <v>0</v>
      </c>
      <c r="L109" s="163">
        <f t="shared" si="31"/>
        <v>0</v>
      </c>
      <c r="M109" s="120">
        <f t="shared" si="31"/>
        <v>0</v>
      </c>
      <c r="N109" s="120">
        <f t="shared" si="31"/>
        <v>0</v>
      </c>
      <c r="O109" s="120">
        <f t="shared" si="31"/>
        <v>0</v>
      </c>
      <c r="P109" s="120">
        <f t="shared" si="31"/>
        <v>0</v>
      </c>
      <c r="Q109" s="245">
        <f t="shared" si="31"/>
        <v>0</v>
      </c>
    </row>
    <row r="110" spans="1:17" ht="12.75" hidden="1">
      <c r="A110" s="37" t="s">
        <v>26</v>
      </c>
      <c r="B110" s="98"/>
      <c r="C110" s="145"/>
      <c r="D110" s="114"/>
      <c r="E110" s="160"/>
      <c r="F110" s="167"/>
      <c r="G110" s="87"/>
      <c r="H110" s="7"/>
      <c r="I110" s="69"/>
      <c r="J110" s="28"/>
      <c r="K110" s="7"/>
      <c r="L110" s="69"/>
      <c r="M110" s="22"/>
      <c r="N110" s="7"/>
      <c r="O110" s="21"/>
      <c r="P110" s="81"/>
      <c r="Q110" s="79"/>
    </row>
    <row r="111" spans="1:17" ht="12.75" hidden="1">
      <c r="A111" s="38" t="s">
        <v>165</v>
      </c>
      <c r="B111" s="101"/>
      <c r="C111" s="173"/>
      <c r="D111" s="122"/>
      <c r="E111" s="261"/>
      <c r="F111" s="193">
        <f>C111+D111+E111</f>
        <v>0</v>
      </c>
      <c r="G111" s="212"/>
      <c r="H111" s="10"/>
      <c r="I111" s="202"/>
      <c r="J111" s="227"/>
      <c r="K111" s="10"/>
      <c r="L111" s="72">
        <f>I111+J111+K111</f>
        <v>0</v>
      </c>
      <c r="M111" s="26"/>
      <c r="N111" s="10"/>
      <c r="O111" s="27">
        <f>L111+M111+N111</f>
        <v>0</v>
      </c>
      <c r="P111" s="84"/>
      <c r="Q111" s="85">
        <f t="shared" si="26"/>
        <v>0</v>
      </c>
    </row>
    <row r="112" spans="1:17" ht="12.75">
      <c r="A112" s="32" t="s">
        <v>73</v>
      </c>
      <c r="B112" s="102"/>
      <c r="C112" s="152">
        <f>C113+C125</f>
        <v>1419650</v>
      </c>
      <c r="D112" s="113">
        <f aca="true" t="shared" si="32" ref="D112:Q112">D113+D125</f>
        <v>285470.35</v>
      </c>
      <c r="E112" s="136">
        <f t="shared" si="32"/>
        <v>0</v>
      </c>
      <c r="F112" s="167">
        <f t="shared" si="32"/>
        <v>1705120.35</v>
      </c>
      <c r="G112" s="153">
        <f t="shared" si="32"/>
        <v>0</v>
      </c>
      <c r="H112" s="113">
        <f t="shared" si="32"/>
        <v>0</v>
      </c>
      <c r="I112" s="136">
        <f t="shared" si="32"/>
        <v>1705120.35</v>
      </c>
      <c r="J112" s="152">
        <f t="shared" si="32"/>
        <v>0</v>
      </c>
      <c r="K112" s="113">
        <f t="shared" si="32"/>
        <v>0</v>
      </c>
      <c r="L112" s="136">
        <f t="shared" si="32"/>
        <v>1705120.35</v>
      </c>
      <c r="M112" s="112">
        <f t="shared" si="32"/>
        <v>0</v>
      </c>
      <c r="N112" s="112">
        <f t="shared" si="32"/>
        <v>0</v>
      </c>
      <c r="O112" s="112">
        <f t="shared" si="32"/>
        <v>1705120.35</v>
      </c>
      <c r="P112" s="112">
        <f t="shared" si="32"/>
        <v>0</v>
      </c>
      <c r="Q112" s="240">
        <f t="shared" si="32"/>
        <v>1705120.35</v>
      </c>
    </row>
    <row r="113" spans="1:17" ht="12.75">
      <c r="A113" s="41" t="s">
        <v>49</v>
      </c>
      <c r="B113" s="102"/>
      <c r="C113" s="172">
        <f>SUM(C116:C124)</f>
        <v>1417150</v>
      </c>
      <c r="D113" s="121">
        <f aca="true" t="shared" si="33" ref="D113:Q113">SUM(D116:D124)</f>
        <v>285470.35</v>
      </c>
      <c r="E113" s="163">
        <f t="shared" si="33"/>
        <v>0</v>
      </c>
      <c r="F113" s="192">
        <f t="shared" si="33"/>
        <v>1702620.35</v>
      </c>
      <c r="G113" s="210">
        <f t="shared" si="33"/>
        <v>0</v>
      </c>
      <c r="H113" s="121">
        <f t="shared" si="33"/>
        <v>0</v>
      </c>
      <c r="I113" s="163">
        <f t="shared" si="33"/>
        <v>1702620.35</v>
      </c>
      <c r="J113" s="172">
        <f t="shared" si="33"/>
        <v>0</v>
      </c>
      <c r="K113" s="121">
        <f t="shared" si="33"/>
        <v>0</v>
      </c>
      <c r="L113" s="163">
        <f t="shared" si="33"/>
        <v>1702620.35</v>
      </c>
      <c r="M113" s="120">
        <f t="shared" si="33"/>
        <v>0</v>
      </c>
      <c r="N113" s="120">
        <f t="shared" si="33"/>
        <v>0</v>
      </c>
      <c r="O113" s="120">
        <f t="shared" si="33"/>
        <v>1702620.35</v>
      </c>
      <c r="P113" s="120">
        <f t="shared" si="33"/>
        <v>0</v>
      </c>
      <c r="Q113" s="245">
        <f t="shared" si="33"/>
        <v>1702620.35</v>
      </c>
    </row>
    <row r="114" spans="1:17" ht="12.75">
      <c r="A114" s="37" t="s">
        <v>26</v>
      </c>
      <c r="B114" s="98"/>
      <c r="C114" s="145"/>
      <c r="D114" s="114"/>
      <c r="E114" s="160"/>
      <c r="F114" s="167"/>
      <c r="G114" s="87"/>
      <c r="H114" s="7"/>
      <c r="I114" s="69"/>
      <c r="J114" s="28"/>
      <c r="K114" s="7"/>
      <c r="L114" s="69"/>
      <c r="M114" s="22"/>
      <c r="N114" s="7"/>
      <c r="O114" s="21"/>
      <c r="P114" s="81"/>
      <c r="Q114" s="79"/>
    </row>
    <row r="115" spans="1:17" ht="12.75">
      <c r="A115" s="39" t="s">
        <v>331</v>
      </c>
      <c r="B115" s="98"/>
      <c r="C115" s="145">
        <f>C116+C117</f>
        <v>882300</v>
      </c>
      <c r="D115" s="114">
        <f>D116+D117</f>
        <v>39230.06</v>
      </c>
      <c r="E115" s="160">
        <f>E116+E117</f>
        <v>0</v>
      </c>
      <c r="F115" s="189">
        <f>F116+F117</f>
        <v>921530.06</v>
      </c>
      <c r="G115" s="87"/>
      <c r="H115" s="7"/>
      <c r="I115" s="73">
        <f>I116+I117</f>
        <v>921530.06</v>
      </c>
      <c r="J115" s="28"/>
      <c r="K115" s="7"/>
      <c r="L115" s="73">
        <f>L116+L117</f>
        <v>921530.06</v>
      </c>
      <c r="M115" s="22"/>
      <c r="N115" s="7"/>
      <c r="O115" s="23">
        <f>O116+O117</f>
        <v>921530.06</v>
      </c>
      <c r="P115" s="81"/>
      <c r="Q115" s="79">
        <f t="shared" si="26"/>
        <v>921530.06</v>
      </c>
    </row>
    <row r="116" spans="1:19" ht="12.75">
      <c r="A116" s="39" t="s">
        <v>332</v>
      </c>
      <c r="B116" s="98"/>
      <c r="C116" s="145">
        <v>417000</v>
      </c>
      <c r="D116" s="125">
        <f>-1621.14+582.5+50.49</f>
        <v>-988.1500000000001</v>
      </c>
      <c r="E116" s="160"/>
      <c r="F116" s="189">
        <f aca="true" t="shared" si="34" ref="F116:F124">C116+D116+E116</f>
        <v>416011.85</v>
      </c>
      <c r="G116" s="213"/>
      <c r="H116" s="11"/>
      <c r="I116" s="73">
        <f aca="true" t="shared" si="35" ref="I116:I124">F116+G116+H116</f>
        <v>416011.85</v>
      </c>
      <c r="J116" s="28"/>
      <c r="K116" s="7"/>
      <c r="L116" s="73">
        <f aca="true" t="shared" si="36" ref="L116:L124">I116+J116+K116</f>
        <v>416011.85</v>
      </c>
      <c r="M116" s="22"/>
      <c r="N116" s="7"/>
      <c r="O116" s="23">
        <f aca="true" t="shared" si="37" ref="O116:O124">L116+M116+N116</f>
        <v>416011.85</v>
      </c>
      <c r="P116" s="81"/>
      <c r="Q116" s="79">
        <f t="shared" si="26"/>
        <v>416011.85</v>
      </c>
      <c r="S116" s="238"/>
    </row>
    <row r="117" spans="1:17" ht="12.75">
      <c r="A117" s="35" t="s">
        <v>333</v>
      </c>
      <c r="B117" s="98"/>
      <c r="C117" s="145">
        <v>465300</v>
      </c>
      <c r="D117" s="114">
        <f>5577+34402+239.21</f>
        <v>40218.21</v>
      </c>
      <c r="E117" s="160"/>
      <c r="F117" s="189">
        <f t="shared" si="34"/>
        <v>505518.21</v>
      </c>
      <c r="G117" s="213"/>
      <c r="H117" s="11"/>
      <c r="I117" s="73">
        <f t="shared" si="35"/>
        <v>505518.21</v>
      </c>
      <c r="J117" s="28"/>
      <c r="K117" s="7"/>
      <c r="L117" s="73">
        <f t="shared" si="36"/>
        <v>505518.21</v>
      </c>
      <c r="M117" s="22"/>
      <c r="N117" s="7"/>
      <c r="O117" s="23">
        <f t="shared" si="37"/>
        <v>505518.21</v>
      </c>
      <c r="P117" s="81"/>
      <c r="Q117" s="79">
        <f t="shared" si="26"/>
        <v>505518.21</v>
      </c>
    </row>
    <row r="118" spans="1:17" ht="12.75">
      <c r="A118" s="39" t="s">
        <v>74</v>
      </c>
      <c r="B118" s="98"/>
      <c r="C118" s="145">
        <v>28000</v>
      </c>
      <c r="D118" s="114"/>
      <c r="E118" s="160"/>
      <c r="F118" s="189">
        <f t="shared" si="34"/>
        <v>28000</v>
      </c>
      <c r="G118" s="87"/>
      <c r="H118" s="7"/>
      <c r="I118" s="73">
        <f t="shared" si="35"/>
        <v>28000</v>
      </c>
      <c r="J118" s="28"/>
      <c r="K118" s="7"/>
      <c r="L118" s="73">
        <f t="shared" si="36"/>
        <v>28000</v>
      </c>
      <c r="M118" s="22"/>
      <c r="N118" s="7"/>
      <c r="O118" s="23">
        <f t="shared" si="37"/>
        <v>28000</v>
      </c>
      <c r="P118" s="81"/>
      <c r="Q118" s="79">
        <f t="shared" si="26"/>
        <v>28000</v>
      </c>
    </row>
    <row r="119" spans="1:17" ht="12.75" hidden="1">
      <c r="A119" s="35" t="s">
        <v>75</v>
      </c>
      <c r="B119" s="98"/>
      <c r="C119" s="145"/>
      <c r="D119" s="114"/>
      <c r="E119" s="160"/>
      <c r="F119" s="189">
        <f t="shared" si="34"/>
        <v>0</v>
      </c>
      <c r="G119" s="87"/>
      <c r="H119" s="7"/>
      <c r="I119" s="73">
        <f t="shared" si="35"/>
        <v>0</v>
      </c>
      <c r="J119" s="28"/>
      <c r="K119" s="7"/>
      <c r="L119" s="73">
        <f t="shared" si="36"/>
        <v>0</v>
      </c>
      <c r="M119" s="22"/>
      <c r="N119" s="7"/>
      <c r="O119" s="23">
        <f t="shared" si="37"/>
        <v>0</v>
      </c>
      <c r="P119" s="81"/>
      <c r="Q119" s="79">
        <f t="shared" si="26"/>
        <v>0</v>
      </c>
    </row>
    <row r="120" spans="1:17" ht="12.75">
      <c r="A120" s="35" t="s">
        <v>65</v>
      </c>
      <c r="B120" s="98"/>
      <c r="C120" s="145"/>
      <c r="D120" s="114">
        <f>1621.14</f>
        <v>1621.14</v>
      </c>
      <c r="E120" s="160"/>
      <c r="F120" s="189">
        <f t="shared" si="34"/>
        <v>1621.14</v>
      </c>
      <c r="G120" s="87"/>
      <c r="H120" s="7"/>
      <c r="I120" s="73">
        <f t="shared" si="35"/>
        <v>1621.14</v>
      </c>
      <c r="J120" s="28"/>
      <c r="K120" s="7"/>
      <c r="L120" s="73">
        <f t="shared" si="36"/>
        <v>1621.14</v>
      </c>
      <c r="M120" s="22"/>
      <c r="N120" s="7"/>
      <c r="O120" s="23">
        <f t="shared" si="37"/>
        <v>1621.14</v>
      </c>
      <c r="P120" s="81"/>
      <c r="Q120" s="79">
        <f t="shared" si="26"/>
        <v>1621.14</v>
      </c>
    </row>
    <row r="121" spans="1:17" ht="12.75" hidden="1">
      <c r="A121" s="35" t="s">
        <v>76</v>
      </c>
      <c r="B121" s="98">
        <v>91252</v>
      </c>
      <c r="C121" s="145"/>
      <c r="D121" s="114"/>
      <c r="E121" s="160"/>
      <c r="F121" s="189">
        <f t="shared" si="34"/>
        <v>0</v>
      </c>
      <c r="G121" s="87"/>
      <c r="H121" s="7"/>
      <c r="I121" s="73">
        <f t="shared" si="35"/>
        <v>0</v>
      </c>
      <c r="J121" s="28"/>
      <c r="K121" s="7"/>
      <c r="L121" s="73">
        <f t="shared" si="36"/>
        <v>0</v>
      </c>
      <c r="M121" s="22"/>
      <c r="N121" s="7"/>
      <c r="O121" s="23">
        <f t="shared" si="37"/>
        <v>0</v>
      </c>
      <c r="P121" s="81"/>
      <c r="Q121" s="79">
        <f t="shared" si="26"/>
        <v>0</v>
      </c>
    </row>
    <row r="122" spans="1:17" ht="12.75">
      <c r="A122" s="35" t="s">
        <v>142</v>
      </c>
      <c r="B122" s="98">
        <v>27355</v>
      </c>
      <c r="C122" s="145"/>
      <c r="D122" s="114">
        <f>223545.15</f>
        <v>223545.15</v>
      </c>
      <c r="E122" s="160"/>
      <c r="F122" s="189">
        <f t="shared" si="34"/>
        <v>223545.15</v>
      </c>
      <c r="G122" s="87"/>
      <c r="H122" s="7"/>
      <c r="I122" s="73">
        <f t="shared" si="35"/>
        <v>223545.15</v>
      </c>
      <c r="J122" s="28"/>
      <c r="K122" s="7"/>
      <c r="L122" s="73">
        <f t="shared" si="36"/>
        <v>223545.15</v>
      </c>
      <c r="M122" s="22"/>
      <c r="N122" s="7"/>
      <c r="O122" s="23">
        <f t="shared" si="37"/>
        <v>223545.15</v>
      </c>
      <c r="P122" s="81"/>
      <c r="Q122" s="79">
        <f t="shared" si="26"/>
        <v>223545.15</v>
      </c>
    </row>
    <row r="123" spans="1:17" ht="12.75">
      <c r="A123" s="35" t="s">
        <v>51</v>
      </c>
      <c r="B123" s="98"/>
      <c r="C123" s="145">
        <v>506850</v>
      </c>
      <c r="D123" s="114">
        <f>20641.9+432.1</f>
        <v>21074</v>
      </c>
      <c r="E123" s="160"/>
      <c r="F123" s="189">
        <f t="shared" si="34"/>
        <v>527924</v>
      </c>
      <c r="G123" s="87"/>
      <c r="H123" s="7"/>
      <c r="I123" s="73">
        <f t="shared" si="35"/>
        <v>527924</v>
      </c>
      <c r="J123" s="28"/>
      <c r="K123" s="7"/>
      <c r="L123" s="73">
        <f t="shared" si="36"/>
        <v>527924</v>
      </c>
      <c r="M123" s="22"/>
      <c r="N123" s="7"/>
      <c r="O123" s="23">
        <f t="shared" si="37"/>
        <v>527924</v>
      </c>
      <c r="P123" s="81"/>
      <c r="Q123" s="79">
        <f t="shared" si="26"/>
        <v>527924</v>
      </c>
    </row>
    <row r="124" spans="1:17" ht="12" customHeight="1" hidden="1">
      <c r="A124" s="35" t="s">
        <v>77</v>
      </c>
      <c r="B124" s="98"/>
      <c r="C124" s="145"/>
      <c r="D124" s="114"/>
      <c r="E124" s="160"/>
      <c r="F124" s="189">
        <f t="shared" si="34"/>
        <v>0</v>
      </c>
      <c r="G124" s="87"/>
      <c r="H124" s="7"/>
      <c r="I124" s="73">
        <f t="shared" si="35"/>
        <v>0</v>
      </c>
      <c r="J124" s="28"/>
      <c r="K124" s="7"/>
      <c r="L124" s="73">
        <f t="shared" si="36"/>
        <v>0</v>
      </c>
      <c r="M124" s="22"/>
      <c r="N124" s="7"/>
      <c r="O124" s="23">
        <f t="shared" si="37"/>
        <v>0</v>
      </c>
      <c r="P124" s="81"/>
      <c r="Q124" s="79">
        <f t="shared" si="26"/>
        <v>0</v>
      </c>
    </row>
    <row r="125" spans="1:17" ht="12.75">
      <c r="A125" s="42" t="s">
        <v>54</v>
      </c>
      <c r="B125" s="102"/>
      <c r="C125" s="174">
        <f>SUM(C127:C129)</f>
        <v>2500</v>
      </c>
      <c r="D125" s="124">
        <f aca="true" t="shared" si="38" ref="D125:Q125">SUM(D127:D129)</f>
        <v>0</v>
      </c>
      <c r="E125" s="164">
        <f t="shared" si="38"/>
        <v>0</v>
      </c>
      <c r="F125" s="194">
        <f t="shared" si="38"/>
        <v>2500</v>
      </c>
      <c r="G125" s="211">
        <f t="shared" si="38"/>
        <v>0</v>
      </c>
      <c r="H125" s="124">
        <f t="shared" si="38"/>
        <v>0</v>
      </c>
      <c r="I125" s="164">
        <f t="shared" si="38"/>
        <v>2500</v>
      </c>
      <c r="J125" s="174">
        <f t="shared" si="38"/>
        <v>0</v>
      </c>
      <c r="K125" s="124">
        <f t="shared" si="38"/>
        <v>0</v>
      </c>
      <c r="L125" s="164">
        <f t="shared" si="38"/>
        <v>2500</v>
      </c>
      <c r="M125" s="123">
        <f t="shared" si="38"/>
        <v>0</v>
      </c>
      <c r="N125" s="123">
        <f t="shared" si="38"/>
        <v>0</v>
      </c>
      <c r="O125" s="123">
        <f t="shared" si="38"/>
        <v>2500</v>
      </c>
      <c r="P125" s="123">
        <f t="shared" si="38"/>
        <v>0</v>
      </c>
      <c r="Q125" s="246">
        <f t="shared" si="38"/>
        <v>2500</v>
      </c>
    </row>
    <row r="126" spans="1:17" ht="12.75">
      <c r="A126" s="33" t="s">
        <v>26</v>
      </c>
      <c r="B126" s="98"/>
      <c r="C126" s="139"/>
      <c r="D126" s="117"/>
      <c r="E126" s="161"/>
      <c r="F126" s="190"/>
      <c r="G126" s="208"/>
      <c r="H126" s="8"/>
      <c r="I126" s="29"/>
      <c r="J126" s="226"/>
      <c r="K126" s="8"/>
      <c r="L126" s="29"/>
      <c r="M126" s="24"/>
      <c r="N126" s="8"/>
      <c r="O126" s="25"/>
      <c r="P126" s="81"/>
      <c r="Q126" s="79"/>
    </row>
    <row r="127" spans="1:17" ht="12.75" hidden="1">
      <c r="A127" s="43" t="s">
        <v>55</v>
      </c>
      <c r="B127" s="101"/>
      <c r="C127" s="173"/>
      <c r="D127" s="122"/>
      <c r="E127" s="261"/>
      <c r="F127" s="193">
        <f>C127+D127+E127</f>
        <v>0</v>
      </c>
      <c r="G127" s="87"/>
      <c r="H127" s="7"/>
      <c r="I127" s="73">
        <f>F127+G127+H127</f>
        <v>0</v>
      </c>
      <c r="J127" s="28"/>
      <c r="K127" s="7"/>
      <c r="L127" s="73">
        <f>I127+J127+K127</f>
        <v>0</v>
      </c>
      <c r="M127" s="22"/>
      <c r="N127" s="7"/>
      <c r="O127" s="23">
        <f>L127+M127+N127</f>
        <v>0</v>
      </c>
      <c r="P127" s="81"/>
      <c r="Q127" s="79">
        <f t="shared" si="26"/>
        <v>0</v>
      </c>
    </row>
    <row r="128" spans="1:17" ht="12.75">
      <c r="A128" s="38" t="s">
        <v>87</v>
      </c>
      <c r="B128" s="101"/>
      <c r="C128" s="173">
        <v>2500</v>
      </c>
      <c r="D128" s="122"/>
      <c r="E128" s="261"/>
      <c r="F128" s="193">
        <f>C128+D128+E128</f>
        <v>2500</v>
      </c>
      <c r="G128" s="87"/>
      <c r="H128" s="7"/>
      <c r="I128" s="73">
        <f>F128+G128+H128</f>
        <v>2500</v>
      </c>
      <c r="J128" s="28"/>
      <c r="K128" s="7"/>
      <c r="L128" s="73">
        <f>I128+J128+K128</f>
        <v>2500</v>
      </c>
      <c r="M128" s="22"/>
      <c r="N128" s="7"/>
      <c r="O128" s="23">
        <f>L128+M128+N128</f>
        <v>2500</v>
      </c>
      <c r="P128" s="81"/>
      <c r="Q128" s="79">
        <f t="shared" si="26"/>
        <v>2500</v>
      </c>
    </row>
    <row r="129" spans="1:17" ht="12.75" hidden="1">
      <c r="A129" s="38" t="s">
        <v>78</v>
      </c>
      <c r="B129" s="101"/>
      <c r="C129" s="173"/>
      <c r="D129" s="122"/>
      <c r="E129" s="261"/>
      <c r="F129" s="193">
        <f>C129+D129+E129</f>
        <v>0</v>
      </c>
      <c r="G129" s="212"/>
      <c r="H129" s="10"/>
      <c r="I129" s="72">
        <f>F129+G129+H129</f>
        <v>0</v>
      </c>
      <c r="J129" s="227"/>
      <c r="K129" s="10"/>
      <c r="L129" s="72">
        <f>I129+J129+K129</f>
        <v>0</v>
      </c>
      <c r="M129" s="26"/>
      <c r="N129" s="10"/>
      <c r="O129" s="27">
        <f>L129+M129+N129</f>
        <v>0</v>
      </c>
      <c r="P129" s="84"/>
      <c r="Q129" s="85">
        <f t="shared" si="26"/>
        <v>0</v>
      </c>
    </row>
    <row r="130" spans="1:17" ht="12.75">
      <c r="A130" s="36" t="s">
        <v>79</v>
      </c>
      <c r="B130" s="102"/>
      <c r="C130" s="139">
        <f>C131+C136</f>
        <v>64210</v>
      </c>
      <c r="D130" s="117">
        <f aca="true" t="shared" si="39" ref="D130:Q130">D131+D136</f>
        <v>26046.79</v>
      </c>
      <c r="E130" s="161">
        <f t="shared" si="39"/>
        <v>0</v>
      </c>
      <c r="F130" s="190">
        <f t="shared" si="39"/>
        <v>90256.79</v>
      </c>
      <c r="G130" s="140">
        <f t="shared" si="39"/>
        <v>0</v>
      </c>
      <c r="H130" s="117">
        <f t="shared" si="39"/>
        <v>0</v>
      </c>
      <c r="I130" s="161">
        <f t="shared" si="39"/>
        <v>90256.79</v>
      </c>
      <c r="J130" s="139">
        <f t="shared" si="39"/>
        <v>0</v>
      </c>
      <c r="K130" s="117">
        <f t="shared" si="39"/>
        <v>0</v>
      </c>
      <c r="L130" s="161">
        <f t="shared" si="39"/>
        <v>90256.79</v>
      </c>
      <c r="M130" s="116">
        <f t="shared" si="39"/>
        <v>0</v>
      </c>
      <c r="N130" s="116">
        <f t="shared" si="39"/>
        <v>0</v>
      </c>
      <c r="O130" s="116">
        <f t="shared" si="39"/>
        <v>90256.79</v>
      </c>
      <c r="P130" s="116">
        <f t="shared" si="39"/>
        <v>0</v>
      </c>
      <c r="Q130" s="243">
        <f t="shared" si="39"/>
        <v>90256.79</v>
      </c>
    </row>
    <row r="131" spans="1:17" ht="12.75">
      <c r="A131" s="41" t="s">
        <v>49</v>
      </c>
      <c r="B131" s="102"/>
      <c r="C131" s="172">
        <f>SUM(C133:C135)</f>
        <v>47210</v>
      </c>
      <c r="D131" s="121">
        <f aca="true" t="shared" si="40" ref="D131:Q131">SUM(D133:D135)</f>
        <v>11526.31</v>
      </c>
      <c r="E131" s="163">
        <f t="shared" si="40"/>
        <v>0</v>
      </c>
      <c r="F131" s="192">
        <f t="shared" si="40"/>
        <v>58736.31</v>
      </c>
      <c r="G131" s="210">
        <f t="shared" si="40"/>
        <v>0</v>
      </c>
      <c r="H131" s="121">
        <f t="shared" si="40"/>
        <v>0</v>
      </c>
      <c r="I131" s="163">
        <f t="shared" si="40"/>
        <v>58736.31</v>
      </c>
      <c r="J131" s="172">
        <f t="shared" si="40"/>
        <v>0</v>
      </c>
      <c r="K131" s="121">
        <f t="shared" si="40"/>
        <v>0</v>
      </c>
      <c r="L131" s="163">
        <f t="shared" si="40"/>
        <v>58736.31</v>
      </c>
      <c r="M131" s="120">
        <f t="shared" si="40"/>
        <v>0</v>
      </c>
      <c r="N131" s="120">
        <f t="shared" si="40"/>
        <v>0</v>
      </c>
      <c r="O131" s="120">
        <f t="shared" si="40"/>
        <v>58736.31</v>
      </c>
      <c r="P131" s="120">
        <f t="shared" si="40"/>
        <v>0</v>
      </c>
      <c r="Q131" s="245">
        <f t="shared" si="40"/>
        <v>58736.31</v>
      </c>
    </row>
    <row r="132" spans="1:17" ht="12.75">
      <c r="A132" s="37" t="s">
        <v>26</v>
      </c>
      <c r="B132" s="98"/>
      <c r="C132" s="145"/>
      <c r="D132" s="114"/>
      <c r="E132" s="160"/>
      <c r="F132" s="167"/>
      <c r="G132" s="87"/>
      <c r="H132" s="7"/>
      <c r="I132" s="69"/>
      <c r="J132" s="28"/>
      <c r="K132" s="7"/>
      <c r="L132" s="69"/>
      <c r="M132" s="22"/>
      <c r="N132" s="7"/>
      <c r="O132" s="21"/>
      <c r="P132" s="81"/>
      <c r="Q132" s="79"/>
    </row>
    <row r="133" spans="1:17" ht="12.75">
      <c r="A133" s="35" t="s">
        <v>51</v>
      </c>
      <c r="B133" s="98"/>
      <c r="C133" s="145">
        <v>23210</v>
      </c>
      <c r="D133" s="114">
        <f>10326.31</f>
        <v>10326.31</v>
      </c>
      <c r="E133" s="160"/>
      <c r="F133" s="189">
        <f>C133+D133+E133</f>
        <v>33536.31</v>
      </c>
      <c r="G133" s="87"/>
      <c r="H133" s="7"/>
      <c r="I133" s="73">
        <f>F133+G133+H133</f>
        <v>33536.31</v>
      </c>
      <c r="J133" s="28"/>
      <c r="K133" s="7"/>
      <c r="L133" s="73">
        <f>I133+J133+K133</f>
        <v>33536.31</v>
      </c>
      <c r="M133" s="22"/>
      <c r="N133" s="7"/>
      <c r="O133" s="23">
        <f>L133+M133+N133</f>
        <v>33536.31</v>
      </c>
      <c r="P133" s="81"/>
      <c r="Q133" s="79">
        <f t="shared" si="26"/>
        <v>33536.31</v>
      </c>
    </row>
    <row r="134" spans="1:17" ht="12.75" hidden="1">
      <c r="A134" s="35" t="s">
        <v>78</v>
      </c>
      <c r="B134" s="98"/>
      <c r="C134" s="145"/>
      <c r="D134" s="114"/>
      <c r="E134" s="160"/>
      <c r="F134" s="189">
        <f>C134+D134+E134</f>
        <v>0</v>
      </c>
      <c r="G134" s="87"/>
      <c r="H134" s="7"/>
      <c r="I134" s="73"/>
      <c r="J134" s="28"/>
      <c r="K134" s="7"/>
      <c r="L134" s="73"/>
      <c r="M134" s="22"/>
      <c r="N134" s="7"/>
      <c r="O134" s="23">
        <f>L134+M134+N134</f>
        <v>0</v>
      </c>
      <c r="P134" s="81"/>
      <c r="Q134" s="79">
        <f t="shared" si="26"/>
        <v>0</v>
      </c>
    </row>
    <row r="135" spans="1:17" ht="12.75">
      <c r="A135" s="35" t="s">
        <v>80</v>
      </c>
      <c r="B135" s="98"/>
      <c r="C135" s="145">
        <v>24000</v>
      </c>
      <c r="D135" s="114">
        <f>1200</f>
        <v>1200</v>
      </c>
      <c r="E135" s="160"/>
      <c r="F135" s="189">
        <f>C135+D135+E135</f>
        <v>25200</v>
      </c>
      <c r="G135" s="87"/>
      <c r="H135" s="7"/>
      <c r="I135" s="73">
        <f>F135+G135+H135</f>
        <v>25200</v>
      </c>
      <c r="J135" s="28"/>
      <c r="K135" s="7"/>
      <c r="L135" s="73">
        <f>I135+J135+K135</f>
        <v>25200</v>
      </c>
      <c r="M135" s="22"/>
      <c r="N135" s="7"/>
      <c r="O135" s="23">
        <f>L135+M135+N135</f>
        <v>25200</v>
      </c>
      <c r="P135" s="81"/>
      <c r="Q135" s="79">
        <f>O135+P135</f>
        <v>25200</v>
      </c>
    </row>
    <row r="136" spans="1:17" ht="12.75">
      <c r="A136" s="42" t="s">
        <v>54</v>
      </c>
      <c r="B136" s="102"/>
      <c r="C136" s="174">
        <f>SUM(C138:C141)</f>
        <v>17000</v>
      </c>
      <c r="D136" s="124">
        <f aca="true" t="shared" si="41" ref="D136:Q136">SUM(D138:D141)</f>
        <v>14520.48</v>
      </c>
      <c r="E136" s="164">
        <f t="shared" si="41"/>
        <v>0</v>
      </c>
      <c r="F136" s="194">
        <f t="shared" si="41"/>
        <v>31520.48</v>
      </c>
      <c r="G136" s="211">
        <f t="shared" si="41"/>
        <v>0</v>
      </c>
      <c r="H136" s="124">
        <f t="shared" si="41"/>
        <v>0</v>
      </c>
      <c r="I136" s="164">
        <f t="shared" si="41"/>
        <v>31520.48</v>
      </c>
      <c r="J136" s="174">
        <f t="shared" si="41"/>
        <v>0</v>
      </c>
      <c r="K136" s="124">
        <f t="shared" si="41"/>
        <v>0</v>
      </c>
      <c r="L136" s="164">
        <f t="shared" si="41"/>
        <v>31520.48</v>
      </c>
      <c r="M136" s="123">
        <f t="shared" si="41"/>
        <v>0</v>
      </c>
      <c r="N136" s="123">
        <f t="shared" si="41"/>
        <v>0</v>
      </c>
      <c r="O136" s="123">
        <f t="shared" si="41"/>
        <v>31520.48</v>
      </c>
      <c r="P136" s="123">
        <f t="shared" si="41"/>
        <v>0</v>
      </c>
      <c r="Q136" s="246">
        <f t="shared" si="41"/>
        <v>31520.48</v>
      </c>
    </row>
    <row r="137" spans="1:17" ht="12.75">
      <c r="A137" s="33" t="s">
        <v>26</v>
      </c>
      <c r="B137" s="98"/>
      <c r="C137" s="139"/>
      <c r="D137" s="117"/>
      <c r="E137" s="161"/>
      <c r="F137" s="190"/>
      <c r="G137" s="208"/>
      <c r="H137" s="8"/>
      <c r="I137" s="29"/>
      <c r="J137" s="226"/>
      <c r="K137" s="8"/>
      <c r="L137" s="29"/>
      <c r="M137" s="24"/>
      <c r="N137" s="8"/>
      <c r="O137" s="25"/>
      <c r="P137" s="81"/>
      <c r="Q137" s="79"/>
    </row>
    <row r="138" spans="1:17" ht="12.75" hidden="1">
      <c r="A138" s="35" t="s">
        <v>163</v>
      </c>
      <c r="B138" s="98">
        <v>98861</v>
      </c>
      <c r="C138" s="145"/>
      <c r="D138" s="114"/>
      <c r="E138" s="160"/>
      <c r="F138" s="189">
        <f>C138+D138+E138</f>
        <v>0</v>
      </c>
      <c r="G138" s="208"/>
      <c r="H138" s="8"/>
      <c r="I138" s="73"/>
      <c r="J138" s="226"/>
      <c r="K138" s="8"/>
      <c r="L138" s="73"/>
      <c r="M138" s="24"/>
      <c r="N138" s="8"/>
      <c r="O138" s="23">
        <f>L138+M138+N138</f>
        <v>0</v>
      </c>
      <c r="P138" s="81"/>
      <c r="Q138" s="79">
        <f>O138+P138</f>
        <v>0</v>
      </c>
    </row>
    <row r="139" spans="1:17" ht="12.75" hidden="1">
      <c r="A139" s="35" t="s">
        <v>219</v>
      </c>
      <c r="B139" s="98">
        <v>7938</v>
      </c>
      <c r="C139" s="145"/>
      <c r="D139" s="114"/>
      <c r="E139" s="160"/>
      <c r="F139" s="189">
        <f>C139+D139+E139</f>
        <v>0</v>
      </c>
      <c r="G139" s="208"/>
      <c r="H139" s="8"/>
      <c r="I139" s="73"/>
      <c r="J139" s="226"/>
      <c r="K139" s="8"/>
      <c r="L139" s="73"/>
      <c r="M139" s="24"/>
      <c r="N139" s="8"/>
      <c r="O139" s="23"/>
      <c r="P139" s="81"/>
      <c r="Q139" s="79"/>
    </row>
    <row r="140" spans="1:17" ht="12.75" hidden="1">
      <c r="A140" s="35" t="s">
        <v>247</v>
      </c>
      <c r="B140" s="98"/>
      <c r="C140" s="145"/>
      <c r="D140" s="114"/>
      <c r="E140" s="160"/>
      <c r="F140" s="189">
        <f>C140+D140+E140</f>
        <v>0</v>
      </c>
      <c r="G140" s="208"/>
      <c r="H140" s="8"/>
      <c r="I140" s="73"/>
      <c r="J140" s="226"/>
      <c r="K140" s="8"/>
      <c r="L140" s="73"/>
      <c r="M140" s="24"/>
      <c r="N140" s="8"/>
      <c r="O140" s="23"/>
      <c r="P140" s="81"/>
      <c r="Q140" s="79"/>
    </row>
    <row r="141" spans="1:17" ht="12.75">
      <c r="A141" s="46" t="s">
        <v>55</v>
      </c>
      <c r="B141" s="101"/>
      <c r="C141" s="173">
        <v>17000</v>
      </c>
      <c r="D141" s="122">
        <f>14520.48</f>
        <v>14520.48</v>
      </c>
      <c r="E141" s="261"/>
      <c r="F141" s="193">
        <f>C141+D141+E141</f>
        <v>31520.48</v>
      </c>
      <c r="G141" s="212"/>
      <c r="H141" s="10"/>
      <c r="I141" s="72">
        <f>F141+G141+H141</f>
        <v>31520.48</v>
      </c>
      <c r="J141" s="227"/>
      <c r="K141" s="10"/>
      <c r="L141" s="72">
        <f>I141+J141+K141</f>
        <v>31520.48</v>
      </c>
      <c r="M141" s="26"/>
      <c r="N141" s="10"/>
      <c r="O141" s="27">
        <f>L141+M141+N141</f>
        <v>31520.48</v>
      </c>
      <c r="P141" s="84"/>
      <c r="Q141" s="85">
        <f>O141+P141</f>
        <v>31520.48</v>
      </c>
    </row>
    <row r="142" spans="1:17" ht="12.75">
      <c r="A142" s="32" t="s">
        <v>268</v>
      </c>
      <c r="B142" s="102"/>
      <c r="C142" s="152">
        <f aca="true" t="shared" si="42" ref="C142:Q142">C143+C162</f>
        <v>4910.1</v>
      </c>
      <c r="D142" s="113">
        <f t="shared" si="42"/>
        <v>239884.70999999996</v>
      </c>
      <c r="E142" s="136">
        <f t="shared" si="42"/>
        <v>0</v>
      </c>
      <c r="F142" s="167">
        <f t="shared" si="42"/>
        <v>244794.81</v>
      </c>
      <c r="G142" s="153">
        <f t="shared" si="42"/>
        <v>0</v>
      </c>
      <c r="H142" s="113">
        <f t="shared" si="42"/>
        <v>0</v>
      </c>
      <c r="I142" s="136">
        <f t="shared" si="42"/>
        <v>3710.7</v>
      </c>
      <c r="J142" s="152">
        <f t="shared" si="42"/>
        <v>0</v>
      </c>
      <c r="K142" s="113">
        <f t="shared" si="42"/>
        <v>0</v>
      </c>
      <c r="L142" s="136">
        <f t="shared" si="42"/>
        <v>3710.7</v>
      </c>
      <c r="M142" s="112">
        <f t="shared" si="42"/>
        <v>0</v>
      </c>
      <c r="N142" s="112">
        <f t="shared" si="42"/>
        <v>0</v>
      </c>
      <c r="O142" s="112">
        <f t="shared" si="42"/>
        <v>3710.7</v>
      </c>
      <c r="P142" s="112">
        <f t="shared" si="42"/>
        <v>0</v>
      </c>
      <c r="Q142" s="240">
        <f t="shared" si="42"/>
        <v>3710.7</v>
      </c>
    </row>
    <row r="143" spans="1:17" ht="12.75">
      <c r="A143" s="41" t="s">
        <v>49</v>
      </c>
      <c r="B143" s="102"/>
      <c r="C143" s="172">
        <f aca="true" t="shared" si="43" ref="C143:Q143">SUM(C145:C161)</f>
        <v>4910.1</v>
      </c>
      <c r="D143" s="121">
        <f t="shared" si="43"/>
        <v>40411.03999999999</v>
      </c>
      <c r="E143" s="163">
        <f t="shared" si="43"/>
        <v>0</v>
      </c>
      <c r="F143" s="192">
        <f t="shared" si="43"/>
        <v>45321.14</v>
      </c>
      <c r="G143" s="210">
        <f t="shared" si="43"/>
        <v>0</v>
      </c>
      <c r="H143" s="121">
        <f t="shared" si="43"/>
        <v>0</v>
      </c>
      <c r="I143" s="163">
        <f t="shared" si="43"/>
        <v>3710.7</v>
      </c>
      <c r="J143" s="172">
        <f t="shared" si="43"/>
        <v>0</v>
      </c>
      <c r="K143" s="121">
        <f t="shared" si="43"/>
        <v>0</v>
      </c>
      <c r="L143" s="163">
        <f t="shared" si="43"/>
        <v>3710.7</v>
      </c>
      <c r="M143" s="120">
        <f t="shared" si="43"/>
        <v>0</v>
      </c>
      <c r="N143" s="120">
        <f t="shared" si="43"/>
        <v>0</v>
      </c>
      <c r="O143" s="120">
        <f t="shared" si="43"/>
        <v>3710.7</v>
      </c>
      <c r="P143" s="120">
        <f t="shared" si="43"/>
        <v>0</v>
      </c>
      <c r="Q143" s="245">
        <f t="shared" si="43"/>
        <v>3710.7</v>
      </c>
    </row>
    <row r="144" spans="1:17" ht="12.75">
      <c r="A144" s="33" t="s">
        <v>26</v>
      </c>
      <c r="B144" s="98"/>
      <c r="C144" s="139"/>
      <c r="D144" s="117"/>
      <c r="E144" s="161"/>
      <c r="F144" s="190"/>
      <c r="G144" s="208"/>
      <c r="H144" s="8"/>
      <c r="I144" s="29"/>
      <c r="J144" s="226"/>
      <c r="K144" s="8"/>
      <c r="L144" s="29"/>
      <c r="M144" s="24"/>
      <c r="N144" s="8"/>
      <c r="O144" s="25"/>
      <c r="P144" s="81"/>
      <c r="Q144" s="79"/>
    </row>
    <row r="145" spans="1:17" ht="12.75">
      <c r="A145" s="35" t="s">
        <v>51</v>
      </c>
      <c r="B145" s="98"/>
      <c r="C145" s="145">
        <v>3350.7</v>
      </c>
      <c r="D145" s="114">
        <f>360</f>
        <v>360</v>
      </c>
      <c r="E145" s="160"/>
      <c r="F145" s="189">
        <f aca="true" t="shared" si="44" ref="F145:F161">C145+D145+E145</f>
        <v>3710.7</v>
      </c>
      <c r="G145" s="87"/>
      <c r="H145" s="7"/>
      <c r="I145" s="73">
        <f>F145+G145+H145</f>
        <v>3710.7</v>
      </c>
      <c r="J145" s="225"/>
      <c r="K145" s="7"/>
      <c r="L145" s="73">
        <f>I145+J145+K145</f>
        <v>3710.7</v>
      </c>
      <c r="M145" s="31"/>
      <c r="N145" s="7"/>
      <c r="O145" s="23">
        <f>L145+M145+N145</f>
        <v>3710.7</v>
      </c>
      <c r="P145" s="81"/>
      <c r="Q145" s="79">
        <f>O145+P145</f>
        <v>3710.7</v>
      </c>
    </row>
    <row r="146" spans="1:17" ht="12.75" hidden="1">
      <c r="A146" s="99" t="s">
        <v>301</v>
      </c>
      <c r="B146" s="98">
        <v>2042</v>
      </c>
      <c r="C146" s="145"/>
      <c r="D146" s="114"/>
      <c r="E146" s="160"/>
      <c r="F146" s="189">
        <f t="shared" si="44"/>
        <v>0</v>
      </c>
      <c r="G146" s="87"/>
      <c r="H146" s="7"/>
      <c r="I146" s="73">
        <f>F146+G146+H146</f>
        <v>0</v>
      </c>
      <c r="J146" s="28"/>
      <c r="K146" s="7"/>
      <c r="L146" s="73">
        <f>I146+J146+K146</f>
        <v>0</v>
      </c>
      <c r="M146" s="22"/>
      <c r="N146" s="7"/>
      <c r="O146" s="23">
        <f>L146+M146+N146</f>
        <v>0</v>
      </c>
      <c r="P146" s="81"/>
      <c r="Q146" s="79">
        <f>O146+P146</f>
        <v>0</v>
      </c>
    </row>
    <row r="147" spans="1:17" ht="12.75">
      <c r="A147" s="99" t="s">
        <v>302</v>
      </c>
      <c r="B147" s="98">
        <v>2045</v>
      </c>
      <c r="C147" s="145"/>
      <c r="D147" s="114">
        <f>1866.49</f>
        <v>1866.49</v>
      </c>
      <c r="E147" s="160"/>
      <c r="F147" s="189">
        <f t="shared" si="44"/>
        <v>1866.49</v>
      </c>
      <c r="G147" s="87"/>
      <c r="H147" s="7"/>
      <c r="I147" s="73"/>
      <c r="J147" s="28"/>
      <c r="K147" s="7"/>
      <c r="L147" s="73"/>
      <c r="M147" s="22"/>
      <c r="N147" s="7"/>
      <c r="O147" s="23"/>
      <c r="P147" s="81"/>
      <c r="Q147" s="79"/>
    </row>
    <row r="148" spans="1:17" ht="12.75">
      <c r="A148" s="99" t="s">
        <v>311</v>
      </c>
      <c r="B148" s="98">
        <v>2046</v>
      </c>
      <c r="C148" s="145"/>
      <c r="D148" s="114">
        <f>4982.3</f>
        <v>4982.3</v>
      </c>
      <c r="E148" s="160"/>
      <c r="F148" s="189">
        <f t="shared" si="44"/>
        <v>4982.3</v>
      </c>
      <c r="G148" s="87"/>
      <c r="H148" s="7"/>
      <c r="I148" s="73"/>
      <c r="J148" s="28"/>
      <c r="K148" s="7"/>
      <c r="L148" s="73"/>
      <c r="M148" s="22"/>
      <c r="N148" s="7"/>
      <c r="O148" s="23"/>
      <c r="P148" s="81"/>
      <c r="Q148" s="79"/>
    </row>
    <row r="149" spans="1:17" ht="12.75">
      <c r="A149" s="99" t="s">
        <v>303</v>
      </c>
      <c r="B149" s="98">
        <v>2016</v>
      </c>
      <c r="C149" s="145"/>
      <c r="D149" s="114">
        <f>1422.76</f>
        <v>1422.76</v>
      </c>
      <c r="E149" s="160"/>
      <c r="F149" s="189">
        <f t="shared" si="44"/>
        <v>1422.76</v>
      </c>
      <c r="G149" s="87"/>
      <c r="H149" s="7"/>
      <c r="I149" s="73"/>
      <c r="J149" s="28"/>
      <c r="K149" s="7"/>
      <c r="L149" s="73"/>
      <c r="M149" s="22"/>
      <c r="N149" s="7"/>
      <c r="O149" s="23"/>
      <c r="P149" s="81"/>
      <c r="Q149" s="79"/>
    </row>
    <row r="150" spans="1:17" ht="12.75">
      <c r="A150" s="44" t="s">
        <v>304</v>
      </c>
      <c r="B150" s="98">
        <v>2057</v>
      </c>
      <c r="C150" s="145"/>
      <c r="D150" s="114">
        <f>15.32</f>
        <v>15.32</v>
      </c>
      <c r="E150" s="160"/>
      <c r="F150" s="189">
        <f t="shared" si="44"/>
        <v>15.32</v>
      </c>
      <c r="G150" s="87"/>
      <c r="H150" s="7"/>
      <c r="I150" s="73"/>
      <c r="J150" s="28"/>
      <c r="K150" s="7"/>
      <c r="L150" s="73"/>
      <c r="M150" s="22"/>
      <c r="N150" s="7"/>
      <c r="O150" s="23"/>
      <c r="P150" s="81"/>
      <c r="Q150" s="79"/>
    </row>
    <row r="151" spans="1:17" ht="12.75">
      <c r="A151" s="44" t="s">
        <v>305</v>
      </c>
      <c r="B151" s="98">
        <v>2064</v>
      </c>
      <c r="C151" s="145"/>
      <c r="D151" s="114">
        <f>3511.85+127.5</f>
        <v>3639.35</v>
      </c>
      <c r="E151" s="160"/>
      <c r="F151" s="189">
        <f t="shared" si="44"/>
        <v>3639.35</v>
      </c>
      <c r="G151" s="87"/>
      <c r="H151" s="7"/>
      <c r="I151" s="73"/>
      <c r="J151" s="28"/>
      <c r="K151" s="7"/>
      <c r="L151" s="73"/>
      <c r="M151" s="22"/>
      <c r="N151" s="7"/>
      <c r="O151" s="23"/>
      <c r="P151" s="81"/>
      <c r="Q151" s="79"/>
    </row>
    <row r="152" spans="1:17" ht="12.75">
      <c r="A152" s="44" t="s">
        <v>318</v>
      </c>
      <c r="B152" s="98">
        <v>2079</v>
      </c>
      <c r="C152" s="145"/>
      <c r="D152" s="114">
        <f>3742.33</f>
        <v>3742.33</v>
      </c>
      <c r="E152" s="160"/>
      <c r="F152" s="189">
        <f t="shared" si="44"/>
        <v>3742.33</v>
      </c>
      <c r="G152" s="87"/>
      <c r="H152" s="7"/>
      <c r="I152" s="73"/>
      <c r="J152" s="28"/>
      <c r="K152" s="7"/>
      <c r="L152" s="73"/>
      <c r="M152" s="22"/>
      <c r="N152" s="7"/>
      <c r="O152" s="23"/>
      <c r="P152" s="81"/>
      <c r="Q152" s="79"/>
    </row>
    <row r="153" spans="1:17" ht="12.75">
      <c r="A153" s="99" t="s">
        <v>319</v>
      </c>
      <c r="B153" s="98">
        <v>2079</v>
      </c>
      <c r="C153" s="145"/>
      <c r="D153" s="114">
        <f>4049.47</f>
        <v>4049.47</v>
      </c>
      <c r="E153" s="160"/>
      <c r="F153" s="189">
        <f t="shared" si="44"/>
        <v>4049.47</v>
      </c>
      <c r="G153" s="87"/>
      <c r="H153" s="7"/>
      <c r="I153" s="73"/>
      <c r="J153" s="28"/>
      <c r="K153" s="7"/>
      <c r="L153" s="73"/>
      <c r="M153" s="22"/>
      <c r="N153" s="7"/>
      <c r="O153" s="23"/>
      <c r="P153" s="81"/>
      <c r="Q153" s="79"/>
    </row>
    <row r="154" spans="1:17" ht="12.75">
      <c r="A154" s="44" t="s">
        <v>306</v>
      </c>
      <c r="B154" s="98">
        <v>2067</v>
      </c>
      <c r="C154" s="145"/>
      <c r="D154" s="114">
        <f>0.27</f>
        <v>0.27</v>
      </c>
      <c r="E154" s="160"/>
      <c r="F154" s="189">
        <f t="shared" si="44"/>
        <v>0.27</v>
      </c>
      <c r="G154" s="87"/>
      <c r="H154" s="7"/>
      <c r="I154" s="73"/>
      <c r="J154" s="28"/>
      <c r="K154" s="7"/>
      <c r="L154" s="73"/>
      <c r="M154" s="22"/>
      <c r="N154" s="7"/>
      <c r="O154" s="23"/>
      <c r="P154" s="81"/>
      <c r="Q154" s="79"/>
    </row>
    <row r="155" spans="1:17" ht="12.75">
      <c r="A155" s="44" t="s">
        <v>300</v>
      </c>
      <c r="B155" s="98">
        <v>2067</v>
      </c>
      <c r="C155" s="145"/>
      <c r="D155" s="114">
        <f>2217.64</f>
        <v>2217.64</v>
      </c>
      <c r="E155" s="160"/>
      <c r="F155" s="189">
        <f t="shared" si="44"/>
        <v>2217.64</v>
      </c>
      <c r="G155" s="87"/>
      <c r="H155" s="7"/>
      <c r="I155" s="73"/>
      <c r="J155" s="28"/>
      <c r="K155" s="7"/>
      <c r="L155" s="73"/>
      <c r="M155" s="22"/>
      <c r="N155" s="7"/>
      <c r="O155" s="23"/>
      <c r="P155" s="81"/>
      <c r="Q155" s="79"/>
    </row>
    <row r="156" spans="1:17" ht="12.75">
      <c r="A156" s="44" t="s">
        <v>324</v>
      </c>
      <c r="B156" s="98">
        <v>2074</v>
      </c>
      <c r="C156" s="145"/>
      <c r="D156" s="114">
        <f>612.62</f>
        <v>612.62</v>
      </c>
      <c r="E156" s="160"/>
      <c r="F156" s="189">
        <f t="shared" si="44"/>
        <v>612.62</v>
      </c>
      <c r="G156" s="87"/>
      <c r="H156" s="7"/>
      <c r="I156" s="73"/>
      <c r="J156" s="28"/>
      <c r="K156" s="7"/>
      <c r="L156" s="73"/>
      <c r="M156" s="22"/>
      <c r="N156" s="7"/>
      <c r="O156" s="23"/>
      <c r="P156" s="81"/>
      <c r="Q156" s="79"/>
    </row>
    <row r="157" spans="1:17" ht="12.75">
      <c r="A157" s="44" t="s">
        <v>323</v>
      </c>
      <c r="B157" s="98">
        <v>2074</v>
      </c>
      <c r="C157" s="145"/>
      <c r="D157" s="114">
        <f>1738.53</f>
        <v>1738.53</v>
      </c>
      <c r="E157" s="160"/>
      <c r="F157" s="189">
        <f t="shared" si="44"/>
        <v>1738.53</v>
      </c>
      <c r="G157" s="87"/>
      <c r="H157" s="7"/>
      <c r="I157" s="73"/>
      <c r="J157" s="28"/>
      <c r="K157" s="7"/>
      <c r="L157" s="73"/>
      <c r="M157" s="22"/>
      <c r="N157" s="7"/>
      <c r="O157" s="23"/>
      <c r="P157" s="81"/>
      <c r="Q157" s="79"/>
    </row>
    <row r="158" spans="1:17" ht="12.75">
      <c r="A158" s="99" t="s">
        <v>321</v>
      </c>
      <c r="B158" s="98">
        <v>2068</v>
      </c>
      <c r="C158" s="145"/>
      <c r="D158" s="114">
        <f>4636.84</f>
        <v>4636.84</v>
      </c>
      <c r="E158" s="160"/>
      <c r="F158" s="189">
        <f t="shared" si="44"/>
        <v>4636.84</v>
      </c>
      <c r="G158" s="87"/>
      <c r="H158" s="7"/>
      <c r="I158" s="73"/>
      <c r="J158" s="28"/>
      <c r="K158" s="7"/>
      <c r="L158" s="73"/>
      <c r="M158" s="22"/>
      <c r="N158" s="7"/>
      <c r="O158" s="23"/>
      <c r="P158" s="81"/>
      <c r="Q158" s="79"/>
    </row>
    <row r="159" spans="1:17" ht="12.75">
      <c r="A159" s="99" t="s">
        <v>322</v>
      </c>
      <c r="B159" s="98">
        <v>2242</v>
      </c>
      <c r="C159" s="145"/>
      <c r="D159" s="114">
        <f>375.64</f>
        <v>375.64</v>
      </c>
      <c r="E159" s="160"/>
      <c r="F159" s="189">
        <f t="shared" si="44"/>
        <v>375.64</v>
      </c>
      <c r="G159" s="87"/>
      <c r="H159" s="7"/>
      <c r="I159" s="73"/>
      <c r="J159" s="28"/>
      <c r="K159" s="7"/>
      <c r="L159" s="73"/>
      <c r="M159" s="22"/>
      <c r="N159" s="7"/>
      <c r="O159" s="23"/>
      <c r="P159" s="81"/>
      <c r="Q159" s="79"/>
    </row>
    <row r="160" spans="1:17" ht="12.75" hidden="1">
      <c r="A160" s="99" t="s">
        <v>307</v>
      </c>
      <c r="B160" s="98">
        <v>2058</v>
      </c>
      <c r="C160" s="145"/>
      <c r="D160" s="114"/>
      <c r="E160" s="160"/>
      <c r="F160" s="189">
        <f t="shared" si="44"/>
        <v>0</v>
      </c>
      <c r="G160" s="87"/>
      <c r="H160" s="7"/>
      <c r="I160" s="73"/>
      <c r="J160" s="28"/>
      <c r="K160" s="7"/>
      <c r="L160" s="73"/>
      <c r="M160" s="22"/>
      <c r="N160" s="7"/>
      <c r="O160" s="23"/>
      <c r="P160" s="81"/>
      <c r="Q160" s="79"/>
    </row>
    <row r="161" spans="1:17" ht="12.75">
      <c r="A161" s="35" t="s">
        <v>78</v>
      </c>
      <c r="B161" s="98"/>
      <c r="C161" s="145">
        <v>1559.4</v>
      </c>
      <c r="D161" s="114">
        <f>954+159.54+332.5+85.99+1428.88+391.14+155.61+7243.82</f>
        <v>10751.48</v>
      </c>
      <c r="E161" s="160"/>
      <c r="F161" s="189">
        <f t="shared" si="44"/>
        <v>12310.88</v>
      </c>
      <c r="G161" s="87"/>
      <c r="H161" s="7"/>
      <c r="I161" s="73"/>
      <c r="J161" s="28"/>
      <c r="K161" s="7"/>
      <c r="L161" s="73"/>
      <c r="M161" s="22"/>
      <c r="N161" s="7"/>
      <c r="O161" s="23"/>
      <c r="P161" s="81"/>
      <c r="Q161" s="79"/>
    </row>
    <row r="162" spans="1:17" ht="12.75">
      <c r="A162" s="42" t="s">
        <v>54</v>
      </c>
      <c r="B162" s="102"/>
      <c r="C162" s="174">
        <f>SUM(C164:C170)</f>
        <v>0</v>
      </c>
      <c r="D162" s="124">
        <f aca="true" t="shared" si="45" ref="D162:Q162">SUM(D164:D170)</f>
        <v>199473.66999999998</v>
      </c>
      <c r="E162" s="164">
        <f t="shared" si="45"/>
        <v>0</v>
      </c>
      <c r="F162" s="194">
        <f t="shared" si="45"/>
        <v>199473.66999999998</v>
      </c>
      <c r="G162" s="211">
        <f t="shared" si="45"/>
        <v>0</v>
      </c>
      <c r="H162" s="124">
        <f t="shared" si="45"/>
        <v>0</v>
      </c>
      <c r="I162" s="164">
        <f t="shared" si="45"/>
        <v>0</v>
      </c>
      <c r="J162" s="174">
        <f t="shared" si="45"/>
        <v>0</v>
      </c>
      <c r="K162" s="124">
        <f t="shared" si="45"/>
        <v>0</v>
      </c>
      <c r="L162" s="164">
        <f t="shared" si="45"/>
        <v>0</v>
      </c>
      <c r="M162" s="123">
        <f t="shared" si="45"/>
        <v>0</v>
      </c>
      <c r="N162" s="123">
        <f t="shared" si="45"/>
        <v>0</v>
      </c>
      <c r="O162" s="123">
        <f t="shared" si="45"/>
        <v>0</v>
      </c>
      <c r="P162" s="123">
        <f t="shared" si="45"/>
        <v>0</v>
      </c>
      <c r="Q162" s="246">
        <f t="shared" si="45"/>
        <v>0</v>
      </c>
    </row>
    <row r="163" spans="1:17" ht="12.75">
      <c r="A163" s="44" t="s">
        <v>26</v>
      </c>
      <c r="B163" s="98"/>
      <c r="C163" s="145"/>
      <c r="D163" s="114"/>
      <c r="E163" s="160"/>
      <c r="F163" s="189"/>
      <c r="G163" s="87"/>
      <c r="H163" s="7"/>
      <c r="I163" s="73"/>
      <c r="J163" s="28"/>
      <c r="K163" s="7"/>
      <c r="L163" s="73"/>
      <c r="M163" s="22"/>
      <c r="N163" s="7"/>
      <c r="O163" s="23"/>
      <c r="P163" s="81"/>
      <c r="Q163" s="79"/>
    </row>
    <row r="164" spans="1:17" ht="12.75" hidden="1">
      <c r="A164" s="44" t="s">
        <v>320</v>
      </c>
      <c r="B164" s="98">
        <v>2057</v>
      </c>
      <c r="C164" s="145"/>
      <c r="D164" s="114"/>
      <c r="E164" s="160"/>
      <c r="F164" s="189">
        <f aca="true" t="shared" si="46" ref="F164:F170">C164+D164+E164</f>
        <v>0</v>
      </c>
      <c r="G164" s="87"/>
      <c r="H164" s="7"/>
      <c r="I164" s="73">
        <f>F164+G164+H164</f>
        <v>0</v>
      </c>
      <c r="J164" s="28"/>
      <c r="K164" s="7"/>
      <c r="L164" s="73">
        <f>I164+J164+K164</f>
        <v>0</v>
      </c>
      <c r="M164" s="22"/>
      <c r="N164" s="7"/>
      <c r="O164" s="23">
        <f>L164+M164+N164</f>
        <v>0</v>
      </c>
      <c r="P164" s="81"/>
      <c r="Q164" s="79">
        <f aca="true" t="shared" si="47" ref="Q164:Q217">O164+P164</f>
        <v>0</v>
      </c>
    </row>
    <row r="165" spans="1:17" ht="12.75" hidden="1">
      <c r="A165" s="44" t="s">
        <v>305</v>
      </c>
      <c r="B165" s="98">
        <v>2064</v>
      </c>
      <c r="C165" s="145"/>
      <c r="D165" s="114"/>
      <c r="E165" s="160"/>
      <c r="F165" s="189">
        <f t="shared" si="46"/>
        <v>0</v>
      </c>
      <c r="G165" s="87"/>
      <c r="H165" s="7"/>
      <c r="I165" s="73"/>
      <c r="J165" s="28"/>
      <c r="K165" s="7"/>
      <c r="L165" s="73"/>
      <c r="M165" s="22"/>
      <c r="N165" s="7"/>
      <c r="O165" s="23"/>
      <c r="P165" s="81"/>
      <c r="Q165" s="79"/>
    </row>
    <row r="166" spans="1:17" ht="12.75">
      <c r="A166" s="44" t="s">
        <v>318</v>
      </c>
      <c r="B166" s="98">
        <v>2079</v>
      </c>
      <c r="C166" s="145"/>
      <c r="D166" s="114">
        <f>99736.83</f>
        <v>99736.83</v>
      </c>
      <c r="E166" s="160"/>
      <c r="F166" s="189">
        <f t="shared" si="46"/>
        <v>99736.83</v>
      </c>
      <c r="G166" s="87"/>
      <c r="H166" s="7"/>
      <c r="I166" s="73"/>
      <c r="J166" s="28"/>
      <c r="K166" s="7"/>
      <c r="L166" s="73"/>
      <c r="M166" s="22"/>
      <c r="N166" s="7"/>
      <c r="O166" s="23"/>
      <c r="P166" s="81"/>
      <c r="Q166" s="79"/>
    </row>
    <row r="167" spans="1:17" ht="12.75">
      <c r="A167" s="272" t="s">
        <v>319</v>
      </c>
      <c r="B167" s="101">
        <v>2079</v>
      </c>
      <c r="C167" s="173"/>
      <c r="D167" s="122">
        <f>99736.84</f>
        <v>99736.84</v>
      </c>
      <c r="E167" s="261"/>
      <c r="F167" s="193">
        <f t="shared" si="46"/>
        <v>99736.84</v>
      </c>
      <c r="G167" s="87"/>
      <c r="H167" s="7"/>
      <c r="I167" s="73"/>
      <c r="J167" s="28"/>
      <c r="K167" s="7"/>
      <c r="L167" s="73"/>
      <c r="M167" s="22"/>
      <c r="N167" s="7"/>
      <c r="O167" s="23"/>
      <c r="P167" s="81"/>
      <c r="Q167" s="79"/>
    </row>
    <row r="168" spans="1:17" ht="12.75" hidden="1">
      <c r="A168" s="35" t="s">
        <v>69</v>
      </c>
      <c r="B168" s="98"/>
      <c r="C168" s="145"/>
      <c r="D168" s="114"/>
      <c r="E168" s="160"/>
      <c r="F168" s="189">
        <f t="shared" si="46"/>
        <v>0</v>
      </c>
      <c r="G168" s="87"/>
      <c r="H168" s="7"/>
      <c r="I168" s="73">
        <f>F168+G168+H168</f>
        <v>0</v>
      </c>
      <c r="J168" s="28"/>
      <c r="K168" s="7"/>
      <c r="L168" s="73">
        <f>I168+J168+K168</f>
        <v>0</v>
      </c>
      <c r="M168" s="22"/>
      <c r="N168" s="7"/>
      <c r="O168" s="23">
        <f>L168+M168+N168</f>
        <v>0</v>
      </c>
      <c r="P168" s="81"/>
      <c r="Q168" s="79">
        <f t="shared" si="47"/>
        <v>0</v>
      </c>
    </row>
    <row r="169" spans="1:17" ht="12.75" hidden="1">
      <c r="A169" s="38" t="s">
        <v>55</v>
      </c>
      <c r="B169" s="101"/>
      <c r="C169" s="173"/>
      <c r="D169" s="122"/>
      <c r="E169" s="261"/>
      <c r="F169" s="193">
        <f t="shared" si="46"/>
        <v>0</v>
      </c>
      <c r="G169" s="87"/>
      <c r="H169" s="7"/>
      <c r="I169" s="73">
        <f>F169+G169+H169</f>
        <v>0</v>
      </c>
      <c r="J169" s="28"/>
      <c r="K169" s="7"/>
      <c r="L169" s="73">
        <f>I169+J169+K169</f>
        <v>0</v>
      </c>
      <c r="M169" s="22"/>
      <c r="N169" s="7"/>
      <c r="O169" s="23">
        <f>L169+M169+N169</f>
        <v>0</v>
      </c>
      <c r="P169" s="81"/>
      <c r="Q169" s="79">
        <f t="shared" si="47"/>
        <v>0</v>
      </c>
    </row>
    <row r="170" spans="1:17" ht="12.75" hidden="1">
      <c r="A170" s="38" t="s">
        <v>78</v>
      </c>
      <c r="B170" s="101"/>
      <c r="C170" s="173"/>
      <c r="D170" s="122"/>
      <c r="E170" s="261"/>
      <c r="F170" s="193">
        <f t="shared" si="46"/>
        <v>0</v>
      </c>
      <c r="G170" s="212"/>
      <c r="H170" s="10"/>
      <c r="I170" s="72">
        <f>F170+G170+H170</f>
        <v>0</v>
      </c>
      <c r="J170" s="227"/>
      <c r="K170" s="10"/>
      <c r="L170" s="72">
        <f>I170+J170+K170</f>
        <v>0</v>
      </c>
      <c r="M170" s="26"/>
      <c r="N170" s="10"/>
      <c r="O170" s="27">
        <f>L170+M170+N170</f>
        <v>0</v>
      </c>
      <c r="P170" s="84"/>
      <c r="Q170" s="85">
        <f t="shared" si="47"/>
        <v>0</v>
      </c>
    </row>
    <row r="171" spans="1:17" ht="12.75">
      <c r="A171" s="32" t="s">
        <v>82</v>
      </c>
      <c r="B171" s="102"/>
      <c r="C171" s="152">
        <f aca="true" t="shared" si="48" ref="C171:Q171">C172+C209</f>
        <v>401602.02</v>
      </c>
      <c r="D171" s="113">
        <f t="shared" si="48"/>
        <v>8246377.53</v>
      </c>
      <c r="E171" s="136">
        <f t="shared" si="48"/>
        <v>0</v>
      </c>
      <c r="F171" s="167">
        <f t="shared" si="48"/>
        <v>8647979.550000003</v>
      </c>
      <c r="G171" s="153">
        <f t="shared" si="48"/>
        <v>0</v>
      </c>
      <c r="H171" s="113">
        <f t="shared" si="48"/>
        <v>0</v>
      </c>
      <c r="I171" s="136">
        <f t="shared" si="48"/>
        <v>526504.05</v>
      </c>
      <c r="J171" s="152">
        <f t="shared" si="48"/>
        <v>0</v>
      </c>
      <c r="K171" s="113">
        <f t="shared" si="48"/>
        <v>0</v>
      </c>
      <c r="L171" s="136">
        <f t="shared" si="48"/>
        <v>526504.05</v>
      </c>
      <c r="M171" s="112">
        <f t="shared" si="48"/>
        <v>0</v>
      </c>
      <c r="N171" s="112">
        <f t="shared" si="48"/>
        <v>0</v>
      </c>
      <c r="O171" s="112">
        <f t="shared" si="48"/>
        <v>526504.05</v>
      </c>
      <c r="P171" s="112">
        <f t="shared" si="48"/>
        <v>0</v>
      </c>
      <c r="Q171" s="240">
        <f t="shared" si="48"/>
        <v>526504.05</v>
      </c>
    </row>
    <row r="172" spans="1:17" ht="12.75">
      <c r="A172" s="41" t="s">
        <v>49</v>
      </c>
      <c r="B172" s="102"/>
      <c r="C172" s="172">
        <f aca="true" t="shared" si="49" ref="C172:Q172">SUM(C174:C208)</f>
        <v>400862.02</v>
      </c>
      <c r="D172" s="121">
        <f t="shared" si="49"/>
        <v>8245836.890000001</v>
      </c>
      <c r="E172" s="163">
        <f t="shared" si="49"/>
        <v>0</v>
      </c>
      <c r="F172" s="192">
        <f t="shared" si="49"/>
        <v>8646698.910000002</v>
      </c>
      <c r="G172" s="210">
        <f t="shared" si="49"/>
        <v>0</v>
      </c>
      <c r="H172" s="121">
        <f t="shared" si="49"/>
        <v>0</v>
      </c>
      <c r="I172" s="163">
        <f t="shared" si="49"/>
        <v>525223.41</v>
      </c>
      <c r="J172" s="172">
        <f t="shared" si="49"/>
        <v>0</v>
      </c>
      <c r="K172" s="121">
        <f t="shared" si="49"/>
        <v>0</v>
      </c>
      <c r="L172" s="163">
        <f t="shared" si="49"/>
        <v>525223.41</v>
      </c>
      <c r="M172" s="120">
        <f t="shared" si="49"/>
        <v>0</v>
      </c>
      <c r="N172" s="120">
        <f t="shared" si="49"/>
        <v>0</v>
      </c>
      <c r="O172" s="120">
        <f t="shared" si="49"/>
        <v>525223.41</v>
      </c>
      <c r="P172" s="120">
        <f t="shared" si="49"/>
        <v>0</v>
      </c>
      <c r="Q172" s="245">
        <f t="shared" si="49"/>
        <v>525223.41</v>
      </c>
    </row>
    <row r="173" spans="1:17" ht="12.75">
      <c r="A173" s="33" t="s">
        <v>26</v>
      </c>
      <c r="B173" s="98"/>
      <c r="C173" s="145"/>
      <c r="D173" s="114"/>
      <c r="E173" s="160"/>
      <c r="F173" s="189"/>
      <c r="G173" s="87"/>
      <c r="H173" s="7"/>
      <c r="I173" s="73"/>
      <c r="J173" s="28"/>
      <c r="K173" s="7"/>
      <c r="L173" s="73"/>
      <c r="M173" s="22"/>
      <c r="N173" s="7"/>
      <c r="O173" s="23"/>
      <c r="P173" s="81"/>
      <c r="Q173" s="79"/>
    </row>
    <row r="174" spans="1:17" ht="12.75">
      <c r="A174" s="39" t="s">
        <v>74</v>
      </c>
      <c r="B174" s="98"/>
      <c r="C174" s="145">
        <v>362078.95</v>
      </c>
      <c r="D174" s="114">
        <f>3980.63+15002.59</f>
        <v>18983.22</v>
      </c>
      <c r="E174" s="160"/>
      <c r="F174" s="189">
        <f aca="true" t="shared" si="50" ref="F174:F208">C174+D174+E174</f>
        <v>381062.17000000004</v>
      </c>
      <c r="G174" s="87"/>
      <c r="H174" s="7"/>
      <c r="I174" s="73">
        <f>F174+G174+H174</f>
        <v>381062.17000000004</v>
      </c>
      <c r="J174" s="28"/>
      <c r="K174" s="7"/>
      <c r="L174" s="73">
        <f>I174+J174+K174</f>
        <v>381062.17000000004</v>
      </c>
      <c r="M174" s="22"/>
      <c r="N174" s="7"/>
      <c r="O174" s="23">
        <f>L174+M174+N174</f>
        <v>381062.17000000004</v>
      </c>
      <c r="P174" s="81"/>
      <c r="Q174" s="79">
        <f t="shared" si="47"/>
        <v>381062.17000000004</v>
      </c>
    </row>
    <row r="175" spans="1:17" ht="12.75">
      <c r="A175" s="39" t="s">
        <v>294</v>
      </c>
      <c r="B175" s="98">
        <v>33353</v>
      </c>
      <c r="C175" s="145"/>
      <c r="D175" s="114">
        <f>8106896.7</f>
        <v>8106896.7</v>
      </c>
      <c r="E175" s="160"/>
      <c r="F175" s="189">
        <f t="shared" si="50"/>
        <v>8106896.7</v>
      </c>
      <c r="G175" s="87"/>
      <c r="H175" s="7"/>
      <c r="I175" s="73"/>
      <c r="J175" s="28"/>
      <c r="K175" s="7"/>
      <c r="L175" s="73"/>
      <c r="M175" s="22"/>
      <c r="N175" s="7"/>
      <c r="O175" s="23"/>
      <c r="P175" s="81"/>
      <c r="Q175" s="79"/>
    </row>
    <row r="176" spans="1:17" ht="12.75" hidden="1">
      <c r="A176" s="39" t="s">
        <v>83</v>
      </c>
      <c r="B176" s="98">
        <v>33353</v>
      </c>
      <c r="C176" s="145"/>
      <c r="D176" s="125"/>
      <c r="E176" s="160"/>
      <c r="F176" s="189">
        <f t="shared" si="50"/>
        <v>0</v>
      </c>
      <c r="G176" s="87"/>
      <c r="H176" s="7"/>
      <c r="I176" s="73">
        <f aca="true" t="shared" si="51" ref="I176:I208">F176+G176+H176</f>
        <v>0</v>
      </c>
      <c r="J176" s="28"/>
      <c r="K176" s="7"/>
      <c r="L176" s="73">
        <f aca="true" t="shared" si="52" ref="L176:L208">I176+J176+K176</f>
        <v>0</v>
      </c>
      <c r="M176" s="22"/>
      <c r="N176" s="7"/>
      <c r="O176" s="23">
        <f aca="true" t="shared" si="53" ref="O176:O208">L176+M176+N176</f>
        <v>0</v>
      </c>
      <c r="P176" s="81"/>
      <c r="Q176" s="79">
        <f t="shared" si="47"/>
        <v>0</v>
      </c>
    </row>
    <row r="177" spans="1:19" ht="13.5" hidden="1" thickBot="1">
      <c r="A177" s="255" t="s">
        <v>84</v>
      </c>
      <c r="B177" s="143">
        <v>33353</v>
      </c>
      <c r="C177" s="175"/>
      <c r="D177" s="144"/>
      <c r="E177" s="262"/>
      <c r="F177" s="195">
        <f t="shared" si="50"/>
        <v>0</v>
      </c>
      <c r="G177" s="87"/>
      <c r="H177" s="7"/>
      <c r="I177" s="73">
        <f t="shared" si="51"/>
        <v>0</v>
      </c>
      <c r="J177" s="28"/>
      <c r="K177" s="7"/>
      <c r="L177" s="73">
        <f t="shared" si="52"/>
        <v>0</v>
      </c>
      <c r="M177" s="22"/>
      <c r="N177" s="7"/>
      <c r="O177" s="23">
        <f t="shared" si="53"/>
        <v>0</v>
      </c>
      <c r="P177" s="81"/>
      <c r="Q177" s="79">
        <f t="shared" si="47"/>
        <v>0</v>
      </c>
      <c r="S177" s="70"/>
    </row>
    <row r="178" spans="1:17" ht="12.75">
      <c r="A178" s="39" t="s">
        <v>295</v>
      </c>
      <c r="B178" s="98">
        <v>33155</v>
      </c>
      <c r="C178" s="145"/>
      <c r="D178" s="125">
        <v>100779.32</v>
      </c>
      <c r="E178" s="160"/>
      <c r="F178" s="189">
        <f t="shared" si="50"/>
        <v>100779.32</v>
      </c>
      <c r="G178" s="87"/>
      <c r="H178" s="7"/>
      <c r="I178" s="73">
        <f t="shared" si="51"/>
        <v>100779.32</v>
      </c>
      <c r="J178" s="28"/>
      <c r="K178" s="7"/>
      <c r="L178" s="73">
        <f t="shared" si="52"/>
        <v>100779.32</v>
      </c>
      <c r="M178" s="22"/>
      <c r="N178" s="7"/>
      <c r="O178" s="23">
        <f t="shared" si="53"/>
        <v>100779.32</v>
      </c>
      <c r="P178" s="81"/>
      <c r="Q178" s="79">
        <f t="shared" si="47"/>
        <v>100779.32</v>
      </c>
    </row>
    <row r="179" spans="1:17" ht="12.75" hidden="1">
      <c r="A179" s="39" t="s">
        <v>85</v>
      </c>
      <c r="B179" s="98" t="s">
        <v>217</v>
      </c>
      <c r="C179" s="145"/>
      <c r="D179" s="114"/>
      <c r="E179" s="160"/>
      <c r="F179" s="189">
        <f t="shared" si="50"/>
        <v>0</v>
      </c>
      <c r="G179" s="87"/>
      <c r="H179" s="7"/>
      <c r="I179" s="73">
        <f t="shared" si="51"/>
        <v>0</v>
      </c>
      <c r="J179" s="28"/>
      <c r="K179" s="7"/>
      <c r="L179" s="73">
        <f t="shared" si="52"/>
        <v>0</v>
      </c>
      <c r="M179" s="22"/>
      <c r="N179" s="7"/>
      <c r="O179" s="23">
        <f t="shared" si="53"/>
        <v>0</v>
      </c>
      <c r="P179" s="81"/>
      <c r="Q179" s="79">
        <f t="shared" si="47"/>
        <v>0</v>
      </c>
    </row>
    <row r="180" spans="1:17" ht="12.75" hidden="1">
      <c r="A180" s="39" t="s">
        <v>140</v>
      </c>
      <c r="B180" s="98"/>
      <c r="C180" s="145"/>
      <c r="D180" s="114"/>
      <c r="E180" s="160"/>
      <c r="F180" s="189">
        <f t="shared" si="50"/>
        <v>0</v>
      </c>
      <c r="G180" s="87"/>
      <c r="H180" s="7"/>
      <c r="I180" s="73">
        <f t="shared" si="51"/>
        <v>0</v>
      </c>
      <c r="J180" s="28"/>
      <c r="K180" s="7"/>
      <c r="L180" s="73">
        <f t="shared" si="52"/>
        <v>0</v>
      </c>
      <c r="M180" s="22"/>
      <c r="N180" s="7"/>
      <c r="O180" s="23">
        <f t="shared" si="53"/>
        <v>0</v>
      </c>
      <c r="P180" s="81"/>
      <c r="Q180" s="79">
        <f t="shared" si="47"/>
        <v>0</v>
      </c>
    </row>
    <row r="181" spans="1:17" ht="12.75" hidden="1">
      <c r="A181" s="39" t="s">
        <v>214</v>
      </c>
      <c r="B181" s="98">
        <v>33215</v>
      </c>
      <c r="C181" s="145"/>
      <c r="D181" s="114"/>
      <c r="E181" s="160"/>
      <c r="F181" s="189">
        <f t="shared" si="50"/>
        <v>0</v>
      </c>
      <c r="G181" s="87"/>
      <c r="H181" s="7"/>
      <c r="I181" s="73">
        <f t="shared" si="51"/>
        <v>0</v>
      </c>
      <c r="J181" s="28"/>
      <c r="K181" s="7"/>
      <c r="L181" s="73">
        <f t="shared" si="52"/>
        <v>0</v>
      </c>
      <c r="M181" s="22"/>
      <c r="N181" s="7"/>
      <c r="O181" s="23">
        <f t="shared" si="53"/>
        <v>0</v>
      </c>
      <c r="P181" s="81"/>
      <c r="Q181" s="79">
        <f t="shared" si="47"/>
        <v>0</v>
      </c>
    </row>
    <row r="182" spans="1:17" ht="12.75" hidden="1">
      <c r="A182" s="39" t="s">
        <v>215</v>
      </c>
      <c r="B182" s="98">
        <v>33457</v>
      </c>
      <c r="C182" s="145"/>
      <c r="D182" s="114"/>
      <c r="E182" s="160"/>
      <c r="F182" s="189">
        <f t="shared" si="50"/>
        <v>0</v>
      </c>
      <c r="G182" s="87"/>
      <c r="H182" s="7"/>
      <c r="I182" s="73">
        <f t="shared" si="51"/>
        <v>0</v>
      </c>
      <c r="J182" s="28"/>
      <c r="K182" s="7"/>
      <c r="L182" s="73">
        <f t="shared" si="52"/>
        <v>0</v>
      </c>
      <c r="M182" s="22"/>
      <c r="N182" s="7"/>
      <c r="O182" s="23">
        <f t="shared" si="53"/>
        <v>0</v>
      </c>
      <c r="P182" s="81"/>
      <c r="Q182" s="79">
        <f t="shared" si="47"/>
        <v>0</v>
      </c>
    </row>
    <row r="183" spans="1:17" ht="12.75" hidden="1">
      <c r="A183" s="56" t="s">
        <v>196</v>
      </c>
      <c r="B183" s="98">
        <v>33052</v>
      </c>
      <c r="C183" s="145"/>
      <c r="D183" s="114"/>
      <c r="E183" s="160"/>
      <c r="F183" s="189">
        <f t="shared" si="50"/>
        <v>0</v>
      </c>
      <c r="G183" s="87"/>
      <c r="H183" s="7"/>
      <c r="I183" s="73">
        <f t="shared" si="51"/>
        <v>0</v>
      </c>
      <c r="J183" s="28"/>
      <c r="K183" s="7"/>
      <c r="L183" s="73">
        <f t="shared" si="52"/>
        <v>0</v>
      </c>
      <c r="M183" s="22"/>
      <c r="N183" s="7"/>
      <c r="O183" s="23">
        <f t="shared" si="53"/>
        <v>0</v>
      </c>
      <c r="P183" s="81"/>
      <c r="Q183" s="79">
        <f t="shared" si="47"/>
        <v>0</v>
      </c>
    </row>
    <row r="184" spans="1:17" ht="12.75" hidden="1">
      <c r="A184" s="56" t="s">
        <v>278</v>
      </c>
      <c r="B184" s="98">
        <v>33076</v>
      </c>
      <c r="C184" s="145"/>
      <c r="D184" s="114"/>
      <c r="E184" s="160"/>
      <c r="F184" s="189">
        <f t="shared" si="50"/>
        <v>0</v>
      </c>
      <c r="G184" s="87"/>
      <c r="H184" s="7"/>
      <c r="I184" s="73"/>
      <c r="J184" s="28"/>
      <c r="K184" s="7"/>
      <c r="L184" s="73"/>
      <c r="M184" s="22"/>
      <c r="N184" s="7"/>
      <c r="O184" s="23"/>
      <c r="P184" s="81"/>
      <c r="Q184" s="79"/>
    </row>
    <row r="185" spans="1:17" ht="12.75" hidden="1">
      <c r="A185" s="56" t="s">
        <v>232</v>
      </c>
      <c r="B185" s="98">
        <v>33069</v>
      </c>
      <c r="C185" s="145"/>
      <c r="D185" s="114"/>
      <c r="E185" s="160"/>
      <c r="F185" s="189">
        <f t="shared" si="50"/>
        <v>0</v>
      </c>
      <c r="G185" s="87"/>
      <c r="H185" s="7"/>
      <c r="I185" s="73"/>
      <c r="J185" s="28"/>
      <c r="K185" s="7"/>
      <c r="L185" s="73"/>
      <c r="M185" s="22"/>
      <c r="N185" s="7"/>
      <c r="O185" s="23"/>
      <c r="P185" s="81"/>
      <c r="Q185" s="79"/>
    </row>
    <row r="186" spans="1:17" ht="12.75" hidden="1">
      <c r="A186" s="56" t="s">
        <v>267</v>
      </c>
      <c r="B186" s="98">
        <v>33070</v>
      </c>
      <c r="C186" s="145"/>
      <c r="D186" s="114"/>
      <c r="E186" s="160"/>
      <c r="F186" s="189">
        <f t="shared" si="50"/>
        <v>0</v>
      </c>
      <c r="G186" s="87"/>
      <c r="H186" s="7"/>
      <c r="I186" s="73"/>
      <c r="J186" s="28"/>
      <c r="K186" s="7"/>
      <c r="L186" s="73"/>
      <c r="M186" s="22"/>
      <c r="N186" s="7"/>
      <c r="O186" s="23"/>
      <c r="P186" s="81"/>
      <c r="Q186" s="79"/>
    </row>
    <row r="187" spans="1:17" ht="12.75" hidden="1">
      <c r="A187" s="39" t="s">
        <v>259</v>
      </c>
      <c r="B187" s="98">
        <v>33071</v>
      </c>
      <c r="C187" s="145"/>
      <c r="D187" s="114"/>
      <c r="E187" s="160"/>
      <c r="F187" s="189">
        <f t="shared" si="50"/>
        <v>0</v>
      </c>
      <c r="G187" s="87"/>
      <c r="H187" s="7"/>
      <c r="I187" s="73">
        <f t="shared" si="51"/>
        <v>0</v>
      </c>
      <c r="J187" s="28"/>
      <c r="K187" s="7"/>
      <c r="L187" s="73">
        <f t="shared" si="52"/>
        <v>0</v>
      </c>
      <c r="M187" s="22"/>
      <c r="N187" s="7"/>
      <c r="O187" s="23">
        <f t="shared" si="53"/>
        <v>0</v>
      </c>
      <c r="P187" s="81"/>
      <c r="Q187" s="79">
        <f t="shared" si="47"/>
        <v>0</v>
      </c>
    </row>
    <row r="188" spans="1:17" ht="12.75" hidden="1">
      <c r="A188" s="39" t="s">
        <v>197</v>
      </c>
      <c r="B188" s="98">
        <v>33050</v>
      </c>
      <c r="C188" s="145"/>
      <c r="D188" s="114"/>
      <c r="E188" s="160"/>
      <c r="F188" s="189">
        <f t="shared" si="50"/>
        <v>0</v>
      </c>
      <c r="G188" s="87"/>
      <c r="H188" s="7"/>
      <c r="I188" s="73"/>
      <c r="J188" s="28"/>
      <c r="K188" s="7"/>
      <c r="L188" s="73">
        <f t="shared" si="52"/>
        <v>0</v>
      </c>
      <c r="M188" s="22"/>
      <c r="N188" s="7"/>
      <c r="O188" s="23">
        <f t="shared" si="53"/>
        <v>0</v>
      </c>
      <c r="P188" s="81"/>
      <c r="Q188" s="79">
        <f t="shared" si="47"/>
        <v>0</v>
      </c>
    </row>
    <row r="189" spans="1:17" ht="12.75" hidden="1">
      <c r="A189" s="39" t="s">
        <v>152</v>
      </c>
      <c r="B189" s="98">
        <v>33435</v>
      </c>
      <c r="C189" s="145"/>
      <c r="D189" s="114"/>
      <c r="E189" s="160"/>
      <c r="F189" s="189">
        <f t="shared" si="50"/>
        <v>0</v>
      </c>
      <c r="G189" s="87"/>
      <c r="H189" s="7"/>
      <c r="I189" s="73">
        <f t="shared" si="51"/>
        <v>0</v>
      </c>
      <c r="J189" s="28"/>
      <c r="K189" s="7"/>
      <c r="L189" s="73">
        <f t="shared" si="52"/>
        <v>0</v>
      </c>
      <c r="M189" s="22"/>
      <c r="N189" s="7"/>
      <c r="O189" s="23">
        <f t="shared" si="53"/>
        <v>0</v>
      </c>
      <c r="P189" s="81"/>
      <c r="Q189" s="79">
        <f t="shared" si="47"/>
        <v>0</v>
      </c>
    </row>
    <row r="190" spans="1:17" ht="12.75" hidden="1">
      <c r="A190" s="39" t="s">
        <v>220</v>
      </c>
      <c r="B190" s="98">
        <v>33049</v>
      </c>
      <c r="C190" s="145"/>
      <c r="D190" s="114"/>
      <c r="E190" s="160"/>
      <c r="F190" s="189">
        <f t="shared" si="50"/>
        <v>0</v>
      </c>
      <c r="G190" s="87"/>
      <c r="H190" s="7"/>
      <c r="I190" s="73"/>
      <c r="J190" s="28"/>
      <c r="K190" s="7"/>
      <c r="L190" s="73"/>
      <c r="M190" s="22"/>
      <c r="N190" s="7"/>
      <c r="O190" s="23"/>
      <c r="P190" s="81"/>
      <c r="Q190" s="79"/>
    </row>
    <row r="191" spans="1:17" ht="12.75" hidden="1">
      <c r="A191" s="39" t="s">
        <v>198</v>
      </c>
      <c r="B191" s="98">
        <v>33044</v>
      </c>
      <c r="C191" s="145"/>
      <c r="D191" s="114"/>
      <c r="E191" s="160"/>
      <c r="F191" s="189">
        <f t="shared" si="50"/>
        <v>0</v>
      </c>
      <c r="G191" s="87"/>
      <c r="H191" s="7"/>
      <c r="I191" s="73"/>
      <c r="J191" s="28"/>
      <c r="K191" s="7"/>
      <c r="L191" s="73">
        <f t="shared" si="52"/>
        <v>0</v>
      </c>
      <c r="M191" s="22"/>
      <c r="N191" s="7"/>
      <c r="O191" s="23">
        <f t="shared" si="53"/>
        <v>0</v>
      </c>
      <c r="P191" s="81"/>
      <c r="Q191" s="79">
        <f t="shared" si="47"/>
        <v>0</v>
      </c>
    </row>
    <row r="192" spans="1:17" ht="12.75" hidden="1">
      <c r="A192" s="39" t="s">
        <v>203</v>
      </c>
      <c r="B192" s="98">
        <v>33024</v>
      </c>
      <c r="C192" s="145"/>
      <c r="D192" s="114"/>
      <c r="E192" s="160"/>
      <c r="F192" s="189">
        <f t="shared" si="50"/>
        <v>0</v>
      </c>
      <c r="G192" s="87"/>
      <c r="H192" s="7"/>
      <c r="I192" s="73"/>
      <c r="J192" s="28"/>
      <c r="K192" s="7"/>
      <c r="L192" s="73"/>
      <c r="M192" s="22"/>
      <c r="N192" s="7"/>
      <c r="O192" s="23"/>
      <c r="P192" s="81"/>
      <c r="Q192" s="79"/>
    </row>
    <row r="193" spans="1:17" ht="12.75" hidden="1">
      <c r="A193" s="56" t="s">
        <v>157</v>
      </c>
      <c r="B193" s="98">
        <v>33018</v>
      </c>
      <c r="C193" s="145"/>
      <c r="D193" s="114"/>
      <c r="E193" s="160"/>
      <c r="F193" s="189">
        <f t="shared" si="50"/>
        <v>0</v>
      </c>
      <c r="G193" s="87"/>
      <c r="H193" s="7"/>
      <c r="I193" s="73"/>
      <c r="J193" s="28"/>
      <c r="K193" s="7"/>
      <c r="L193" s="73">
        <f t="shared" si="52"/>
        <v>0</v>
      </c>
      <c r="M193" s="22"/>
      <c r="N193" s="7"/>
      <c r="O193" s="23">
        <f t="shared" si="53"/>
        <v>0</v>
      </c>
      <c r="P193" s="81"/>
      <c r="Q193" s="79">
        <f t="shared" si="47"/>
        <v>0</v>
      </c>
    </row>
    <row r="194" spans="1:17" ht="12.75" hidden="1">
      <c r="A194" s="37" t="s">
        <v>158</v>
      </c>
      <c r="B194" s="98"/>
      <c r="C194" s="145"/>
      <c r="D194" s="114"/>
      <c r="E194" s="160"/>
      <c r="F194" s="189">
        <f t="shared" si="50"/>
        <v>0</v>
      </c>
      <c r="G194" s="87"/>
      <c r="H194" s="7"/>
      <c r="I194" s="73"/>
      <c r="J194" s="28"/>
      <c r="K194" s="7"/>
      <c r="L194" s="73">
        <f t="shared" si="52"/>
        <v>0</v>
      </c>
      <c r="M194" s="22"/>
      <c r="N194" s="7"/>
      <c r="O194" s="23">
        <f t="shared" si="53"/>
        <v>0</v>
      </c>
      <c r="P194" s="81"/>
      <c r="Q194" s="79">
        <f t="shared" si="47"/>
        <v>0</v>
      </c>
    </row>
    <row r="195" spans="1:17" ht="12.75" hidden="1">
      <c r="A195" s="56" t="s">
        <v>177</v>
      </c>
      <c r="B195" s="98">
        <v>33160</v>
      </c>
      <c r="C195" s="145"/>
      <c r="D195" s="114"/>
      <c r="E195" s="160"/>
      <c r="F195" s="189">
        <f t="shared" si="50"/>
        <v>0</v>
      </c>
      <c r="G195" s="87"/>
      <c r="H195" s="7"/>
      <c r="I195" s="73">
        <f t="shared" si="51"/>
        <v>0</v>
      </c>
      <c r="J195" s="28"/>
      <c r="K195" s="7"/>
      <c r="L195" s="73">
        <f t="shared" si="52"/>
        <v>0</v>
      </c>
      <c r="M195" s="22"/>
      <c r="N195" s="7"/>
      <c r="O195" s="23">
        <f t="shared" si="53"/>
        <v>0</v>
      </c>
      <c r="P195" s="81"/>
      <c r="Q195" s="79">
        <f t="shared" si="47"/>
        <v>0</v>
      </c>
    </row>
    <row r="196" spans="1:17" ht="12.75" hidden="1">
      <c r="A196" s="39" t="s">
        <v>145</v>
      </c>
      <c r="B196" s="98"/>
      <c r="C196" s="145"/>
      <c r="D196" s="114"/>
      <c r="E196" s="160"/>
      <c r="F196" s="189">
        <f t="shared" si="50"/>
        <v>0</v>
      </c>
      <c r="G196" s="87"/>
      <c r="H196" s="7"/>
      <c r="I196" s="73">
        <f t="shared" si="51"/>
        <v>0</v>
      </c>
      <c r="J196" s="28"/>
      <c r="K196" s="7"/>
      <c r="L196" s="73">
        <f t="shared" si="52"/>
        <v>0</v>
      </c>
      <c r="M196" s="22"/>
      <c r="N196" s="7"/>
      <c r="O196" s="23">
        <f t="shared" si="53"/>
        <v>0</v>
      </c>
      <c r="P196" s="81"/>
      <c r="Q196" s="79">
        <f t="shared" si="47"/>
        <v>0</v>
      </c>
    </row>
    <row r="197" spans="1:17" ht="12.75" hidden="1">
      <c r="A197" s="56" t="s">
        <v>135</v>
      </c>
      <c r="B197" s="98"/>
      <c r="C197" s="145"/>
      <c r="D197" s="114"/>
      <c r="E197" s="160"/>
      <c r="F197" s="189">
        <f t="shared" si="50"/>
        <v>0</v>
      </c>
      <c r="G197" s="87"/>
      <c r="H197" s="7"/>
      <c r="I197" s="73">
        <f t="shared" si="51"/>
        <v>0</v>
      </c>
      <c r="J197" s="28"/>
      <c r="K197" s="7"/>
      <c r="L197" s="73">
        <f t="shared" si="52"/>
        <v>0</v>
      </c>
      <c r="M197" s="22"/>
      <c r="N197" s="7"/>
      <c r="O197" s="23">
        <f t="shared" si="53"/>
        <v>0</v>
      </c>
      <c r="P197" s="81"/>
      <c r="Q197" s="79">
        <f t="shared" si="47"/>
        <v>0</v>
      </c>
    </row>
    <row r="198" spans="1:17" ht="12.75" hidden="1">
      <c r="A198" s="56" t="s">
        <v>144</v>
      </c>
      <c r="B198" s="98"/>
      <c r="C198" s="145"/>
      <c r="D198" s="114"/>
      <c r="E198" s="160"/>
      <c r="F198" s="189">
        <f t="shared" si="50"/>
        <v>0</v>
      </c>
      <c r="G198" s="87"/>
      <c r="H198" s="7"/>
      <c r="I198" s="73">
        <f t="shared" si="51"/>
        <v>0</v>
      </c>
      <c r="J198" s="28"/>
      <c r="K198" s="7"/>
      <c r="L198" s="73">
        <f t="shared" si="52"/>
        <v>0</v>
      </c>
      <c r="M198" s="22"/>
      <c r="N198" s="7"/>
      <c r="O198" s="23">
        <f t="shared" si="53"/>
        <v>0</v>
      </c>
      <c r="P198" s="81"/>
      <c r="Q198" s="79">
        <f t="shared" si="47"/>
        <v>0</v>
      </c>
    </row>
    <row r="199" spans="1:17" ht="12.75" hidden="1">
      <c r="A199" s="39" t="s">
        <v>86</v>
      </c>
      <c r="B199" s="98">
        <v>33025</v>
      </c>
      <c r="C199" s="145"/>
      <c r="D199" s="114"/>
      <c r="E199" s="160"/>
      <c r="F199" s="189">
        <f t="shared" si="50"/>
        <v>0</v>
      </c>
      <c r="G199" s="87"/>
      <c r="H199" s="7"/>
      <c r="I199" s="73">
        <f t="shared" si="51"/>
        <v>0</v>
      </c>
      <c r="J199" s="28"/>
      <c r="K199" s="7"/>
      <c r="L199" s="73">
        <f t="shared" si="52"/>
        <v>0</v>
      </c>
      <c r="M199" s="22"/>
      <c r="N199" s="7"/>
      <c r="O199" s="23">
        <f t="shared" si="53"/>
        <v>0</v>
      </c>
      <c r="P199" s="81"/>
      <c r="Q199" s="79">
        <f t="shared" si="47"/>
        <v>0</v>
      </c>
    </row>
    <row r="200" spans="1:17" ht="12.75" hidden="1">
      <c r="A200" s="39" t="s">
        <v>166</v>
      </c>
      <c r="B200" s="98">
        <v>33038</v>
      </c>
      <c r="C200" s="145"/>
      <c r="D200" s="114"/>
      <c r="E200" s="160"/>
      <c r="F200" s="189">
        <f t="shared" si="50"/>
        <v>0</v>
      </c>
      <c r="G200" s="87"/>
      <c r="H200" s="7"/>
      <c r="I200" s="73">
        <f t="shared" si="51"/>
        <v>0</v>
      </c>
      <c r="J200" s="28"/>
      <c r="K200" s="7"/>
      <c r="L200" s="73">
        <f t="shared" si="52"/>
        <v>0</v>
      </c>
      <c r="M200" s="22"/>
      <c r="N200" s="7"/>
      <c r="O200" s="23">
        <f t="shared" si="53"/>
        <v>0</v>
      </c>
      <c r="P200" s="81"/>
      <c r="Q200" s="79">
        <f t="shared" si="47"/>
        <v>0</v>
      </c>
    </row>
    <row r="201" spans="1:17" ht="12.75">
      <c r="A201" s="39" t="s">
        <v>279</v>
      </c>
      <c r="B201" s="98">
        <v>33063</v>
      </c>
      <c r="C201" s="145"/>
      <c r="D201" s="114">
        <f>10991.83+1658.34</f>
        <v>12650.17</v>
      </c>
      <c r="E201" s="160"/>
      <c r="F201" s="189">
        <f t="shared" si="50"/>
        <v>12650.17</v>
      </c>
      <c r="G201" s="87"/>
      <c r="H201" s="7"/>
      <c r="I201" s="73"/>
      <c r="J201" s="28"/>
      <c r="K201" s="7"/>
      <c r="L201" s="73"/>
      <c r="M201" s="22"/>
      <c r="N201" s="7"/>
      <c r="O201" s="23"/>
      <c r="P201" s="81"/>
      <c r="Q201" s="79"/>
    </row>
    <row r="202" spans="1:17" ht="12.75" hidden="1">
      <c r="A202" s="39" t="s">
        <v>272</v>
      </c>
      <c r="B202" s="98" t="s">
        <v>273</v>
      </c>
      <c r="C202" s="145"/>
      <c r="D202" s="114"/>
      <c r="E202" s="160"/>
      <c r="F202" s="189">
        <f t="shared" si="50"/>
        <v>0</v>
      </c>
      <c r="G202" s="87"/>
      <c r="H202" s="7"/>
      <c r="I202" s="73"/>
      <c r="J202" s="28"/>
      <c r="K202" s="7"/>
      <c r="L202" s="73"/>
      <c r="M202" s="22"/>
      <c r="N202" s="7"/>
      <c r="O202" s="23"/>
      <c r="P202" s="81"/>
      <c r="Q202" s="79"/>
    </row>
    <row r="203" spans="1:17" ht="12.75">
      <c r="A203" s="39" t="s">
        <v>312</v>
      </c>
      <c r="B203" s="98">
        <v>2054</v>
      </c>
      <c r="C203" s="145"/>
      <c r="D203" s="114">
        <f>183.89</f>
        <v>183.89</v>
      </c>
      <c r="E203" s="160"/>
      <c r="F203" s="189">
        <f t="shared" si="50"/>
        <v>183.89</v>
      </c>
      <c r="G203" s="87"/>
      <c r="H203" s="7"/>
      <c r="I203" s="73"/>
      <c r="J203" s="28"/>
      <c r="K203" s="7"/>
      <c r="L203" s="73"/>
      <c r="M203" s="22"/>
      <c r="N203" s="7"/>
      <c r="O203" s="23"/>
      <c r="P203" s="81"/>
      <c r="Q203" s="79"/>
    </row>
    <row r="204" spans="1:17" ht="12.75">
      <c r="A204" s="39" t="s">
        <v>317</v>
      </c>
      <c r="B204" s="98">
        <v>2054</v>
      </c>
      <c r="C204" s="145"/>
      <c r="D204" s="114">
        <f>1744.74</f>
        <v>1744.74</v>
      </c>
      <c r="E204" s="160"/>
      <c r="F204" s="189">
        <f t="shared" si="50"/>
        <v>1744.74</v>
      </c>
      <c r="G204" s="87"/>
      <c r="H204" s="7"/>
      <c r="I204" s="73"/>
      <c r="J204" s="28"/>
      <c r="K204" s="7"/>
      <c r="L204" s="73"/>
      <c r="M204" s="22"/>
      <c r="N204" s="7"/>
      <c r="O204" s="23"/>
      <c r="P204" s="81"/>
      <c r="Q204" s="79"/>
    </row>
    <row r="205" spans="1:17" ht="12.75">
      <c r="A205" s="39" t="s">
        <v>313</v>
      </c>
      <c r="B205" s="98">
        <v>2066</v>
      </c>
      <c r="C205" s="145"/>
      <c r="D205" s="114">
        <f>636.23</f>
        <v>636.23</v>
      </c>
      <c r="E205" s="160"/>
      <c r="F205" s="189">
        <f t="shared" si="50"/>
        <v>636.23</v>
      </c>
      <c r="G205" s="87"/>
      <c r="H205" s="7"/>
      <c r="I205" s="73">
        <f t="shared" si="51"/>
        <v>636.23</v>
      </c>
      <c r="J205" s="28"/>
      <c r="K205" s="7"/>
      <c r="L205" s="73">
        <f t="shared" si="52"/>
        <v>636.23</v>
      </c>
      <c r="M205" s="22"/>
      <c r="N205" s="7"/>
      <c r="O205" s="23">
        <f t="shared" si="53"/>
        <v>636.23</v>
      </c>
      <c r="P205" s="81"/>
      <c r="Q205" s="79">
        <f t="shared" si="47"/>
        <v>636.23</v>
      </c>
    </row>
    <row r="206" spans="1:17" ht="12.75" hidden="1">
      <c r="A206" s="39" t="s">
        <v>284</v>
      </c>
      <c r="B206" s="98">
        <v>2066</v>
      </c>
      <c r="C206" s="145"/>
      <c r="D206" s="114"/>
      <c r="E206" s="160"/>
      <c r="F206" s="189">
        <f t="shared" si="50"/>
        <v>0</v>
      </c>
      <c r="G206" s="87"/>
      <c r="H206" s="7"/>
      <c r="I206" s="73"/>
      <c r="J206" s="28"/>
      <c r="K206" s="7"/>
      <c r="L206" s="73"/>
      <c r="M206" s="22"/>
      <c r="N206" s="7"/>
      <c r="O206" s="23"/>
      <c r="P206" s="81"/>
      <c r="Q206" s="79"/>
    </row>
    <row r="207" spans="1:17" ht="12.75">
      <c r="A207" s="39" t="s">
        <v>77</v>
      </c>
      <c r="B207" s="232" t="s">
        <v>270</v>
      </c>
      <c r="C207" s="145"/>
      <c r="D207" s="114">
        <f>213.18+6902+349.03+6964.2</f>
        <v>14428.41</v>
      </c>
      <c r="E207" s="160"/>
      <c r="F207" s="189">
        <f t="shared" si="50"/>
        <v>14428.41</v>
      </c>
      <c r="G207" s="87"/>
      <c r="H207" s="7"/>
      <c r="I207" s="73">
        <f t="shared" si="51"/>
        <v>14428.41</v>
      </c>
      <c r="J207" s="28"/>
      <c r="K207" s="7"/>
      <c r="L207" s="73">
        <f t="shared" si="52"/>
        <v>14428.41</v>
      </c>
      <c r="M207" s="31"/>
      <c r="N207" s="7"/>
      <c r="O207" s="23">
        <f t="shared" si="53"/>
        <v>14428.41</v>
      </c>
      <c r="P207" s="81"/>
      <c r="Q207" s="79">
        <f t="shared" si="47"/>
        <v>14428.41</v>
      </c>
    </row>
    <row r="208" spans="1:17" ht="12.75">
      <c r="A208" s="39" t="s">
        <v>51</v>
      </c>
      <c r="B208" s="98"/>
      <c r="C208" s="145">
        <v>38783.07</v>
      </c>
      <c r="D208" s="114">
        <f>-4500+1190.66-12156.45+5000</f>
        <v>-10465.79</v>
      </c>
      <c r="E208" s="160"/>
      <c r="F208" s="189">
        <f t="shared" si="50"/>
        <v>28317.28</v>
      </c>
      <c r="G208" s="87"/>
      <c r="H208" s="7"/>
      <c r="I208" s="73">
        <f t="shared" si="51"/>
        <v>28317.28</v>
      </c>
      <c r="J208" s="28"/>
      <c r="K208" s="7"/>
      <c r="L208" s="73">
        <f t="shared" si="52"/>
        <v>28317.28</v>
      </c>
      <c r="M208" s="31"/>
      <c r="N208" s="7"/>
      <c r="O208" s="23">
        <f t="shared" si="53"/>
        <v>28317.28</v>
      </c>
      <c r="P208" s="81"/>
      <c r="Q208" s="79">
        <f t="shared" si="47"/>
        <v>28317.28</v>
      </c>
    </row>
    <row r="209" spans="1:17" ht="12.75">
      <c r="A209" s="42" t="s">
        <v>54</v>
      </c>
      <c r="B209" s="102"/>
      <c r="C209" s="174">
        <f>SUM(C211:C217)</f>
        <v>740</v>
      </c>
      <c r="D209" s="124">
        <f aca="true" t="shared" si="54" ref="D209:Q209">SUM(D211:D217)</f>
        <v>540.64</v>
      </c>
      <c r="E209" s="164">
        <f t="shared" si="54"/>
        <v>0</v>
      </c>
      <c r="F209" s="194">
        <f t="shared" si="54"/>
        <v>1280.6399999999999</v>
      </c>
      <c r="G209" s="211">
        <f t="shared" si="54"/>
        <v>0</v>
      </c>
      <c r="H209" s="124">
        <f t="shared" si="54"/>
        <v>0</v>
      </c>
      <c r="I209" s="164">
        <f t="shared" si="54"/>
        <v>1280.6399999999999</v>
      </c>
      <c r="J209" s="174">
        <f t="shared" si="54"/>
        <v>0</v>
      </c>
      <c r="K209" s="124">
        <f t="shared" si="54"/>
        <v>0</v>
      </c>
      <c r="L209" s="164">
        <f t="shared" si="54"/>
        <v>1280.6399999999999</v>
      </c>
      <c r="M209" s="123">
        <f t="shared" si="54"/>
        <v>0</v>
      </c>
      <c r="N209" s="123">
        <f t="shared" si="54"/>
        <v>0</v>
      </c>
      <c r="O209" s="123">
        <f t="shared" si="54"/>
        <v>1280.6399999999999</v>
      </c>
      <c r="P209" s="123">
        <f t="shared" si="54"/>
        <v>0</v>
      </c>
      <c r="Q209" s="246">
        <f t="shared" si="54"/>
        <v>1280.6399999999999</v>
      </c>
    </row>
    <row r="210" spans="1:17" ht="12.75">
      <c r="A210" s="37" t="s">
        <v>26</v>
      </c>
      <c r="B210" s="98"/>
      <c r="C210" s="145"/>
      <c r="D210" s="114"/>
      <c r="E210" s="160"/>
      <c r="F210" s="189"/>
      <c r="G210" s="87"/>
      <c r="H210" s="7"/>
      <c r="I210" s="69"/>
      <c r="J210" s="28"/>
      <c r="K210" s="7"/>
      <c r="L210" s="69"/>
      <c r="M210" s="22"/>
      <c r="N210" s="7"/>
      <c r="O210" s="21"/>
      <c r="P210" s="81"/>
      <c r="Q210" s="79"/>
    </row>
    <row r="211" spans="1:17" ht="12.75">
      <c r="A211" s="39" t="s">
        <v>87</v>
      </c>
      <c r="B211" s="98"/>
      <c r="C211" s="145">
        <v>740</v>
      </c>
      <c r="D211" s="114">
        <f>519.37</f>
        <v>519.37</v>
      </c>
      <c r="E211" s="160"/>
      <c r="F211" s="189">
        <f aca="true" t="shared" si="55" ref="F211:F217">C211+D211+E211</f>
        <v>1259.37</v>
      </c>
      <c r="G211" s="87"/>
      <c r="H211" s="7"/>
      <c r="I211" s="73">
        <f>F211+G211+H211</f>
        <v>1259.37</v>
      </c>
      <c r="J211" s="28"/>
      <c r="K211" s="7"/>
      <c r="L211" s="73">
        <f>I211+J211+K211</f>
        <v>1259.37</v>
      </c>
      <c r="M211" s="22"/>
      <c r="N211" s="7"/>
      <c r="O211" s="23">
        <f>L211+M211+N211</f>
        <v>1259.37</v>
      </c>
      <c r="P211" s="81"/>
      <c r="Q211" s="79">
        <f t="shared" si="47"/>
        <v>1259.37</v>
      </c>
    </row>
    <row r="212" spans="1:17" ht="12.75" hidden="1">
      <c r="A212" s="39" t="s">
        <v>272</v>
      </c>
      <c r="B212" s="98" t="s">
        <v>274</v>
      </c>
      <c r="C212" s="145"/>
      <c r="D212" s="114"/>
      <c r="E212" s="160"/>
      <c r="F212" s="189">
        <f t="shared" si="55"/>
        <v>0</v>
      </c>
      <c r="G212" s="87"/>
      <c r="H212" s="7"/>
      <c r="I212" s="73"/>
      <c r="J212" s="28"/>
      <c r="K212" s="7"/>
      <c r="L212" s="73"/>
      <c r="M212" s="22"/>
      <c r="N212" s="7"/>
      <c r="O212" s="23"/>
      <c r="P212" s="81"/>
      <c r="Q212" s="79"/>
    </row>
    <row r="213" spans="1:17" ht="12.75" hidden="1">
      <c r="A213" s="39" t="s">
        <v>284</v>
      </c>
      <c r="B213" s="98"/>
      <c r="C213" s="145"/>
      <c r="D213" s="114"/>
      <c r="E213" s="160"/>
      <c r="F213" s="189">
        <f t="shared" si="55"/>
        <v>0</v>
      </c>
      <c r="G213" s="87"/>
      <c r="H213" s="7"/>
      <c r="I213" s="73"/>
      <c r="J213" s="28"/>
      <c r="K213" s="7"/>
      <c r="L213" s="73"/>
      <c r="M213" s="22"/>
      <c r="N213" s="7"/>
      <c r="O213" s="23"/>
      <c r="P213" s="81"/>
      <c r="Q213" s="79"/>
    </row>
    <row r="214" spans="1:17" ht="12.75" hidden="1">
      <c r="A214" s="39" t="s">
        <v>69</v>
      </c>
      <c r="B214" s="98"/>
      <c r="C214" s="145"/>
      <c r="D214" s="114"/>
      <c r="E214" s="160"/>
      <c r="F214" s="189">
        <f t="shared" si="55"/>
        <v>0</v>
      </c>
      <c r="G214" s="87"/>
      <c r="H214" s="7"/>
      <c r="I214" s="73">
        <f>F214+G214+H214</f>
        <v>0</v>
      </c>
      <c r="J214" s="28"/>
      <c r="K214" s="7"/>
      <c r="L214" s="73">
        <f>I214+J214+K214</f>
        <v>0</v>
      </c>
      <c r="M214" s="22"/>
      <c r="N214" s="7"/>
      <c r="O214" s="23">
        <f>L214+M214+N214</f>
        <v>0</v>
      </c>
      <c r="P214" s="81"/>
      <c r="Q214" s="79">
        <f t="shared" si="47"/>
        <v>0</v>
      </c>
    </row>
    <row r="215" spans="1:17" ht="12.75" hidden="1">
      <c r="A215" s="39" t="s">
        <v>88</v>
      </c>
      <c r="B215" s="98"/>
      <c r="C215" s="145"/>
      <c r="D215" s="114"/>
      <c r="E215" s="160"/>
      <c r="F215" s="189">
        <f t="shared" si="55"/>
        <v>0</v>
      </c>
      <c r="G215" s="87"/>
      <c r="H215" s="7"/>
      <c r="I215" s="73">
        <f>F215+G215+H215</f>
        <v>0</v>
      </c>
      <c r="J215" s="28"/>
      <c r="K215" s="7"/>
      <c r="L215" s="73">
        <f>I215+J215+K215</f>
        <v>0</v>
      </c>
      <c r="M215" s="22"/>
      <c r="N215" s="7"/>
      <c r="O215" s="23">
        <f>L215+M215+N215</f>
        <v>0</v>
      </c>
      <c r="P215" s="81"/>
      <c r="Q215" s="79">
        <f t="shared" si="47"/>
        <v>0</v>
      </c>
    </row>
    <row r="216" spans="1:17" ht="12.75" hidden="1">
      <c r="A216" s="39" t="s">
        <v>55</v>
      </c>
      <c r="B216" s="98"/>
      <c r="C216" s="145"/>
      <c r="D216" s="114"/>
      <c r="E216" s="160"/>
      <c r="F216" s="189">
        <f t="shared" si="55"/>
        <v>0</v>
      </c>
      <c r="G216" s="87"/>
      <c r="H216" s="7"/>
      <c r="I216" s="73">
        <f>F216+G216+H216</f>
        <v>0</v>
      </c>
      <c r="J216" s="28"/>
      <c r="K216" s="9"/>
      <c r="L216" s="73">
        <f>I216+J216+K216</f>
        <v>0</v>
      </c>
      <c r="M216" s="22"/>
      <c r="N216" s="7"/>
      <c r="O216" s="23">
        <f>L216+M216+N216</f>
        <v>0</v>
      </c>
      <c r="P216" s="81"/>
      <c r="Q216" s="79">
        <f t="shared" si="47"/>
        <v>0</v>
      </c>
    </row>
    <row r="217" spans="1:17" ht="12.75">
      <c r="A217" s="46" t="s">
        <v>77</v>
      </c>
      <c r="B217" s="101"/>
      <c r="C217" s="173"/>
      <c r="D217" s="122">
        <f>21.27</f>
        <v>21.27</v>
      </c>
      <c r="E217" s="261"/>
      <c r="F217" s="193">
        <f t="shared" si="55"/>
        <v>21.27</v>
      </c>
      <c r="G217" s="212"/>
      <c r="H217" s="10"/>
      <c r="I217" s="72">
        <f>F217+G217+H217</f>
        <v>21.27</v>
      </c>
      <c r="J217" s="227"/>
      <c r="K217" s="68"/>
      <c r="L217" s="72">
        <f>I217+J217+K217</f>
        <v>21.27</v>
      </c>
      <c r="M217" s="26"/>
      <c r="N217" s="10"/>
      <c r="O217" s="27">
        <f>L217+M217+N217</f>
        <v>21.27</v>
      </c>
      <c r="P217" s="84"/>
      <c r="Q217" s="85">
        <f t="shared" si="47"/>
        <v>21.27</v>
      </c>
    </row>
    <row r="218" spans="1:17" ht="12.75">
      <c r="A218" s="32" t="s">
        <v>89</v>
      </c>
      <c r="B218" s="102"/>
      <c r="C218" s="152">
        <f aca="true" t="shared" si="56" ref="C218:Q218">C219+C230</f>
        <v>644136.8</v>
      </c>
      <c r="D218" s="113">
        <f t="shared" si="56"/>
        <v>59414.100000000006</v>
      </c>
      <c r="E218" s="136">
        <f t="shared" si="56"/>
        <v>0</v>
      </c>
      <c r="F218" s="167">
        <f t="shared" si="56"/>
        <v>703550.9</v>
      </c>
      <c r="G218" s="153">
        <f t="shared" si="56"/>
        <v>0</v>
      </c>
      <c r="H218" s="113">
        <f t="shared" si="56"/>
        <v>0</v>
      </c>
      <c r="I218" s="136">
        <f t="shared" si="56"/>
        <v>665700.13</v>
      </c>
      <c r="J218" s="152">
        <f t="shared" si="56"/>
        <v>0</v>
      </c>
      <c r="K218" s="113">
        <f t="shared" si="56"/>
        <v>0</v>
      </c>
      <c r="L218" s="136">
        <f t="shared" si="56"/>
        <v>665700.13</v>
      </c>
      <c r="M218" s="112">
        <f t="shared" si="56"/>
        <v>0</v>
      </c>
      <c r="N218" s="112">
        <f t="shared" si="56"/>
        <v>0</v>
      </c>
      <c r="O218" s="112">
        <f t="shared" si="56"/>
        <v>665700.13</v>
      </c>
      <c r="P218" s="112">
        <f t="shared" si="56"/>
        <v>0</v>
      </c>
      <c r="Q218" s="240">
        <f t="shared" si="56"/>
        <v>665700.13</v>
      </c>
    </row>
    <row r="219" spans="1:17" ht="12.75">
      <c r="A219" s="41" t="s">
        <v>49</v>
      </c>
      <c r="B219" s="102"/>
      <c r="C219" s="172">
        <f aca="true" t="shared" si="57" ref="C219:Q219">SUM(C221:C229)</f>
        <v>644136.8</v>
      </c>
      <c r="D219" s="121">
        <f t="shared" si="57"/>
        <v>51563.33</v>
      </c>
      <c r="E219" s="163">
        <f t="shared" si="57"/>
        <v>0</v>
      </c>
      <c r="F219" s="192">
        <f t="shared" si="57"/>
        <v>695700.13</v>
      </c>
      <c r="G219" s="210">
        <f t="shared" si="57"/>
        <v>0</v>
      </c>
      <c r="H219" s="121">
        <f t="shared" si="57"/>
        <v>0</v>
      </c>
      <c r="I219" s="163">
        <f t="shared" si="57"/>
        <v>665700.13</v>
      </c>
      <c r="J219" s="172">
        <f t="shared" si="57"/>
        <v>0</v>
      </c>
      <c r="K219" s="121">
        <f t="shared" si="57"/>
        <v>0</v>
      </c>
      <c r="L219" s="163">
        <f t="shared" si="57"/>
        <v>665700.13</v>
      </c>
      <c r="M219" s="120">
        <f t="shared" si="57"/>
        <v>0</v>
      </c>
      <c r="N219" s="120">
        <f t="shared" si="57"/>
        <v>0</v>
      </c>
      <c r="O219" s="120">
        <f t="shared" si="57"/>
        <v>665700.13</v>
      </c>
      <c r="P219" s="120">
        <f t="shared" si="57"/>
        <v>0</v>
      </c>
      <c r="Q219" s="245">
        <f t="shared" si="57"/>
        <v>665700.13</v>
      </c>
    </row>
    <row r="220" spans="1:17" ht="12.75">
      <c r="A220" s="37" t="s">
        <v>26</v>
      </c>
      <c r="B220" s="98"/>
      <c r="C220" s="145"/>
      <c r="D220" s="114"/>
      <c r="E220" s="160"/>
      <c r="F220" s="167"/>
      <c r="G220" s="87"/>
      <c r="H220" s="7"/>
      <c r="I220" s="69"/>
      <c r="J220" s="28"/>
      <c r="K220" s="7"/>
      <c r="L220" s="69"/>
      <c r="M220" s="22"/>
      <c r="N220" s="7"/>
      <c r="O220" s="21"/>
      <c r="P220" s="81"/>
      <c r="Q220" s="79"/>
    </row>
    <row r="221" spans="1:17" ht="12.75">
      <c r="A221" s="34" t="s">
        <v>74</v>
      </c>
      <c r="B221" s="98"/>
      <c r="C221" s="145">
        <v>296650</v>
      </c>
      <c r="D221" s="114"/>
      <c r="E221" s="160"/>
      <c r="F221" s="189">
        <f aca="true" t="shared" si="58" ref="F221:F229">C221+D221+E221</f>
        <v>296650</v>
      </c>
      <c r="G221" s="87"/>
      <c r="H221" s="7"/>
      <c r="I221" s="73">
        <f aca="true" t="shared" si="59" ref="I221:I229">F221+G221+H221</f>
        <v>296650</v>
      </c>
      <c r="J221" s="28"/>
      <c r="K221" s="7"/>
      <c r="L221" s="73">
        <f aca="true" t="shared" si="60" ref="L221:L229">I221+J221+K221</f>
        <v>296650</v>
      </c>
      <c r="M221" s="22"/>
      <c r="N221" s="7"/>
      <c r="O221" s="23">
        <f aca="true" t="shared" si="61" ref="O221:O229">L221+M221+N221</f>
        <v>296650</v>
      </c>
      <c r="P221" s="81"/>
      <c r="Q221" s="79">
        <f>O221+P221</f>
        <v>296650</v>
      </c>
    </row>
    <row r="222" spans="1:17" ht="12.75">
      <c r="A222" s="99" t="s">
        <v>210</v>
      </c>
      <c r="B222" s="98"/>
      <c r="C222" s="145">
        <v>12000</v>
      </c>
      <c r="D222" s="114">
        <f>18000</f>
        <v>18000</v>
      </c>
      <c r="E222" s="160"/>
      <c r="F222" s="189">
        <f t="shared" si="58"/>
        <v>30000</v>
      </c>
      <c r="G222" s="87"/>
      <c r="H222" s="7"/>
      <c r="I222" s="73"/>
      <c r="J222" s="28"/>
      <c r="K222" s="7"/>
      <c r="L222" s="73"/>
      <c r="M222" s="22"/>
      <c r="N222" s="7"/>
      <c r="O222" s="23"/>
      <c r="P222" s="81"/>
      <c r="Q222" s="79"/>
    </row>
    <row r="223" spans="1:17" ht="12.75">
      <c r="A223" s="39" t="s">
        <v>64</v>
      </c>
      <c r="B223" s="98"/>
      <c r="C223" s="145">
        <v>236200</v>
      </c>
      <c r="D223" s="114"/>
      <c r="E223" s="160"/>
      <c r="F223" s="189">
        <f t="shared" si="58"/>
        <v>236200</v>
      </c>
      <c r="G223" s="87"/>
      <c r="H223" s="7"/>
      <c r="I223" s="73">
        <f t="shared" si="59"/>
        <v>236200</v>
      </c>
      <c r="J223" s="28"/>
      <c r="K223" s="7"/>
      <c r="L223" s="73">
        <f t="shared" si="60"/>
        <v>236200</v>
      </c>
      <c r="M223" s="22"/>
      <c r="N223" s="7"/>
      <c r="O223" s="23">
        <f t="shared" si="61"/>
        <v>236200</v>
      </c>
      <c r="P223" s="81"/>
      <c r="Q223" s="79">
        <f>O223+P223</f>
        <v>236200</v>
      </c>
    </row>
    <row r="224" spans="1:17" ht="12.75" hidden="1">
      <c r="A224" s="39" t="s">
        <v>172</v>
      </c>
      <c r="B224" s="98"/>
      <c r="C224" s="145">
        <v>0</v>
      </c>
      <c r="D224" s="125"/>
      <c r="E224" s="160"/>
      <c r="F224" s="189">
        <f t="shared" si="58"/>
        <v>0</v>
      </c>
      <c r="G224" s="87"/>
      <c r="H224" s="7"/>
      <c r="I224" s="73"/>
      <c r="J224" s="28"/>
      <c r="K224" s="7"/>
      <c r="L224" s="73"/>
      <c r="M224" s="22"/>
      <c r="N224" s="7"/>
      <c r="O224" s="23"/>
      <c r="P224" s="81"/>
      <c r="Q224" s="79"/>
    </row>
    <row r="225" spans="1:17" ht="12.75">
      <c r="A225" s="39" t="s">
        <v>51</v>
      </c>
      <c r="B225" s="98"/>
      <c r="C225" s="147">
        <v>99286.8</v>
      </c>
      <c r="D225" s="114">
        <f>18317</f>
        <v>18317</v>
      </c>
      <c r="E225" s="160"/>
      <c r="F225" s="189">
        <f t="shared" si="58"/>
        <v>117603.8</v>
      </c>
      <c r="G225" s="87"/>
      <c r="H225" s="7"/>
      <c r="I225" s="73">
        <f t="shared" si="59"/>
        <v>117603.8</v>
      </c>
      <c r="J225" s="28"/>
      <c r="K225" s="7"/>
      <c r="L225" s="73">
        <f t="shared" si="60"/>
        <v>117603.8</v>
      </c>
      <c r="M225" s="22"/>
      <c r="N225" s="7"/>
      <c r="O225" s="23">
        <f t="shared" si="61"/>
        <v>117603.8</v>
      </c>
      <c r="P225" s="81"/>
      <c r="Q225" s="79">
        <f>O225+P225</f>
        <v>117603.8</v>
      </c>
    </row>
    <row r="226" spans="1:17" ht="12.75">
      <c r="A226" s="39" t="s">
        <v>78</v>
      </c>
      <c r="B226" s="98"/>
      <c r="C226" s="147"/>
      <c r="D226" s="114">
        <f>7500+7500</f>
        <v>15000</v>
      </c>
      <c r="E226" s="160"/>
      <c r="F226" s="189">
        <f t="shared" si="58"/>
        <v>15000</v>
      </c>
      <c r="G226" s="87"/>
      <c r="H226" s="7"/>
      <c r="I226" s="73">
        <f t="shared" si="59"/>
        <v>15000</v>
      </c>
      <c r="J226" s="28"/>
      <c r="K226" s="7"/>
      <c r="L226" s="73">
        <f t="shared" si="60"/>
        <v>15000</v>
      </c>
      <c r="M226" s="22"/>
      <c r="N226" s="7"/>
      <c r="O226" s="23">
        <f t="shared" si="61"/>
        <v>15000</v>
      </c>
      <c r="P226" s="81"/>
      <c r="Q226" s="79">
        <f>O226+P226</f>
        <v>15000</v>
      </c>
    </row>
    <row r="227" spans="1:17" ht="12.75" hidden="1">
      <c r="A227" s="39" t="s">
        <v>281</v>
      </c>
      <c r="B227" s="98"/>
      <c r="C227" s="147"/>
      <c r="D227" s="114"/>
      <c r="E227" s="160"/>
      <c r="F227" s="189">
        <f t="shared" si="58"/>
        <v>0</v>
      </c>
      <c r="G227" s="87"/>
      <c r="H227" s="7"/>
      <c r="I227" s="73"/>
      <c r="J227" s="28"/>
      <c r="K227" s="7"/>
      <c r="L227" s="73"/>
      <c r="M227" s="22"/>
      <c r="N227" s="7"/>
      <c r="O227" s="23"/>
      <c r="P227" s="81"/>
      <c r="Q227" s="79"/>
    </row>
    <row r="228" spans="1:17" ht="12.75">
      <c r="A228" s="39" t="s">
        <v>338</v>
      </c>
      <c r="B228" s="98"/>
      <c r="C228" s="147"/>
      <c r="D228" s="114">
        <f>13.91+232.42</f>
        <v>246.32999999999998</v>
      </c>
      <c r="E228" s="160"/>
      <c r="F228" s="189">
        <f t="shared" si="58"/>
        <v>246.32999999999998</v>
      </c>
      <c r="G228" s="87"/>
      <c r="H228" s="7"/>
      <c r="I228" s="73">
        <f t="shared" si="59"/>
        <v>246.32999999999998</v>
      </c>
      <c r="J228" s="28"/>
      <c r="K228" s="7"/>
      <c r="L228" s="73">
        <f t="shared" si="60"/>
        <v>246.32999999999998</v>
      </c>
      <c r="M228" s="22"/>
      <c r="N228" s="7"/>
      <c r="O228" s="23">
        <f t="shared" si="61"/>
        <v>246.32999999999998</v>
      </c>
      <c r="P228" s="81"/>
      <c r="Q228" s="79">
        <f>O228+P228</f>
        <v>246.32999999999998</v>
      </c>
    </row>
    <row r="229" spans="1:17" ht="12.75" hidden="1">
      <c r="A229" s="39" t="s">
        <v>90</v>
      </c>
      <c r="B229" s="98"/>
      <c r="C229" s="145"/>
      <c r="D229" s="114"/>
      <c r="E229" s="160"/>
      <c r="F229" s="189">
        <f t="shared" si="58"/>
        <v>0</v>
      </c>
      <c r="G229" s="87"/>
      <c r="H229" s="7"/>
      <c r="I229" s="73">
        <f t="shared" si="59"/>
        <v>0</v>
      </c>
      <c r="J229" s="28"/>
      <c r="K229" s="7"/>
      <c r="L229" s="73">
        <f t="shared" si="60"/>
        <v>0</v>
      </c>
      <c r="M229" s="22"/>
      <c r="N229" s="7"/>
      <c r="O229" s="23">
        <f t="shared" si="61"/>
        <v>0</v>
      </c>
      <c r="P229" s="81"/>
      <c r="Q229" s="79">
        <f>O229+P229</f>
        <v>0</v>
      </c>
    </row>
    <row r="230" spans="1:17" ht="12.75">
      <c r="A230" s="41" t="s">
        <v>54</v>
      </c>
      <c r="B230" s="102"/>
      <c r="C230" s="172">
        <f>SUM(C232:C236)</f>
        <v>0</v>
      </c>
      <c r="D230" s="121">
        <f aca="true" t="shared" si="62" ref="D230:Q230">SUM(D232:D236)</f>
        <v>7850.77</v>
      </c>
      <c r="E230" s="163">
        <f t="shared" si="62"/>
        <v>0</v>
      </c>
      <c r="F230" s="192">
        <f t="shared" si="62"/>
        <v>7850.77</v>
      </c>
      <c r="G230" s="210">
        <f t="shared" si="62"/>
        <v>0</v>
      </c>
      <c r="H230" s="121">
        <f t="shared" si="62"/>
        <v>0</v>
      </c>
      <c r="I230" s="163">
        <f t="shared" si="62"/>
        <v>0</v>
      </c>
      <c r="J230" s="172">
        <f t="shared" si="62"/>
        <v>0</v>
      </c>
      <c r="K230" s="121">
        <f t="shared" si="62"/>
        <v>0</v>
      </c>
      <c r="L230" s="163">
        <f t="shared" si="62"/>
        <v>0</v>
      </c>
      <c r="M230" s="120">
        <f t="shared" si="62"/>
        <v>0</v>
      </c>
      <c r="N230" s="120">
        <f t="shared" si="62"/>
        <v>0</v>
      </c>
      <c r="O230" s="120">
        <f t="shared" si="62"/>
        <v>0</v>
      </c>
      <c r="P230" s="120">
        <f t="shared" si="62"/>
        <v>0</v>
      </c>
      <c r="Q230" s="245">
        <f t="shared" si="62"/>
        <v>0</v>
      </c>
    </row>
    <row r="231" spans="1:17" ht="12.75">
      <c r="A231" s="37" t="s">
        <v>26</v>
      </c>
      <c r="B231" s="98"/>
      <c r="C231" s="145"/>
      <c r="D231" s="114"/>
      <c r="E231" s="160"/>
      <c r="F231" s="189"/>
      <c r="G231" s="87"/>
      <c r="H231" s="7"/>
      <c r="I231" s="73"/>
      <c r="J231" s="28"/>
      <c r="K231" s="7"/>
      <c r="L231" s="73"/>
      <c r="M231" s="22"/>
      <c r="N231" s="7"/>
      <c r="O231" s="23"/>
      <c r="P231" s="81"/>
      <c r="Q231" s="79"/>
    </row>
    <row r="232" spans="1:17" ht="12.75">
      <c r="A232" s="46" t="s">
        <v>55</v>
      </c>
      <c r="B232" s="101"/>
      <c r="C232" s="173">
        <v>0</v>
      </c>
      <c r="D232" s="122">
        <f>7850.77</f>
        <v>7850.77</v>
      </c>
      <c r="E232" s="261"/>
      <c r="F232" s="193">
        <f>C232+D232+E232</f>
        <v>7850.77</v>
      </c>
      <c r="G232" s="87"/>
      <c r="H232" s="7"/>
      <c r="I232" s="73"/>
      <c r="J232" s="28"/>
      <c r="K232" s="7"/>
      <c r="L232" s="73"/>
      <c r="M232" s="22"/>
      <c r="N232" s="7"/>
      <c r="O232" s="23"/>
      <c r="P232" s="81"/>
      <c r="Q232" s="79"/>
    </row>
    <row r="233" spans="1:17" ht="12.75" hidden="1">
      <c r="A233" s="39" t="s">
        <v>244</v>
      </c>
      <c r="B233" s="98"/>
      <c r="C233" s="145"/>
      <c r="D233" s="114"/>
      <c r="E233" s="160"/>
      <c r="F233" s="189">
        <f>C233+D233+E233</f>
        <v>0</v>
      </c>
      <c r="G233" s="87"/>
      <c r="H233" s="7"/>
      <c r="I233" s="73"/>
      <c r="J233" s="28"/>
      <c r="K233" s="7"/>
      <c r="L233" s="73"/>
      <c r="M233" s="22"/>
      <c r="N233" s="7"/>
      <c r="O233" s="23"/>
      <c r="P233" s="81"/>
      <c r="Q233" s="79"/>
    </row>
    <row r="234" spans="1:17" ht="12.75" hidden="1">
      <c r="A234" s="39" t="s">
        <v>69</v>
      </c>
      <c r="B234" s="98"/>
      <c r="C234" s="145"/>
      <c r="D234" s="114"/>
      <c r="E234" s="160"/>
      <c r="F234" s="189">
        <f>C234+D234+E234</f>
        <v>0</v>
      </c>
      <c r="G234" s="87"/>
      <c r="H234" s="7"/>
      <c r="I234" s="73">
        <f>F234+G234+H234</f>
        <v>0</v>
      </c>
      <c r="J234" s="28"/>
      <c r="K234" s="7"/>
      <c r="L234" s="73">
        <f>I234+J234+K234</f>
        <v>0</v>
      </c>
      <c r="M234" s="22"/>
      <c r="N234" s="7"/>
      <c r="O234" s="23">
        <f>L234+M234+N234</f>
        <v>0</v>
      </c>
      <c r="P234" s="81"/>
      <c r="Q234" s="79">
        <f>O234+P234</f>
        <v>0</v>
      </c>
    </row>
    <row r="235" spans="1:17" ht="12.75" hidden="1">
      <c r="A235" s="39" t="s">
        <v>216</v>
      </c>
      <c r="B235" s="98"/>
      <c r="C235" s="145"/>
      <c r="D235" s="114"/>
      <c r="E235" s="160"/>
      <c r="F235" s="189">
        <f>C235+D235+E235</f>
        <v>0</v>
      </c>
      <c r="G235" s="212"/>
      <c r="H235" s="10"/>
      <c r="I235" s="72">
        <f>F235+G235+H235</f>
        <v>0</v>
      </c>
      <c r="J235" s="227"/>
      <c r="K235" s="10"/>
      <c r="L235" s="72">
        <f>I235+J235+K235</f>
        <v>0</v>
      </c>
      <c r="M235" s="26"/>
      <c r="N235" s="10"/>
      <c r="O235" s="27">
        <f>L235+M235+N235</f>
        <v>0</v>
      </c>
      <c r="P235" s="84"/>
      <c r="Q235" s="85">
        <f>O235+P235</f>
        <v>0</v>
      </c>
    </row>
    <row r="236" spans="1:17" ht="12.75" hidden="1">
      <c r="A236" s="38" t="s">
        <v>78</v>
      </c>
      <c r="B236" s="101"/>
      <c r="C236" s="173"/>
      <c r="D236" s="122"/>
      <c r="E236" s="261"/>
      <c r="F236" s="193">
        <f>C236+D236+E236</f>
        <v>0</v>
      </c>
      <c r="G236" s="212"/>
      <c r="H236" s="10"/>
      <c r="I236" s="72">
        <f>F236+G236+H236</f>
        <v>0</v>
      </c>
      <c r="J236" s="227"/>
      <c r="K236" s="10"/>
      <c r="L236" s="72">
        <f>I236+J236+K236</f>
        <v>0</v>
      </c>
      <c r="M236" s="26"/>
      <c r="N236" s="10"/>
      <c r="O236" s="27">
        <f>L236+M236+N236</f>
        <v>0</v>
      </c>
      <c r="P236" s="84"/>
      <c r="Q236" s="85">
        <f>O236+P236</f>
        <v>0</v>
      </c>
    </row>
    <row r="237" spans="1:17" ht="12.75">
      <c r="A237" s="47" t="s">
        <v>91</v>
      </c>
      <c r="B237" s="103"/>
      <c r="C237" s="139">
        <f>C238+C248</f>
        <v>228552.1</v>
      </c>
      <c r="D237" s="117">
        <f aca="true" t="shared" si="63" ref="D237:Q237">D238+D248</f>
        <v>16061.180000000002</v>
      </c>
      <c r="E237" s="161">
        <f t="shared" si="63"/>
        <v>0</v>
      </c>
      <c r="F237" s="190">
        <f t="shared" si="63"/>
        <v>244613.28</v>
      </c>
      <c r="G237" s="140">
        <f t="shared" si="63"/>
        <v>0</v>
      </c>
      <c r="H237" s="117">
        <f t="shared" si="63"/>
        <v>0</v>
      </c>
      <c r="I237" s="161">
        <f t="shared" si="63"/>
        <v>240443.84</v>
      </c>
      <c r="J237" s="139">
        <f t="shared" si="63"/>
        <v>0</v>
      </c>
      <c r="K237" s="117">
        <f t="shared" si="63"/>
        <v>0</v>
      </c>
      <c r="L237" s="161">
        <f t="shared" si="63"/>
        <v>240443.84</v>
      </c>
      <c r="M237" s="116">
        <f t="shared" si="63"/>
        <v>0</v>
      </c>
      <c r="N237" s="116">
        <f t="shared" si="63"/>
        <v>0</v>
      </c>
      <c r="O237" s="116">
        <f t="shared" si="63"/>
        <v>240443.84</v>
      </c>
      <c r="P237" s="116">
        <f t="shared" si="63"/>
        <v>0</v>
      </c>
      <c r="Q237" s="243">
        <f t="shared" si="63"/>
        <v>240443.84</v>
      </c>
    </row>
    <row r="238" spans="1:17" ht="12.75">
      <c r="A238" s="41" t="s">
        <v>49</v>
      </c>
      <c r="B238" s="102"/>
      <c r="C238" s="172">
        <f>SUM(C240:C247)</f>
        <v>225172.1</v>
      </c>
      <c r="D238" s="121">
        <f aca="true" t="shared" si="64" ref="D238:Q238">SUM(D240:D247)</f>
        <v>12691.180000000002</v>
      </c>
      <c r="E238" s="163">
        <f t="shared" si="64"/>
        <v>0</v>
      </c>
      <c r="F238" s="192">
        <f t="shared" si="64"/>
        <v>237863.28</v>
      </c>
      <c r="G238" s="210">
        <f t="shared" si="64"/>
        <v>0</v>
      </c>
      <c r="H238" s="121">
        <f t="shared" si="64"/>
        <v>0</v>
      </c>
      <c r="I238" s="163">
        <f t="shared" si="64"/>
        <v>237593.84</v>
      </c>
      <c r="J238" s="172">
        <f t="shared" si="64"/>
        <v>0</v>
      </c>
      <c r="K238" s="121">
        <f t="shared" si="64"/>
        <v>0</v>
      </c>
      <c r="L238" s="163">
        <f t="shared" si="64"/>
        <v>237593.84</v>
      </c>
      <c r="M238" s="120">
        <f t="shared" si="64"/>
        <v>0</v>
      </c>
      <c r="N238" s="120">
        <f t="shared" si="64"/>
        <v>0</v>
      </c>
      <c r="O238" s="120">
        <f t="shared" si="64"/>
        <v>237593.84</v>
      </c>
      <c r="P238" s="120">
        <f t="shared" si="64"/>
        <v>0</v>
      </c>
      <c r="Q238" s="245">
        <f t="shared" si="64"/>
        <v>237593.84</v>
      </c>
    </row>
    <row r="239" spans="1:17" ht="12.75">
      <c r="A239" s="37" t="s">
        <v>26</v>
      </c>
      <c r="B239" s="98"/>
      <c r="C239" s="145"/>
      <c r="D239" s="114"/>
      <c r="E239" s="160"/>
      <c r="F239" s="189"/>
      <c r="G239" s="87"/>
      <c r="H239" s="7"/>
      <c r="I239" s="73"/>
      <c r="J239" s="28"/>
      <c r="K239" s="7"/>
      <c r="L239" s="73"/>
      <c r="M239" s="22"/>
      <c r="N239" s="7"/>
      <c r="O239" s="23"/>
      <c r="P239" s="81"/>
      <c r="Q239" s="79"/>
    </row>
    <row r="240" spans="1:17" ht="12.75">
      <c r="A240" s="39" t="s">
        <v>74</v>
      </c>
      <c r="B240" s="98"/>
      <c r="C240" s="145">
        <v>190968.5</v>
      </c>
      <c r="D240" s="114">
        <f>2154.6+7724.6</f>
        <v>9879.2</v>
      </c>
      <c r="E240" s="160"/>
      <c r="F240" s="189">
        <f aca="true" t="shared" si="65" ref="F240:F247">C240+D240+E240</f>
        <v>200847.7</v>
      </c>
      <c r="G240" s="87"/>
      <c r="H240" s="7"/>
      <c r="I240" s="73">
        <f>F240+G240+H240</f>
        <v>200847.7</v>
      </c>
      <c r="J240" s="28"/>
      <c r="K240" s="7"/>
      <c r="L240" s="73">
        <f>I240+J240+K240</f>
        <v>200847.7</v>
      </c>
      <c r="M240" s="22"/>
      <c r="N240" s="7"/>
      <c r="O240" s="23">
        <f>L240+M240+N240</f>
        <v>200847.7</v>
      </c>
      <c r="P240" s="81"/>
      <c r="Q240" s="79">
        <f aca="true" t="shared" si="66" ref="Q240:Q247">O240+P240</f>
        <v>200847.7</v>
      </c>
    </row>
    <row r="241" spans="1:17" ht="12.75">
      <c r="A241" s="39" t="s">
        <v>51</v>
      </c>
      <c r="B241" s="98"/>
      <c r="C241" s="145">
        <v>30515.6</v>
      </c>
      <c r="D241" s="114">
        <f>-1130-6273+556-2490.05+2641.14+1500</f>
        <v>-5195.91</v>
      </c>
      <c r="E241" s="160"/>
      <c r="F241" s="189">
        <f t="shared" si="65"/>
        <v>25319.69</v>
      </c>
      <c r="G241" s="87"/>
      <c r="H241" s="7"/>
      <c r="I241" s="73">
        <f aca="true" t="shared" si="67" ref="I241:I247">F241+G241+H241</f>
        <v>25319.69</v>
      </c>
      <c r="J241" s="28"/>
      <c r="K241" s="7"/>
      <c r="L241" s="73">
        <f aca="true" t="shared" si="68" ref="L241:L247">I241+J241+K241</f>
        <v>25319.69</v>
      </c>
      <c r="M241" s="22"/>
      <c r="N241" s="7"/>
      <c r="O241" s="23">
        <f aca="true" t="shared" si="69" ref="O241:O247">L241+M241+N241</f>
        <v>25319.69</v>
      </c>
      <c r="P241" s="81"/>
      <c r="Q241" s="79">
        <f t="shared" si="66"/>
        <v>25319.69</v>
      </c>
    </row>
    <row r="242" spans="1:17" ht="12.75">
      <c r="A242" s="39" t="s">
        <v>133</v>
      </c>
      <c r="B242" s="98"/>
      <c r="C242" s="145">
        <v>3388</v>
      </c>
      <c r="D242" s="114">
        <f>94.86</f>
        <v>94.86</v>
      </c>
      <c r="E242" s="160"/>
      <c r="F242" s="189">
        <f t="shared" si="65"/>
        <v>3482.86</v>
      </c>
      <c r="G242" s="87"/>
      <c r="H242" s="7"/>
      <c r="I242" s="73">
        <f t="shared" si="67"/>
        <v>3482.86</v>
      </c>
      <c r="J242" s="28"/>
      <c r="K242" s="7"/>
      <c r="L242" s="73">
        <f t="shared" si="68"/>
        <v>3482.86</v>
      </c>
      <c r="M242" s="22"/>
      <c r="N242" s="7"/>
      <c r="O242" s="23">
        <f t="shared" si="69"/>
        <v>3482.86</v>
      </c>
      <c r="P242" s="81"/>
      <c r="Q242" s="79">
        <f t="shared" si="66"/>
        <v>3482.86</v>
      </c>
    </row>
    <row r="243" spans="1:17" ht="12.75">
      <c r="A243" s="39" t="s">
        <v>65</v>
      </c>
      <c r="B243" s="98"/>
      <c r="C243" s="145"/>
      <c r="D243" s="114">
        <f>1130+6273+240.59</f>
        <v>7643.59</v>
      </c>
      <c r="E243" s="160"/>
      <c r="F243" s="189">
        <f t="shared" si="65"/>
        <v>7643.59</v>
      </c>
      <c r="G243" s="87"/>
      <c r="H243" s="7"/>
      <c r="I243" s="73">
        <f t="shared" si="67"/>
        <v>7643.59</v>
      </c>
      <c r="J243" s="28"/>
      <c r="K243" s="7"/>
      <c r="L243" s="73">
        <f t="shared" si="68"/>
        <v>7643.59</v>
      </c>
      <c r="M243" s="22"/>
      <c r="N243" s="7"/>
      <c r="O243" s="23">
        <f t="shared" si="69"/>
        <v>7643.59</v>
      </c>
      <c r="P243" s="81"/>
      <c r="Q243" s="79">
        <f t="shared" si="66"/>
        <v>7643.59</v>
      </c>
    </row>
    <row r="244" spans="1:17" ht="12.75" hidden="1">
      <c r="A244" s="39" t="s">
        <v>92</v>
      </c>
      <c r="B244" s="98">
        <v>34070</v>
      </c>
      <c r="C244" s="145"/>
      <c r="D244" s="114"/>
      <c r="E244" s="160"/>
      <c r="F244" s="189">
        <f t="shared" si="65"/>
        <v>0</v>
      </c>
      <c r="G244" s="87"/>
      <c r="H244" s="7"/>
      <c r="I244" s="73">
        <f t="shared" si="67"/>
        <v>0</v>
      </c>
      <c r="J244" s="28"/>
      <c r="K244" s="7"/>
      <c r="L244" s="73">
        <f t="shared" si="68"/>
        <v>0</v>
      </c>
      <c r="M244" s="22"/>
      <c r="N244" s="7"/>
      <c r="O244" s="23">
        <f t="shared" si="69"/>
        <v>0</v>
      </c>
      <c r="P244" s="81"/>
      <c r="Q244" s="79">
        <f t="shared" si="66"/>
        <v>0</v>
      </c>
    </row>
    <row r="245" spans="1:17" ht="12.75" hidden="1">
      <c r="A245" s="39" t="s">
        <v>93</v>
      </c>
      <c r="B245" s="98">
        <v>34053</v>
      </c>
      <c r="C245" s="145"/>
      <c r="D245" s="114"/>
      <c r="E245" s="160"/>
      <c r="F245" s="189">
        <f t="shared" si="65"/>
        <v>0</v>
      </c>
      <c r="G245" s="87"/>
      <c r="H245" s="7"/>
      <c r="I245" s="73">
        <f t="shared" si="67"/>
        <v>0</v>
      </c>
      <c r="J245" s="28"/>
      <c r="K245" s="7"/>
      <c r="L245" s="73">
        <f t="shared" si="68"/>
        <v>0</v>
      </c>
      <c r="M245" s="22"/>
      <c r="N245" s="7"/>
      <c r="O245" s="23">
        <f t="shared" si="69"/>
        <v>0</v>
      </c>
      <c r="P245" s="81"/>
      <c r="Q245" s="79">
        <f t="shared" si="66"/>
        <v>0</v>
      </c>
    </row>
    <row r="246" spans="1:17" ht="12.75">
      <c r="A246" s="39" t="s">
        <v>334</v>
      </c>
      <c r="B246" s="98"/>
      <c r="C246" s="145"/>
      <c r="D246" s="114">
        <f>269.44</f>
        <v>269.44</v>
      </c>
      <c r="E246" s="160"/>
      <c r="F246" s="189">
        <f t="shared" si="65"/>
        <v>269.44</v>
      </c>
      <c r="G246" s="87"/>
      <c r="H246" s="7"/>
      <c r="I246" s="73"/>
      <c r="J246" s="28"/>
      <c r="K246" s="7"/>
      <c r="L246" s="73"/>
      <c r="M246" s="22"/>
      <c r="N246" s="7"/>
      <c r="O246" s="23"/>
      <c r="P246" s="81"/>
      <c r="Q246" s="79"/>
    </row>
    <row r="247" spans="1:17" ht="12.75">
      <c r="A247" s="39" t="s">
        <v>78</v>
      </c>
      <c r="B247" s="98"/>
      <c r="C247" s="145">
        <v>300</v>
      </c>
      <c r="D247" s="114"/>
      <c r="E247" s="160"/>
      <c r="F247" s="189">
        <f t="shared" si="65"/>
        <v>300</v>
      </c>
      <c r="G247" s="87"/>
      <c r="H247" s="7"/>
      <c r="I247" s="73">
        <f t="shared" si="67"/>
        <v>300</v>
      </c>
      <c r="J247" s="28"/>
      <c r="K247" s="7"/>
      <c r="L247" s="73">
        <f t="shared" si="68"/>
        <v>300</v>
      </c>
      <c r="M247" s="22"/>
      <c r="N247" s="7"/>
      <c r="O247" s="23">
        <f t="shared" si="69"/>
        <v>300</v>
      </c>
      <c r="P247" s="81"/>
      <c r="Q247" s="79">
        <f t="shared" si="66"/>
        <v>300</v>
      </c>
    </row>
    <row r="248" spans="1:17" ht="12.75">
      <c r="A248" s="41" t="s">
        <v>54</v>
      </c>
      <c r="B248" s="102"/>
      <c r="C248" s="172">
        <f>SUM(C250:C253)</f>
        <v>3380</v>
      </c>
      <c r="D248" s="121">
        <f aca="true" t="shared" si="70" ref="D248:Q248">SUM(D250:D253)</f>
        <v>3370</v>
      </c>
      <c r="E248" s="163">
        <f t="shared" si="70"/>
        <v>0</v>
      </c>
      <c r="F248" s="192">
        <f t="shared" si="70"/>
        <v>6750</v>
      </c>
      <c r="G248" s="210">
        <f t="shared" si="70"/>
        <v>0</v>
      </c>
      <c r="H248" s="121">
        <f t="shared" si="70"/>
        <v>0</v>
      </c>
      <c r="I248" s="163">
        <f t="shared" si="70"/>
        <v>2850</v>
      </c>
      <c r="J248" s="172">
        <f t="shared" si="70"/>
        <v>0</v>
      </c>
      <c r="K248" s="121">
        <f t="shared" si="70"/>
        <v>0</v>
      </c>
      <c r="L248" s="163">
        <f t="shared" si="70"/>
        <v>2850</v>
      </c>
      <c r="M248" s="120">
        <f t="shared" si="70"/>
        <v>0</v>
      </c>
      <c r="N248" s="120">
        <f t="shared" si="70"/>
        <v>0</v>
      </c>
      <c r="O248" s="120">
        <f t="shared" si="70"/>
        <v>2850</v>
      </c>
      <c r="P248" s="120">
        <f t="shared" si="70"/>
        <v>0</v>
      </c>
      <c r="Q248" s="245">
        <f t="shared" si="70"/>
        <v>2850</v>
      </c>
    </row>
    <row r="249" spans="1:17" ht="12.75">
      <c r="A249" s="37" t="s">
        <v>26</v>
      </c>
      <c r="B249" s="98"/>
      <c r="C249" s="145"/>
      <c r="D249" s="114"/>
      <c r="E249" s="160"/>
      <c r="F249" s="189"/>
      <c r="G249" s="87"/>
      <c r="H249" s="7"/>
      <c r="I249" s="73"/>
      <c r="J249" s="28"/>
      <c r="K249" s="7"/>
      <c r="L249" s="73"/>
      <c r="M249" s="22"/>
      <c r="N249" s="7"/>
      <c r="O249" s="23"/>
      <c r="P249" s="81"/>
      <c r="Q249" s="79"/>
    </row>
    <row r="250" spans="1:17" ht="12.75" hidden="1">
      <c r="A250" s="39" t="s">
        <v>93</v>
      </c>
      <c r="B250" s="98">
        <v>34544</v>
      </c>
      <c r="C250" s="145"/>
      <c r="D250" s="114"/>
      <c r="E250" s="160"/>
      <c r="F250" s="189">
        <f>C250+D250+E250</f>
        <v>0</v>
      </c>
      <c r="G250" s="87"/>
      <c r="H250" s="7"/>
      <c r="I250" s="73"/>
      <c r="J250" s="28"/>
      <c r="K250" s="7"/>
      <c r="L250" s="73">
        <f>I250+J250+K250</f>
        <v>0</v>
      </c>
      <c r="M250" s="22"/>
      <c r="N250" s="7"/>
      <c r="O250" s="23">
        <f>L250+M250+N250</f>
        <v>0</v>
      </c>
      <c r="P250" s="81"/>
      <c r="Q250" s="79">
        <f>O250+P250</f>
        <v>0</v>
      </c>
    </row>
    <row r="251" spans="1:17" ht="12.75">
      <c r="A251" s="96" t="s">
        <v>87</v>
      </c>
      <c r="B251" s="98"/>
      <c r="C251" s="145">
        <v>2850</v>
      </c>
      <c r="D251" s="114"/>
      <c r="E251" s="160"/>
      <c r="F251" s="189">
        <f>C251+D251+E251</f>
        <v>2850</v>
      </c>
      <c r="G251" s="87"/>
      <c r="H251" s="7"/>
      <c r="I251" s="73">
        <f>F251+G251+H251</f>
        <v>2850</v>
      </c>
      <c r="J251" s="28"/>
      <c r="K251" s="7"/>
      <c r="L251" s="73">
        <f>I251+J251+K251</f>
        <v>2850</v>
      </c>
      <c r="M251" s="22"/>
      <c r="N251" s="7"/>
      <c r="O251" s="23">
        <f>L251+M251+N251</f>
        <v>2850</v>
      </c>
      <c r="P251" s="81"/>
      <c r="Q251" s="79">
        <f>O251+P251</f>
        <v>2850</v>
      </c>
    </row>
    <row r="252" spans="1:17" ht="12.75">
      <c r="A252" s="239" t="s">
        <v>55</v>
      </c>
      <c r="B252" s="101"/>
      <c r="C252" s="173">
        <v>530</v>
      </c>
      <c r="D252" s="122">
        <f>3370</f>
        <v>3370</v>
      </c>
      <c r="E252" s="261"/>
      <c r="F252" s="193">
        <f>C252+D252+E252</f>
        <v>3900</v>
      </c>
      <c r="G252" s="87"/>
      <c r="H252" s="7"/>
      <c r="I252" s="73"/>
      <c r="J252" s="28"/>
      <c r="K252" s="7"/>
      <c r="L252" s="73">
        <f>I252+J252+K252</f>
        <v>0</v>
      </c>
      <c r="M252" s="22"/>
      <c r="N252" s="7"/>
      <c r="O252" s="23">
        <f>L252+M252+N252</f>
        <v>0</v>
      </c>
      <c r="P252" s="81"/>
      <c r="Q252" s="79">
        <f>O252+P252</f>
        <v>0</v>
      </c>
    </row>
    <row r="253" spans="1:17" ht="12.75" hidden="1">
      <c r="A253" s="46" t="s">
        <v>78</v>
      </c>
      <c r="B253" s="101"/>
      <c r="C253" s="173"/>
      <c r="D253" s="122"/>
      <c r="E253" s="261"/>
      <c r="F253" s="193">
        <f>C253+D253+E253</f>
        <v>0</v>
      </c>
      <c r="G253" s="212"/>
      <c r="H253" s="10"/>
      <c r="I253" s="72">
        <f>F253+G253+H253</f>
        <v>0</v>
      </c>
      <c r="J253" s="227"/>
      <c r="K253" s="10"/>
      <c r="L253" s="72">
        <f>I253+J253+K253</f>
        <v>0</v>
      </c>
      <c r="M253" s="76"/>
      <c r="N253" s="10"/>
      <c r="O253" s="27">
        <f>L253+M253+N253</f>
        <v>0</v>
      </c>
      <c r="P253" s="84"/>
      <c r="Q253" s="85">
        <f>O253+P253</f>
        <v>0</v>
      </c>
    </row>
    <row r="254" spans="1:28" ht="12.75">
      <c r="A254" s="32" t="s">
        <v>286</v>
      </c>
      <c r="B254" s="102"/>
      <c r="C254" s="152">
        <f>C255+C258</f>
        <v>1365.7</v>
      </c>
      <c r="D254" s="113">
        <f>D255+D258</f>
        <v>160</v>
      </c>
      <c r="E254" s="136">
        <f>E255+E260</f>
        <v>0</v>
      </c>
      <c r="F254" s="167">
        <f>F255+F258</f>
        <v>1525.7</v>
      </c>
      <c r="G254" s="87"/>
      <c r="H254" s="7"/>
      <c r="I254" s="87"/>
      <c r="J254" s="28"/>
      <c r="K254" s="7"/>
      <c r="L254" s="87"/>
      <c r="M254" s="31"/>
      <c r="N254" s="135"/>
      <c r="O254" s="87"/>
      <c r="P254" s="81"/>
      <c r="Q254" s="79"/>
      <c r="AA254" s="242"/>
      <c r="AB254" s="153"/>
    </row>
    <row r="255" spans="1:17" ht="12.75">
      <c r="A255" s="41" t="s">
        <v>49</v>
      </c>
      <c r="B255" s="102"/>
      <c r="C255" s="172">
        <f>SUM(C257:C257)</f>
        <v>1365.7</v>
      </c>
      <c r="D255" s="121">
        <f>SUM(D257:D257)</f>
        <v>160</v>
      </c>
      <c r="E255" s="163">
        <f>SUM(E257:E257)</f>
        <v>0</v>
      </c>
      <c r="F255" s="192">
        <f>SUM(F257:F257)</f>
        <v>1525.7</v>
      </c>
      <c r="G255" s="87"/>
      <c r="H255" s="7"/>
      <c r="I255" s="87"/>
      <c r="J255" s="28"/>
      <c r="K255" s="7"/>
      <c r="L255" s="87"/>
      <c r="M255" s="31"/>
      <c r="N255" s="135"/>
      <c r="O255" s="87"/>
      <c r="P255" s="81"/>
      <c r="Q255" s="79"/>
    </row>
    <row r="256" spans="1:17" ht="12.75">
      <c r="A256" s="37" t="s">
        <v>26</v>
      </c>
      <c r="B256" s="98"/>
      <c r="C256" s="145"/>
      <c r="D256" s="114"/>
      <c r="E256" s="160"/>
      <c r="F256" s="189"/>
      <c r="G256" s="87"/>
      <c r="H256" s="7"/>
      <c r="I256" s="87"/>
      <c r="J256" s="28"/>
      <c r="K256" s="7"/>
      <c r="L256" s="87"/>
      <c r="M256" s="31"/>
      <c r="N256" s="135"/>
      <c r="O256" s="87"/>
      <c r="P256" s="81"/>
      <c r="Q256" s="79"/>
    </row>
    <row r="257" spans="1:17" ht="12.75">
      <c r="A257" s="38" t="s">
        <v>51</v>
      </c>
      <c r="B257" s="101"/>
      <c r="C257" s="173">
        <v>1365.7</v>
      </c>
      <c r="D257" s="122">
        <f>-40+200</f>
        <v>160</v>
      </c>
      <c r="E257" s="261"/>
      <c r="F257" s="193">
        <f>C257+D257+E257</f>
        <v>1525.7</v>
      </c>
      <c r="G257" s="87"/>
      <c r="H257" s="7"/>
      <c r="I257" s="87"/>
      <c r="J257" s="28"/>
      <c r="K257" s="7"/>
      <c r="L257" s="87"/>
      <c r="M257" s="31"/>
      <c r="N257" s="135"/>
      <c r="O257" s="87"/>
      <c r="P257" s="81"/>
      <c r="Q257" s="79"/>
    </row>
    <row r="258" spans="1:17" ht="12.75" hidden="1">
      <c r="A258" s="41" t="s">
        <v>54</v>
      </c>
      <c r="B258" s="102"/>
      <c r="C258" s="172">
        <f>C260</f>
        <v>0</v>
      </c>
      <c r="D258" s="121">
        <f>D260</f>
        <v>0</v>
      </c>
      <c r="E258" s="163">
        <f>SUM(E260:E262)</f>
        <v>0</v>
      </c>
      <c r="F258" s="192">
        <f>F260</f>
        <v>0</v>
      </c>
      <c r="G258" s="210">
        <f aca="true" t="shared" si="71" ref="G258:Q258">SUM(G260:G262)</f>
        <v>0</v>
      </c>
      <c r="H258" s="121">
        <f t="shared" si="71"/>
        <v>0</v>
      </c>
      <c r="I258" s="163">
        <f t="shared" si="71"/>
        <v>110858.07999999999</v>
      </c>
      <c r="J258" s="172">
        <f t="shared" si="71"/>
        <v>0</v>
      </c>
      <c r="K258" s="121">
        <f t="shared" si="71"/>
        <v>0</v>
      </c>
      <c r="L258" s="163">
        <f t="shared" si="71"/>
        <v>110858.07999999999</v>
      </c>
      <c r="M258" s="120">
        <f t="shared" si="71"/>
        <v>0</v>
      </c>
      <c r="N258" s="120">
        <f t="shared" si="71"/>
        <v>0</v>
      </c>
      <c r="O258" s="120">
        <f t="shared" si="71"/>
        <v>110858.07999999999</v>
      </c>
      <c r="P258" s="120">
        <f t="shared" si="71"/>
        <v>0</v>
      </c>
      <c r="Q258" s="245">
        <f t="shared" si="71"/>
        <v>110858.07999999999</v>
      </c>
    </row>
    <row r="259" spans="1:17" ht="12.75" hidden="1">
      <c r="A259" s="37" t="s">
        <v>26</v>
      </c>
      <c r="B259" s="98"/>
      <c r="C259" s="145"/>
      <c r="D259" s="114"/>
      <c r="E259" s="160"/>
      <c r="F259" s="189"/>
      <c r="G259" s="87"/>
      <c r="H259" s="7"/>
      <c r="I259" s="73"/>
      <c r="J259" s="28"/>
      <c r="K259" s="7"/>
      <c r="L259" s="73"/>
      <c r="M259" s="22"/>
      <c r="N259" s="7"/>
      <c r="O259" s="23"/>
      <c r="P259" s="81"/>
      <c r="Q259" s="79"/>
    </row>
    <row r="260" spans="1:17" ht="12.75" hidden="1">
      <c r="A260" s="239" t="s">
        <v>55</v>
      </c>
      <c r="B260" s="101"/>
      <c r="C260" s="173"/>
      <c r="D260" s="122"/>
      <c r="E260" s="261"/>
      <c r="F260" s="193">
        <f>C260+D260+E260</f>
        <v>0</v>
      </c>
      <c r="G260" s="87"/>
      <c r="H260" s="7"/>
      <c r="I260" s="73"/>
      <c r="J260" s="28"/>
      <c r="K260" s="7"/>
      <c r="L260" s="73">
        <f>I260+J260+K260</f>
        <v>0</v>
      </c>
      <c r="M260" s="22"/>
      <c r="N260" s="7"/>
      <c r="O260" s="23">
        <f>L260+M260+N260</f>
        <v>0</v>
      </c>
      <c r="P260" s="81"/>
      <c r="Q260" s="79">
        <f>O260+P260</f>
        <v>0</v>
      </c>
    </row>
    <row r="261" spans="1:17" ht="12.75">
      <c r="A261" s="32" t="s">
        <v>48</v>
      </c>
      <c r="B261" s="100"/>
      <c r="C261" s="152">
        <f aca="true" t="shared" si="72" ref="C261:Q261">C262+C274</f>
        <v>63729.03999999999</v>
      </c>
      <c r="D261" s="113">
        <f t="shared" si="72"/>
        <v>208525.06</v>
      </c>
      <c r="E261" s="136">
        <f t="shared" si="72"/>
        <v>0</v>
      </c>
      <c r="F261" s="167">
        <f t="shared" si="72"/>
        <v>272254.1</v>
      </c>
      <c r="G261" s="153">
        <f t="shared" si="72"/>
        <v>0</v>
      </c>
      <c r="H261" s="113">
        <f t="shared" si="72"/>
        <v>0</v>
      </c>
      <c r="I261" s="136">
        <f t="shared" si="72"/>
        <v>55429.03999999999</v>
      </c>
      <c r="J261" s="152">
        <f t="shared" si="72"/>
        <v>0</v>
      </c>
      <c r="K261" s="113">
        <f t="shared" si="72"/>
        <v>0</v>
      </c>
      <c r="L261" s="136">
        <f t="shared" si="72"/>
        <v>55429.03999999999</v>
      </c>
      <c r="M261" s="112">
        <f t="shared" si="72"/>
        <v>0</v>
      </c>
      <c r="N261" s="112">
        <f t="shared" si="72"/>
        <v>0</v>
      </c>
      <c r="O261" s="112">
        <f t="shared" si="72"/>
        <v>55429.03999999999</v>
      </c>
      <c r="P261" s="112">
        <f t="shared" si="72"/>
        <v>0</v>
      </c>
      <c r="Q261" s="240">
        <f t="shared" si="72"/>
        <v>55429.03999999999</v>
      </c>
    </row>
    <row r="262" spans="1:17" ht="12.75">
      <c r="A262" s="41" t="s">
        <v>49</v>
      </c>
      <c r="B262" s="100"/>
      <c r="C262" s="172">
        <f aca="true" t="shared" si="73" ref="C262:Q262">SUM(C264:C273)</f>
        <v>63729.03999999999</v>
      </c>
      <c r="D262" s="121">
        <f t="shared" si="73"/>
        <v>204113</v>
      </c>
      <c r="E262" s="163">
        <f t="shared" si="73"/>
        <v>0</v>
      </c>
      <c r="F262" s="192">
        <f t="shared" si="73"/>
        <v>267842.04</v>
      </c>
      <c r="G262" s="210">
        <f t="shared" si="73"/>
        <v>0</v>
      </c>
      <c r="H262" s="121">
        <f t="shared" si="73"/>
        <v>0</v>
      </c>
      <c r="I262" s="163">
        <f t="shared" si="73"/>
        <v>55429.03999999999</v>
      </c>
      <c r="J262" s="172">
        <f t="shared" si="73"/>
        <v>0</v>
      </c>
      <c r="K262" s="121">
        <f t="shared" si="73"/>
        <v>0</v>
      </c>
      <c r="L262" s="163">
        <f t="shared" si="73"/>
        <v>55429.03999999999</v>
      </c>
      <c r="M262" s="120">
        <f t="shared" si="73"/>
        <v>0</v>
      </c>
      <c r="N262" s="120">
        <f t="shared" si="73"/>
        <v>0</v>
      </c>
      <c r="O262" s="120">
        <f t="shared" si="73"/>
        <v>55429.03999999999</v>
      </c>
      <c r="P262" s="120">
        <f t="shared" si="73"/>
        <v>0</v>
      </c>
      <c r="Q262" s="245">
        <f t="shared" si="73"/>
        <v>55429.03999999999</v>
      </c>
    </row>
    <row r="263" spans="1:17" ht="12.75">
      <c r="A263" s="37" t="s">
        <v>26</v>
      </c>
      <c r="B263" s="71"/>
      <c r="C263" s="145"/>
      <c r="D263" s="114"/>
      <c r="E263" s="160"/>
      <c r="F263" s="189"/>
      <c r="G263" s="87"/>
      <c r="H263" s="7"/>
      <c r="I263" s="73"/>
      <c r="J263" s="28"/>
      <c r="K263" s="7"/>
      <c r="L263" s="73"/>
      <c r="M263" s="22"/>
      <c r="N263" s="7"/>
      <c r="O263" s="23"/>
      <c r="P263" s="81"/>
      <c r="Q263" s="79"/>
    </row>
    <row r="264" spans="1:17" ht="12.75">
      <c r="A264" s="35" t="s">
        <v>137</v>
      </c>
      <c r="B264" s="98"/>
      <c r="C264" s="145">
        <v>28272.67</v>
      </c>
      <c r="D264" s="114"/>
      <c r="E264" s="160"/>
      <c r="F264" s="189">
        <f aca="true" t="shared" si="74" ref="F264:F273">C264+D264+E264</f>
        <v>28272.67</v>
      </c>
      <c r="G264" s="87"/>
      <c r="H264" s="7"/>
      <c r="I264" s="73">
        <f>F264+G264+H264</f>
        <v>28272.67</v>
      </c>
      <c r="J264" s="28"/>
      <c r="K264" s="7"/>
      <c r="L264" s="73">
        <f>I264+J264+K264</f>
        <v>28272.67</v>
      </c>
      <c r="M264" s="22"/>
      <c r="N264" s="7"/>
      <c r="O264" s="23">
        <f>L264+M264+N264</f>
        <v>28272.67</v>
      </c>
      <c r="P264" s="81"/>
      <c r="Q264" s="79">
        <f>O264+P264</f>
        <v>28272.67</v>
      </c>
    </row>
    <row r="265" spans="1:17" ht="12.75">
      <c r="A265" s="35" t="s">
        <v>50</v>
      </c>
      <c r="B265" s="98"/>
      <c r="C265" s="145">
        <v>7192.59</v>
      </c>
      <c r="D265" s="114"/>
      <c r="E265" s="160"/>
      <c r="F265" s="189">
        <f t="shared" si="74"/>
        <v>7192.59</v>
      </c>
      <c r="G265" s="87"/>
      <c r="H265" s="7"/>
      <c r="I265" s="73">
        <f>F265+G265+H265</f>
        <v>7192.59</v>
      </c>
      <c r="J265" s="28"/>
      <c r="K265" s="7"/>
      <c r="L265" s="73">
        <f>I265+J265+K265</f>
        <v>7192.59</v>
      </c>
      <c r="M265" s="22"/>
      <c r="N265" s="7"/>
      <c r="O265" s="23">
        <f>L265+M265+N265</f>
        <v>7192.59</v>
      </c>
      <c r="P265" s="81"/>
      <c r="Q265" s="79">
        <f>O265+P265</f>
        <v>7192.59</v>
      </c>
    </row>
    <row r="266" spans="1:17" ht="12.75">
      <c r="A266" s="35" t="s">
        <v>252</v>
      </c>
      <c r="B266" s="98"/>
      <c r="C266" s="145">
        <v>1450</v>
      </c>
      <c r="D266" s="114"/>
      <c r="E266" s="160"/>
      <c r="F266" s="189">
        <f t="shared" si="74"/>
        <v>1450</v>
      </c>
      <c r="G266" s="87"/>
      <c r="H266" s="7"/>
      <c r="I266" s="73">
        <f>F266+G266+H266</f>
        <v>1450</v>
      </c>
      <c r="J266" s="28"/>
      <c r="K266" s="7"/>
      <c r="L266" s="73">
        <f>I266+J266+K266</f>
        <v>1450</v>
      </c>
      <c r="M266" s="22"/>
      <c r="N266" s="7"/>
      <c r="O266" s="23">
        <f>L266+M266+N266</f>
        <v>1450</v>
      </c>
      <c r="P266" s="81"/>
      <c r="Q266" s="79">
        <f>O266+P266</f>
        <v>1450</v>
      </c>
    </row>
    <row r="267" spans="1:17" ht="12.75">
      <c r="A267" s="35" t="s">
        <v>51</v>
      </c>
      <c r="B267" s="98"/>
      <c r="C267" s="145">
        <v>16713.78</v>
      </c>
      <c r="D267" s="114">
        <f>1300</f>
        <v>1300</v>
      </c>
      <c r="E267" s="160"/>
      <c r="F267" s="189">
        <f t="shared" si="74"/>
        <v>18013.78</v>
      </c>
      <c r="G267" s="87"/>
      <c r="H267" s="7"/>
      <c r="I267" s="73">
        <f>F267+G267+H267</f>
        <v>18013.78</v>
      </c>
      <c r="J267" s="28"/>
      <c r="K267" s="7"/>
      <c r="L267" s="73">
        <f>I267+J267+K267</f>
        <v>18013.78</v>
      </c>
      <c r="M267" s="22"/>
      <c r="N267" s="7"/>
      <c r="O267" s="23">
        <f>L267+M267+N267</f>
        <v>18013.78</v>
      </c>
      <c r="P267" s="81"/>
      <c r="Q267" s="79">
        <f>O267+P267</f>
        <v>18013.78</v>
      </c>
    </row>
    <row r="268" spans="1:17" ht="12.75" hidden="1">
      <c r="A268" s="35" t="s">
        <v>78</v>
      </c>
      <c r="B268" s="98"/>
      <c r="C268" s="145"/>
      <c r="D268" s="114"/>
      <c r="E268" s="160"/>
      <c r="F268" s="189">
        <f t="shared" si="74"/>
        <v>0</v>
      </c>
      <c r="G268" s="87"/>
      <c r="H268" s="7"/>
      <c r="I268" s="73"/>
      <c r="J268" s="28"/>
      <c r="K268" s="7"/>
      <c r="L268" s="73"/>
      <c r="M268" s="22"/>
      <c r="N268" s="7"/>
      <c r="O268" s="23"/>
      <c r="P268" s="81"/>
      <c r="Q268" s="79"/>
    </row>
    <row r="269" spans="1:17" ht="12.75">
      <c r="A269" s="35" t="s">
        <v>52</v>
      </c>
      <c r="B269" s="98"/>
      <c r="C269" s="145">
        <v>500</v>
      </c>
      <c r="D269" s="114"/>
      <c r="E269" s="160"/>
      <c r="F269" s="189">
        <f t="shared" si="74"/>
        <v>500</v>
      </c>
      <c r="G269" s="87"/>
      <c r="H269" s="7"/>
      <c r="I269" s="73">
        <f>F269+G269+H269</f>
        <v>500</v>
      </c>
      <c r="J269" s="28"/>
      <c r="K269" s="7"/>
      <c r="L269" s="73">
        <f>I269+J269+K269</f>
        <v>500</v>
      </c>
      <c r="M269" s="22"/>
      <c r="N269" s="7"/>
      <c r="O269" s="23">
        <f>L269+M269+N269</f>
        <v>500</v>
      </c>
      <c r="P269" s="81"/>
      <c r="Q269" s="79">
        <f>O269+P269</f>
        <v>500</v>
      </c>
    </row>
    <row r="270" spans="1:17" ht="12.75">
      <c r="A270" s="35" t="s">
        <v>339</v>
      </c>
      <c r="B270" s="98"/>
      <c r="C270" s="145"/>
      <c r="D270" s="114">
        <v>200000</v>
      </c>
      <c r="E270" s="160"/>
      <c r="F270" s="189">
        <f t="shared" si="74"/>
        <v>200000</v>
      </c>
      <c r="G270" s="87"/>
      <c r="H270" s="7"/>
      <c r="I270" s="73"/>
      <c r="J270" s="28"/>
      <c r="K270" s="7"/>
      <c r="L270" s="73"/>
      <c r="M270" s="22"/>
      <c r="N270" s="7"/>
      <c r="O270" s="23"/>
      <c r="P270" s="81"/>
      <c r="Q270" s="79"/>
    </row>
    <row r="271" spans="1:17" ht="12.75">
      <c r="A271" s="35" t="s">
        <v>253</v>
      </c>
      <c r="B271" s="98"/>
      <c r="C271" s="145">
        <v>9000</v>
      </c>
      <c r="D271" s="114">
        <f>2600+40</f>
        <v>2640</v>
      </c>
      <c r="E271" s="160"/>
      <c r="F271" s="189">
        <f t="shared" si="74"/>
        <v>11640</v>
      </c>
      <c r="G271" s="87"/>
      <c r="H271" s="7"/>
      <c r="I271" s="73"/>
      <c r="J271" s="28"/>
      <c r="K271" s="7"/>
      <c r="L271" s="73"/>
      <c r="M271" s="22"/>
      <c r="N271" s="7"/>
      <c r="O271" s="23"/>
      <c r="P271" s="81"/>
      <c r="Q271" s="79"/>
    </row>
    <row r="272" spans="1:17" ht="12.75">
      <c r="A272" s="35" t="s">
        <v>254</v>
      </c>
      <c r="B272" s="98"/>
      <c r="C272" s="145">
        <v>600</v>
      </c>
      <c r="D272" s="114">
        <f>173</f>
        <v>173</v>
      </c>
      <c r="E272" s="160"/>
      <c r="F272" s="189">
        <f t="shared" si="74"/>
        <v>773</v>
      </c>
      <c r="G272" s="87"/>
      <c r="H272" s="7"/>
      <c r="I272" s="73"/>
      <c r="J272" s="28"/>
      <c r="K272" s="7"/>
      <c r="L272" s="73"/>
      <c r="M272" s="22"/>
      <c r="N272" s="7"/>
      <c r="O272" s="23"/>
      <c r="P272" s="81"/>
      <c r="Q272" s="79"/>
    </row>
    <row r="273" spans="1:17" ht="12.75" hidden="1">
      <c r="A273" s="35" t="s">
        <v>53</v>
      </c>
      <c r="B273" s="98"/>
      <c r="C273" s="145"/>
      <c r="D273" s="114"/>
      <c r="E273" s="160"/>
      <c r="F273" s="189">
        <f t="shared" si="74"/>
        <v>0</v>
      </c>
      <c r="G273" s="87"/>
      <c r="H273" s="7"/>
      <c r="I273" s="73">
        <f>F273+G273+H273</f>
        <v>0</v>
      </c>
      <c r="J273" s="28"/>
      <c r="K273" s="7"/>
      <c r="L273" s="73">
        <f>I273+J273+K273</f>
        <v>0</v>
      </c>
      <c r="M273" s="22"/>
      <c r="N273" s="7"/>
      <c r="O273" s="23">
        <f>L273+M273+N273</f>
        <v>0</v>
      </c>
      <c r="P273" s="81"/>
      <c r="Q273" s="79">
        <f>O273+P273</f>
        <v>0</v>
      </c>
    </row>
    <row r="274" spans="1:17" ht="12.75">
      <c r="A274" s="42" t="s">
        <v>54</v>
      </c>
      <c r="B274" s="102"/>
      <c r="C274" s="174">
        <f aca="true" t="shared" si="75" ref="C274:Q274">SUM(C276:C280)</f>
        <v>0</v>
      </c>
      <c r="D274" s="124">
        <f t="shared" si="75"/>
        <v>4412.0599999999995</v>
      </c>
      <c r="E274" s="164">
        <f t="shared" si="75"/>
        <v>0</v>
      </c>
      <c r="F274" s="194">
        <f t="shared" si="75"/>
        <v>4412.0599999999995</v>
      </c>
      <c r="G274" s="211">
        <f t="shared" si="75"/>
        <v>0</v>
      </c>
      <c r="H274" s="124">
        <f t="shared" si="75"/>
        <v>0</v>
      </c>
      <c r="I274" s="164">
        <f t="shared" si="75"/>
        <v>0</v>
      </c>
      <c r="J274" s="174">
        <f t="shared" si="75"/>
        <v>0</v>
      </c>
      <c r="K274" s="124">
        <f t="shared" si="75"/>
        <v>0</v>
      </c>
      <c r="L274" s="164">
        <f t="shared" si="75"/>
        <v>0</v>
      </c>
      <c r="M274" s="123">
        <f t="shared" si="75"/>
        <v>0</v>
      </c>
      <c r="N274" s="123">
        <f t="shared" si="75"/>
        <v>0</v>
      </c>
      <c r="O274" s="123">
        <f t="shared" si="75"/>
        <v>0</v>
      </c>
      <c r="P274" s="123">
        <f t="shared" si="75"/>
        <v>0</v>
      </c>
      <c r="Q274" s="246">
        <f t="shared" si="75"/>
        <v>0</v>
      </c>
    </row>
    <row r="275" spans="1:17" ht="12.75">
      <c r="A275" s="33" t="s">
        <v>26</v>
      </c>
      <c r="B275" s="98"/>
      <c r="C275" s="139"/>
      <c r="D275" s="117"/>
      <c r="E275" s="161"/>
      <c r="F275" s="190"/>
      <c r="G275" s="208"/>
      <c r="H275" s="8"/>
      <c r="I275" s="29"/>
      <c r="J275" s="226"/>
      <c r="K275" s="8"/>
      <c r="L275" s="29"/>
      <c r="M275" s="24"/>
      <c r="N275" s="8"/>
      <c r="O275" s="25"/>
      <c r="P275" s="81"/>
      <c r="Q275" s="79"/>
    </row>
    <row r="276" spans="1:17" ht="12.75" hidden="1">
      <c r="A276" s="35" t="s">
        <v>156</v>
      </c>
      <c r="B276" s="98"/>
      <c r="C276" s="145"/>
      <c r="D276" s="114"/>
      <c r="E276" s="160"/>
      <c r="F276" s="189">
        <f>C276+D276+E276</f>
        <v>0</v>
      </c>
      <c r="G276" s="87"/>
      <c r="H276" s="7"/>
      <c r="I276" s="73">
        <f>F276+G276+H276</f>
        <v>0</v>
      </c>
      <c r="J276" s="28"/>
      <c r="K276" s="7"/>
      <c r="L276" s="73">
        <f>I276+J276+K276</f>
        <v>0</v>
      </c>
      <c r="M276" s="22"/>
      <c r="N276" s="7"/>
      <c r="O276" s="23">
        <f>L276+M276+N276</f>
        <v>0</v>
      </c>
      <c r="P276" s="81"/>
      <c r="Q276" s="79">
        <f>O276+P276</f>
        <v>0</v>
      </c>
    </row>
    <row r="277" spans="1:17" ht="12.75">
      <c r="A277" s="35" t="s">
        <v>253</v>
      </c>
      <c r="B277" s="98"/>
      <c r="C277" s="145"/>
      <c r="D277" s="114">
        <f>321+450</f>
        <v>771</v>
      </c>
      <c r="E277" s="160"/>
      <c r="F277" s="189">
        <f>C277+D277+E277</f>
        <v>771</v>
      </c>
      <c r="G277" s="87"/>
      <c r="H277" s="7"/>
      <c r="I277" s="73"/>
      <c r="J277" s="28"/>
      <c r="K277" s="7"/>
      <c r="L277" s="73"/>
      <c r="M277" s="22"/>
      <c r="N277" s="7"/>
      <c r="O277" s="23"/>
      <c r="P277" s="81"/>
      <c r="Q277" s="79"/>
    </row>
    <row r="278" spans="1:17" ht="12.75">
      <c r="A278" s="38" t="s">
        <v>254</v>
      </c>
      <c r="B278" s="101"/>
      <c r="C278" s="173"/>
      <c r="D278" s="122">
        <f>3641.06</f>
        <v>3641.06</v>
      </c>
      <c r="E278" s="261"/>
      <c r="F278" s="193">
        <f>C278+D278+E278</f>
        <v>3641.06</v>
      </c>
      <c r="G278" s="87"/>
      <c r="H278" s="7"/>
      <c r="I278" s="73"/>
      <c r="J278" s="28"/>
      <c r="K278" s="7"/>
      <c r="L278" s="73"/>
      <c r="M278" s="22"/>
      <c r="N278" s="7"/>
      <c r="O278" s="23"/>
      <c r="P278" s="81"/>
      <c r="Q278" s="79"/>
    </row>
    <row r="279" spans="1:17" ht="12.75" hidden="1">
      <c r="A279" s="35" t="s">
        <v>53</v>
      </c>
      <c r="B279" s="98"/>
      <c r="C279" s="145"/>
      <c r="D279" s="114"/>
      <c r="E279" s="160"/>
      <c r="F279" s="189">
        <f>C279+D279+E279</f>
        <v>0</v>
      </c>
      <c r="G279" s="212"/>
      <c r="H279" s="10"/>
      <c r="I279" s="72">
        <f>F279+G279+H279</f>
        <v>0</v>
      </c>
      <c r="J279" s="227"/>
      <c r="K279" s="10"/>
      <c r="L279" s="72">
        <f>I279+J279+K279</f>
        <v>0</v>
      </c>
      <c r="M279" s="26"/>
      <c r="N279" s="10"/>
      <c r="O279" s="27">
        <f>L279+M279+N279</f>
        <v>0</v>
      </c>
      <c r="P279" s="84"/>
      <c r="Q279" s="85">
        <f>O279+P279</f>
        <v>0</v>
      </c>
    </row>
    <row r="280" spans="1:17" ht="12.75" hidden="1">
      <c r="A280" s="38" t="s">
        <v>55</v>
      </c>
      <c r="B280" s="101"/>
      <c r="C280" s="173"/>
      <c r="D280" s="122"/>
      <c r="E280" s="261"/>
      <c r="F280" s="193">
        <f>C280+D280+E280</f>
        <v>0</v>
      </c>
      <c r="G280" s="212"/>
      <c r="H280" s="10"/>
      <c r="I280" s="72">
        <f>F280+G280+H280</f>
        <v>0</v>
      </c>
      <c r="J280" s="227"/>
      <c r="K280" s="10"/>
      <c r="L280" s="72">
        <f>I280+J280+K280</f>
        <v>0</v>
      </c>
      <c r="M280" s="26"/>
      <c r="N280" s="10"/>
      <c r="O280" s="27">
        <f>L280+M280+N280</f>
        <v>0</v>
      </c>
      <c r="P280" s="81"/>
      <c r="Q280" s="79">
        <f>O280+P280</f>
        <v>0</v>
      </c>
    </row>
    <row r="281" spans="1:17" ht="12.75">
      <c r="A281" s="32" t="s">
        <v>258</v>
      </c>
      <c r="B281" s="102"/>
      <c r="C281" s="152">
        <f aca="true" t="shared" si="76" ref="C281:Q281">C282+C299</f>
        <v>448158.94</v>
      </c>
      <c r="D281" s="113">
        <f t="shared" si="76"/>
        <v>11224.98</v>
      </c>
      <c r="E281" s="136">
        <f t="shared" si="76"/>
        <v>0</v>
      </c>
      <c r="F281" s="167">
        <f t="shared" si="76"/>
        <v>459383.92</v>
      </c>
      <c r="G281" s="153">
        <f t="shared" si="76"/>
        <v>0</v>
      </c>
      <c r="H281" s="113">
        <f t="shared" si="76"/>
        <v>0</v>
      </c>
      <c r="I281" s="136">
        <f t="shared" si="76"/>
        <v>459383.92</v>
      </c>
      <c r="J281" s="152">
        <f t="shared" si="76"/>
        <v>0</v>
      </c>
      <c r="K281" s="113">
        <f t="shared" si="76"/>
        <v>0</v>
      </c>
      <c r="L281" s="136">
        <f t="shared" si="76"/>
        <v>459383.92</v>
      </c>
      <c r="M281" s="112">
        <f t="shared" si="76"/>
        <v>0</v>
      </c>
      <c r="N281" s="112">
        <f t="shared" si="76"/>
        <v>0</v>
      </c>
      <c r="O281" s="112">
        <f t="shared" si="76"/>
        <v>459383.92</v>
      </c>
      <c r="P281" s="112">
        <f t="shared" si="76"/>
        <v>0</v>
      </c>
      <c r="Q281" s="240">
        <f t="shared" si="76"/>
        <v>459383.92</v>
      </c>
    </row>
    <row r="282" spans="1:17" ht="12.75">
      <c r="A282" s="41" t="s">
        <v>49</v>
      </c>
      <c r="B282" s="102"/>
      <c r="C282" s="172">
        <f aca="true" t="shared" si="77" ref="C282:Q282">SUM(C284:C298)</f>
        <v>448158.94</v>
      </c>
      <c r="D282" s="121">
        <f t="shared" si="77"/>
        <v>11224.98</v>
      </c>
      <c r="E282" s="163">
        <f t="shared" si="77"/>
        <v>0</v>
      </c>
      <c r="F282" s="192">
        <f t="shared" si="77"/>
        <v>459383.92</v>
      </c>
      <c r="G282" s="210">
        <f t="shared" si="77"/>
        <v>0</v>
      </c>
      <c r="H282" s="121">
        <f t="shared" si="77"/>
        <v>0</v>
      </c>
      <c r="I282" s="163">
        <f t="shared" si="77"/>
        <v>459383.92</v>
      </c>
      <c r="J282" s="172">
        <f t="shared" si="77"/>
        <v>0</v>
      </c>
      <c r="K282" s="121">
        <f t="shared" si="77"/>
        <v>0</v>
      </c>
      <c r="L282" s="163">
        <f t="shared" si="77"/>
        <v>459383.92</v>
      </c>
      <c r="M282" s="120">
        <f t="shared" si="77"/>
        <v>0</v>
      </c>
      <c r="N282" s="120">
        <f t="shared" si="77"/>
        <v>0</v>
      </c>
      <c r="O282" s="120">
        <f t="shared" si="77"/>
        <v>459383.92</v>
      </c>
      <c r="P282" s="120">
        <f t="shared" si="77"/>
        <v>0</v>
      </c>
      <c r="Q282" s="245">
        <f t="shared" si="77"/>
        <v>459383.92</v>
      </c>
    </row>
    <row r="283" spans="1:17" ht="12.75">
      <c r="A283" s="37" t="s">
        <v>26</v>
      </c>
      <c r="B283" s="98"/>
      <c r="C283" s="145"/>
      <c r="D283" s="114"/>
      <c r="E283" s="160"/>
      <c r="F283" s="189"/>
      <c r="G283" s="87"/>
      <c r="H283" s="7"/>
      <c r="I283" s="73"/>
      <c r="J283" s="28"/>
      <c r="K283" s="7"/>
      <c r="L283" s="73"/>
      <c r="M283" s="22"/>
      <c r="N283" s="7"/>
      <c r="O283" s="23"/>
      <c r="P283" s="81"/>
      <c r="Q283" s="79"/>
    </row>
    <row r="284" spans="1:17" ht="12.75">
      <c r="A284" s="44" t="s">
        <v>138</v>
      </c>
      <c r="B284" s="98"/>
      <c r="C284" s="145">
        <v>237478.44</v>
      </c>
      <c r="D284" s="114"/>
      <c r="E284" s="160"/>
      <c r="F284" s="189">
        <f aca="true" t="shared" si="78" ref="F284:F298">C284+D284+E284</f>
        <v>237478.44</v>
      </c>
      <c r="G284" s="87"/>
      <c r="H284" s="7"/>
      <c r="I284" s="73">
        <f>F284+G284+H284</f>
        <v>237478.44</v>
      </c>
      <c r="J284" s="28"/>
      <c r="K284" s="7"/>
      <c r="L284" s="73">
        <f>I284+J284+K284</f>
        <v>237478.44</v>
      </c>
      <c r="M284" s="22"/>
      <c r="N284" s="7"/>
      <c r="O284" s="23">
        <f>L284+M284+N284</f>
        <v>237478.44</v>
      </c>
      <c r="P284" s="81"/>
      <c r="Q284" s="79">
        <f aca="true" t="shared" si="79" ref="Q284:Q291">O284+P284</f>
        <v>237478.44</v>
      </c>
    </row>
    <row r="285" spans="1:17" ht="12.75">
      <c r="A285" s="35" t="s">
        <v>50</v>
      </c>
      <c r="B285" s="98"/>
      <c r="C285" s="145">
        <v>80587.27</v>
      </c>
      <c r="D285" s="114"/>
      <c r="E285" s="160"/>
      <c r="F285" s="189">
        <f t="shared" si="78"/>
        <v>80587.27</v>
      </c>
      <c r="G285" s="87"/>
      <c r="H285" s="7"/>
      <c r="I285" s="73">
        <f aca="true" t="shared" si="80" ref="I285:I291">F285+G285+H285</f>
        <v>80587.27</v>
      </c>
      <c r="J285" s="28"/>
      <c r="K285" s="7"/>
      <c r="L285" s="73">
        <f aca="true" t="shared" si="81" ref="L285:L291">I285+J285+K285</f>
        <v>80587.27</v>
      </c>
      <c r="M285" s="22"/>
      <c r="N285" s="7"/>
      <c r="O285" s="23">
        <f aca="true" t="shared" si="82" ref="O285:O291">L285+M285+N285</f>
        <v>80587.27</v>
      </c>
      <c r="P285" s="81"/>
      <c r="Q285" s="79">
        <f t="shared" si="79"/>
        <v>80587.27</v>
      </c>
    </row>
    <row r="286" spans="1:17" ht="12.75">
      <c r="A286" s="35" t="s">
        <v>252</v>
      </c>
      <c r="B286" s="98"/>
      <c r="C286" s="145">
        <v>200</v>
      </c>
      <c r="D286" s="114"/>
      <c r="E286" s="160"/>
      <c r="F286" s="189">
        <f t="shared" si="78"/>
        <v>200</v>
      </c>
      <c r="G286" s="87"/>
      <c r="H286" s="7"/>
      <c r="I286" s="73">
        <f t="shared" si="80"/>
        <v>200</v>
      </c>
      <c r="J286" s="28"/>
      <c r="K286" s="7"/>
      <c r="L286" s="73">
        <f t="shared" si="81"/>
        <v>200</v>
      </c>
      <c r="M286" s="22"/>
      <c r="N286" s="7"/>
      <c r="O286" s="23">
        <f t="shared" si="82"/>
        <v>200</v>
      </c>
      <c r="P286" s="81"/>
      <c r="Q286" s="79">
        <f t="shared" si="79"/>
        <v>200</v>
      </c>
    </row>
    <row r="287" spans="1:17" ht="12.75">
      <c r="A287" s="35" t="s">
        <v>51</v>
      </c>
      <c r="B287" s="98"/>
      <c r="C287" s="145">
        <v>65726.5</v>
      </c>
      <c r="D287" s="142">
        <f>9011+418.98</f>
        <v>9429.98</v>
      </c>
      <c r="E287" s="160"/>
      <c r="F287" s="189">
        <f t="shared" si="78"/>
        <v>75156.48</v>
      </c>
      <c r="G287" s="87"/>
      <c r="H287" s="7"/>
      <c r="I287" s="73">
        <f t="shared" si="80"/>
        <v>75156.48</v>
      </c>
      <c r="J287" s="28"/>
      <c r="K287" s="7"/>
      <c r="L287" s="73">
        <f t="shared" si="81"/>
        <v>75156.48</v>
      </c>
      <c r="M287" s="22"/>
      <c r="N287" s="7"/>
      <c r="O287" s="23">
        <f t="shared" si="82"/>
        <v>75156.48</v>
      </c>
      <c r="P287" s="81"/>
      <c r="Q287" s="79">
        <f t="shared" si="79"/>
        <v>75156.48</v>
      </c>
    </row>
    <row r="288" spans="1:17" ht="12.75">
      <c r="A288" s="35" t="s">
        <v>56</v>
      </c>
      <c r="B288" s="98">
        <v>1115</v>
      </c>
      <c r="C288" s="145">
        <v>350</v>
      </c>
      <c r="D288" s="114">
        <f>80</f>
        <v>80</v>
      </c>
      <c r="E288" s="160"/>
      <c r="F288" s="189">
        <f t="shared" si="78"/>
        <v>430</v>
      </c>
      <c r="G288" s="87"/>
      <c r="H288" s="7"/>
      <c r="I288" s="73">
        <f t="shared" si="80"/>
        <v>430</v>
      </c>
      <c r="J288" s="28"/>
      <c r="K288" s="7"/>
      <c r="L288" s="73">
        <f t="shared" si="81"/>
        <v>430</v>
      </c>
      <c r="M288" s="22"/>
      <c r="N288" s="7"/>
      <c r="O288" s="23">
        <f t="shared" si="82"/>
        <v>430</v>
      </c>
      <c r="P288" s="81"/>
      <c r="Q288" s="79">
        <f t="shared" si="79"/>
        <v>430</v>
      </c>
    </row>
    <row r="289" spans="1:17" ht="12.75" hidden="1">
      <c r="A289" s="35" t="s">
        <v>57</v>
      </c>
      <c r="B289" s="98"/>
      <c r="C289" s="145"/>
      <c r="D289" s="114"/>
      <c r="E289" s="160"/>
      <c r="F289" s="189">
        <f t="shared" si="78"/>
        <v>0</v>
      </c>
      <c r="G289" s="87"/>
      <c r="H289" s="7"/>
      <c r="I289" s="73">
        <f t="shared" si="80"/>
        <v>0</v>
      </c>
      <c r="J289" s="28"/>
      <c r="K289" s="7"/>
      <c r="L289" s="73">
        <f t="shared" si="81"/>
        <v>0</v>
      </c>
      <c r="M289" s="22"/>
      <c r="N289" s="7"/>
      <c r="O289" s="23">
        <f t="shared" si="82"/>
        <v>0</v>
      </c>
      <c r="P289" s="81"/>
      <c r="Q289" s="79">
        <f t="shared" si="79"/>
        <v>0</v>
      </c>
    </row>
    <row r="290" spans="1:17" ht="12.75">
      <c r="A290" s="35" t="s">
        <v>58</v>
      </c>
      <c r="B290" s="98">
        <v>51</v>
      </c>
      <c r="C290" s="145">
        <v>63816.73</v>
      </c>
      <c r="D290" s="114">
        <f>1700</f>
        <v>1700</v>
      </c>
      <c r="E290" s="160"/>
      <c r="F290" s="189">
        <f t="shared" si="78"/>
        <v>65516.73</v>
      </c>
      <c r="G290" s="87"/>
      <c r="H290" s="7"/>
      <c r="I290" s="73">
        <f t="shared" si="80"/>
        <v>65516.73</v>
      </c>
      <c r="J290" s="28"/>
      <c r="K290" s="7"/>
      <c r="L290" s="73">
        <f t="shared" si="81"/>
        <v>65516.73</v>
      </c>
      <c r="M290" s="22"/>
      <c r="N290" s="7"/>
      <c r="O290" s="23">
        <f t="shared" si="82"/>
        <v>65516.73</v>
      </c>
      <c r="P290" s="81"/>
      <c r="Q290" s="79">
        <f t="shared" si="79"/>
        <v>65516.73</v>
      </c>
    </row>
    <row r="291" spans="1:17" ht="12.75" hidden="1">
      <c r="A291" s="35" t="s">
        <v>77</v>
      </c>
      <c r="B291" s="98"/>
      <c r="C291" s="145"/>
      <c r="D291" s="114"/>
      <c r="E291" s="160"/>
      <c r="F291" s="189">
        <f t="shared" si="78"/>
        <v>0</v>
      </c>
      <c r="G291" s="87"/>
      <c r="H291" s="7"/>
      <c r="I291" s="73">
        <f t="shared" si="80"/>
        <v>0</v>
      </c>
      <c r="J291" s="28"/>
      <c r="K291" s="7"/>
      <c r="L291" s="73">
        <f t="shared" si="81"/>
        <v>0</v>
      </c>
      <c r="M291" s="22"/>
      <c r="N291" s="7"/>
      <c r="O291" s="23">
        <f t="shared" si="82"/>
        <v>0</v>
      </c>
      <c r="P291" s="81"/>
      <c r="Q291" s="79">
        <f t="shared" si="79"/>
        <v>0</v>
      </c>
    </row>
    <row r="292" spans="1:17" ht="12.75" hidden="1">
      <c r="A292" s="35" t="s">
        <v>202</v>
      </c>
      <c r="B292" s="98">
        <v>13234</v>
      </c>
      <c r="C292" s="145"/>
      <c r="D292" s="114"/>
      <c r="E292" s="160"/>
      <c r="F292" s="189">
        <f t="shared" si="78"/>
        <v>0</v>
      </c>
      <c r="G292" s="87"/>
      <c r="H292" s="7"/>
      <c r="I292" s="73"/>
      <c r="J292" s="28"/>
      <c r="K292" s="7"/>
      <c r="L292" s="73"/>
      <c r="M292" s="22"/>
      <c r="N292" s="7"/>
      <c r="O292" s="23"/>
      <c r="P292" s="81"/>
      <c r="Q292" s="79"/>
    </row>
    <row r="293" spans="1:17" ht="12.75" hidden="1">
      <c r="A293" s="35" t="s">
        <v>59</v>
      </c>
      <c r="B293" s="98"/>
      <c r="C293" s="145"/>
      <c r="D293" s="114"/>
      <c r="E293" s="160"/>
      <c r="F293" s="189">
        <f t="shared" si="78"/>
        <v>0</v>
      </c>
      <c r="G293" s="87"/>
      <c r="H293" s="7"/>
      <c r="I293" s="73">
        <f>F293+G293+H293</f>
        <v>0</v>
      </c>
      <c r="J293" s="28"/>
      <c r="K293" s="7"/>
      <c r="L293" s="73">
        <f>I293+J293+K293</f>
        <v>0</v>
      </c>
      <c r="M293" s="22"/>
      <c r="N293" s="7"/>
      <c r="O293" s="23">
        <f>L293+M293+N293</f>
        <v>0</v>
      </c>
      <c r="P293" s="81"/>
      <c r="Q293" s="79">
        <f>O293+P293</f>
        <v>0</v>
      </c>
    </row>
    <row r="294" spans="1:17" ht="12.75" hidden="1">
      <c r="A294" s="35" t="s">
        <v>261</v>
      </c>
      <c r="B294" s="98">
        <v>98008</v>
      </c>
      <c r="C294" s="145"/>
      <c r="D294" s="114"/>
      <c r="E294" s="160"/>
      <c r="F294" s="189">
        <f t="shared" si="78"/>
        <v>0</v>
      </c>
      <c r="G294" s="87"/>
      <c r="H294" s="7"/>
      <c r="I294" s="73"/>
      <c r="J294" s="28"/>
      <c r="K294" s="7"/>
      <c r="L294" s="73"/>
      <c r="M294" s="22"/>
      <c r="N294" s="7"/>
      <c r="O294" s="23"/>
      <c r="P294" s="81"/>
      <c r="Q294" s="79"/>
    </row>
    <row r="295" spans="1:17" ht="12.75" hidden="1">
      <c r="A295" s="35" t="s">
        <v>262</v>
      </c>
      <c r="B295" s="98">
        <v>98071</v>
      </c>
      <c r="C295" s="145"/>
      <c r="D295" s="114"/>
      <c r="E295" s="160"/>
      <c r="F295" s="189">
        <f t="shared" si="78"/>
        <v>0</v>
      </c>
      <c r="G295" s="87"/>
      <c r="H295" s="7"/>
      <c r="I295" s="73"/>
      <c r="J295" s="28"/>
      <c r="K295" s="7"/>
      <c r="L295" s="73"/>
      <c r="M295" s="22"/>
      <c r="N295" s="7"/>
      <c r="O295" s="23"/>
      <c r="P295" s="81"/>
      <c r="Q295" s="79"/>
    </row>
    <row r="296" spans="1:17" ht="12.75">
      <c r="A296" s="38" t="s">
        <v>60</v>
      </c>
      <c r="B296" s="101">
        <v>98074</v>
      </c>
      <c r="C296" s="173"/>
      <c r="D296" s="122">
        <f>15</f>
        <v>15</v>
      </c>
      <c r="E296" s="261"/>
      <c r="F296" s="193">
        <f t="shared" si="78"/>
        <v>15</v>
      </c>
      <c r="G296" s="87"/>
      <c r="H296" s="7"/>
      <c r="I296" s="73">
        <f>F296+G296+H296</f>
        <v>15</v>
      </c>
      <c r="J296" s="28"/>
      <c r="K296" s="7"/>
      <c r="L296" s="73">
        <f>I296+J296+K296</f>
        <v>15</v>
      </c>
      <c r="M296" s="22"/>
      <c r="N296" s="7"/>
      <c r="O296" s="23">
        <f>L296+M296+N296</f>
        <v>15</v>
      </c>
      <c r="P296" s="81"/>
      <c r="Q296" s="79">
        <f>O296+P296</f>
        <v>15</v>
      </c>
    </row>
    <row r="297" spans="1:17" ht="12.75" hidden="1">
      <c r="A297" s="35" t="s">
        <v>61</v>
      </c>
      <c r="B297" s="98"/>
      <c r="C297" s="145"/>
      <c r="D297" s="114"/>
      <c r="E297" s="160"/>
      <c r="F297" s="189">
        <f t="shared" si="78"/>
        <v>0</v>
      </c>
      <c r="G297" s="87"/>
      <c r="H297" s="7"/>
      <c r="I297" s="73">
        <f>F297+G297+H297</f>
        <v>0</v>
      </c>
      <c r="J297" s="28"/>
      <c r="K297" s="7"/>
      <c r="L297" s="73">
        <f>I297+J297+K297</f>
        <v>0</v>
      </c>
      <c r="M297" s="22"/>
      <c r="N297" s="7"/>
      <c r="O297" s="23">
        <f>L297+M297+N297</f>
        <v>0</v>
      </c>
      <c r="P297" s="81"/>
      <c r="Q297" s="79">
        <f>O297+P297</f>
        <v>0</v>
      </c>
    </row>
    <row r="298" spans="1:17" ht="12.75" hidden="1">
      <c r="A298" s="35" t="s">
        <v>62</v>
      </c>
      <c r="B298" s="98">
        <v>4001</v>
      </c>
      <c r="C298" s="145"/>
      <c r="D298" s="114"/>
      <c r="E298" s="160"/>
      <c r="F298" s="189">
        <f t="shared" si="78"/>
        <v>0</v>
      </c>
      <c r="G298" s="87"/>
      <c r="H298" s="7"/>
      <c r="I298" s="73">
        <f>F298+G298+H298</f>
        <v>0</v>
      </c>
      <c r="J298" s="28"/>
      <c r="K298" s="7"/>
      <c r="L298" s="73">
        <f>I298+J298+K298</f>
        <v>0</v>
      </c>
      <c r="M298" s="22"/>
      <c r="N298" s="7"/>
      <c r="O298" s="23">
        <f>L298+M298+N298</f>
        <v>0</v>
      </c>
      <c r="P298" s="81"/>
      <c r="Q298" s="79">
        <f>O298+P298</f>
        <v>0</v>
      </c>
    </row>
    <row r="299" spans="1:17" ht="12.75" hidden="1">
      <c r="A299" s="41" t="s">
        <v>54</v>
      </c>
      <c r="B299" s="102"/>
      <c r="C299" s="172">
        <f>C302+C301</f>
        <v>0</v>
      </c>
      <c r="D299" s="121">
        <f aca="true" t="shared" si="83" ref="D299:Q299">D302+D301</f>
        <v>0</v>
      </c>
      <c r="E299" s="163">
        <f t="shared" si="83"/>
        <v>0</v>
      </c>
      <c r="F299" s="192">
        <f t="shared" si="83"/>
        <v>0</v>
      </c>
      <c r="G299" s="210">
        <f t="shared" si="83"/>
        <v>0</v>
      </c>
      <c r="H299" s="121">
        <f t="shared" si="83"/>
        <v>0</v>
      </c>
      <c r="I299" s="163">
        <f t="shared" si="83"/>
        <v>0</v>
      </c>
      <c r="J299" s="172">
        <f t="shared" si="83"/>
        <v>0</v>
      </c>
      <c r="K299" s="121">
        <f t="shared" si="83"/>
        <v>0</v>
      </c>
      <c r="L299" s="163">
        <f t="shared" si="83"/>
        <v>0</v>
      </c>
      <c r="M299" s="120">
        <f t="shared" si="83"/>
        <v>0</v>
      </c>
      <c r="N299" s="120">
        <f t="shared" si="83"/>
        <v>0</v>
      </c>
      <c r="O299" s="120">
        <f t="shared" si="83"/>
        <v>0</v>
      </c>
      <c r="P299" s="120">
        <f t="shared" si="83"/>
        <v>0</v>
      </c>
      <c r="Q299" s="245">
        <f t="shared" si="83"/>
        <v>0</v>
      </c>
    </row>
    <row r="300" spans="1:17" ht="12.75" hidden="1">
      <c r="A300" s="37" t="s">
        <v>26</v>
      </c>
      <c r="B300" s="98"/>
      <c r="C300" s="145"/>
      <c r="D300" s="114"/>
      <c r="E300" s="160"/>
      <c r="F300" s="167"/>
      <c r="G300" s="87"/>
      <c r="H300" s="7"/>
      <c r="I300" s="69"/>
      <c r="J300" s="28"/>
      <c r="K300" s="7"/>
      <c r="L300" s="69"/>
      <c r="M300" s="22"/>
      <c r="N300" s="7"/>
      <c r="O300" s="21"/>
      <c r="P300" s="81"/>
      <c r="Q300" s="79"/>
    </row>
    <row r="301" spans="1:17" ht="12.75" hidden="1">
      <c r="A301" s="34" t="s">
        <v>55</v>
      </c>
      <c r="B301" s="98"/>
      <c r="C301" s="145"/>
      <c r="D301" s="114"/>
      <c r="E301" s="160"/>
      <c r="F301" s="189">
        <f>C301+D301+E301</f>
        <v>0</v>
      </c>
      <c r="G301" s="87"/>
      <c r="H301" s="7"/>
      <c r="I301" s="73">
        <f>F301+G301+H301</f>
        <v>0</v>
      </c>
      <c r="J301" s="28"/>
      <c r="K301" s="7"/>
      <c r="L301" s="73">
        <f>I301+J301+K301</f>
        <v>0</v>
      </c>
      <c r="M301" s="22"/>
      <c r="N301" s="7"/>
      <c r="O301" s="23">
        <f>L301+M301+N301</f>
        <v>0</v>
      </c>
      <c r="P301" s="81"/>
      <c r="Q301" s="79">
        <f>O301+P301</f>
        <v>0</v>
      </c>
    </row>
    <row r="302" spans="1:17" ht="12.75" hidden="1">
      <c r="A302" s="38" t="s">
        <v>78</v>
      </c>
      <c r="B302" s="101"/>
      <c r="C302" s="173"/>
      <c r="D302" s="122"/>
      <c r="E302" s="261"/>
      <c r="F302" s="193">
        <f>C302+D302+E302</f>
        <v>0</v>
      </c>
      <c r="G302" s="212"/>
      <c r="H302" s="10"/>
      <c r="I302" s="72">
        <f>F302+G302+H302</f>
        <v>0</v>
      </c>
      <c r="J302" s="227"/>
      <c r="K302" s="10"/>
      <c r="L302" s="72">
        <f>I302+J302+K302</f>
        <v>0</v>
      </c>
      <c r="M302" s="26"/>
      <c r="N302" s="10"/>
      <c r="O302" s="27">
        <f>L302+M302+N302</f>
        <v>0</v>
      </c>
      <c r="P302" s="84"/>
      <c r="Q302" s="85">
        <f>O302+P302</f>
        <v>0</v>
      </c>
    </row>
    <row r="303" spans="1:17" ht="12.75">
      <c r="A303" s="47" t="s">
        <v>167</v>
      </c>
      <c r="B303" s="103"/>
      <c r="C303" s="152">
        <f aca="true" t="shared" si="84" ref="C303:Q303">C304+C328</f>
        <v>829460.8700000001</v>
      </c>
      <c r="D303" s="113">
        <f t="shared" si="84"/>
        <v>1773618.5</v>
      </c>
      <c r="E303" s="136">
        <f t="shared" si="84"/>
        <v>0</v>
      </c>
      <c r="F303" s="167">
        <f t="shared" si="84"/>
        <v>2603079.37</v>
      </c>
      <c r="G303" s="153">
        <f t="shared" si="84"/>
        <v>0</v>
      </c>
      <c r="H303" s="113">
        <f t="shared" si="84"/>
        <v>0</v>
      </c>
      <c r="I303" s="136">
        <f t="shared" si="84"/>
        <v>0</v>
      </c>
      <c r="J303" s="152">
        <f t="shared" si="84"/>
        <v>0</v>
      </c>
      <c r="K303" s="113">
        <f t="shared" si="84"/>
        <v>0</v>
      </c>
      <c r="L303" s="136">
        <f t="shared" si="84"/>
        <v>0</v>
      </c>
      <c r="M303" s="112">
        <f t="shared" si="84"/>
        <v>0</v>
      </c>
      <c r="N303" s="112">
        <f t="shared" si="84"/>
        <v>0</v>
      </c>
      <c r="O303" s="112">
        <f t="shared" si="84"/>
        <v>0</v>
      </c>
      <c r="P303" s="112">
        <f t="shared" si="84"/>
        <v>0</v>
      </c>
      <c r="Q303" s="240">
        <f t="shared" si="84"/>
        <v>0</v>
      </c>
    </row>
    <row r="304" spans="1:17" ht="12.75">
      <c r="A304" s="41" t="s">
        <v>49</v>
      </c>
      <c r="B304" s="102"/>
      <c r="C304" s="172">
        <f aca="true" t="shared" si="85" ref="C304:Q304">SUM(C306:C316)</f>
        <v>76319.28</v>
      </c>
      <c r="D304" s="121">
        <f t="shared" si="85"/>
        <v>44694.51</v>
      </c>
      <c r="E304" s="163">
        <f t="shared" si="85"/>
        <v>0</v>
      </c>
      <c r="F304" s="192">
        <f t="shared" si="85"/>
        <v>121013.79000000001</v>
      </c>
      <c r="G304" s="210">
        <f t="shared" si="85"/>
        <v>0</v>
      </c>
      <c r="H304" s="121">
        <f t="shared" si="85"/>
        <v>0</v>
      </c>
      <c r="I304" s="163">
        <f t="shared" si="85"/>
        <v>0</v>
      </c>
      <c r="J304" s="172">
        <f t="shared" si="85"/>
        <v>0</v>
      </c>
      <c r="K304" s="121">
        <f t="shared" si="85"/>
        <v>0</v>
      </c>
      <c r="L304" s="163">
        <f t="shared" si="85"/>
        <v>0</v>
      </c>
      <c r="M304" s="120">
        <f t="shared" si="85"/>
        <v>0</v>
      </c>
      <c r="N304" s="120">
        <f t="shared" si="85"/>
        <v>0</v>
      </c>
      <c r="O304" s="120">
        <f t="shared" si="85"/>
        <v>0</v>
      </c>
      <c r="P304" s="120">
        <f t="shared" si="85"/>
        <v>0</v>
      </c>
      <c r="Q304" s="245">
        <f t="shared" si="85"/>
        <v>0</v>
      </c>
    </row>
    <row r="305" spans="1:17" ht="12.75">
      <c r="A305" s="37" t="s">
        <v>26</v>
      </c>
      <c r="B305" s="98"/>
      <c r="C305" s="172"/>
      <c r="D305" s="133"/>
      <c r="E305" s="263"/>
      <c r="F305" s="192"/>
      <c r="G305" s="87"/>
      <c r="H305" s="7"/>
      <c r="I305" s="73"/>
      <c r="J305" s="28"/>
      <c r="K305" s="7"/>
      <c r="L305" s="73"/>
      <c r="M305" s="31"/>
      <c r="N305" s="7"/>
      <c r="O305" s="23"/>
      <c r="P305" s="81"/>
      <c r="Q305" s="79"/>
    </row>
    <row r="306" spans="1:17" ht="12.75">
      <c r="A306" s="39" t="s">
        <v>51</v>
      </c>
      <c r="B306" s="98"/>
      <c r="C306" s="145">
        <v>6645.87</v>
      </c>
      <c r="D306" s="125">
        <f>1000</f>
        <v>1000</v>
      </c>
      <c r="E306" s="264"/>
      <c r="F306" s="189">
        <f aca="true" t="shared" si="86" ref="F306:F327">C306+D306+E306</f>
        <v>7645.87</v>
      </c>
      <c r="G306" s="87"/>
      <c r="H306" s="7"/>
      <c r="I306" s="73"/>
      <c r="J306" s="28"/>
      <c r="K306" s="7"/>
      <c r="L306" s="73"/>
      <c r="M306" s="31"/>
      <c r="N306" s="7"/>
      <c r="O306" s="23"/>
      <c r="P306" s="81"/>
      <c r="Q306" s="79"/>
    </row>
    <row r="307" spans="1:17" ht="12.75">
      <c r="A307" s="39" t="s">
        <v>173</v>
      </c>
      <c r="B307" s="98">
        <v>1080</v>
      </c>
      <c r="C307" s="145"/>
      <c r="D307" s="125">
        <f>1306.05</f>
        <v>1306.05</v>
      </c>
      <c r="E307" s="264"/>
      <c r="F307" s="189">
        <f t="shared" si="86"/>
        <v>1306.05</v>
      </c>
      <c r="G307" s="87"/>
      <c r="H307" s="7"/>
      <c r="I307" s="73"/>
      <c r="J307" s="28"/>
      <c r="K307" s="7"/>
      <c r="L307" s="73"/>
      <c r="M307" s="31"/>
      <c r="N307" s="7"/>
      <c r="O307" s="23"/>
      <c r="P307" s="81"/>
      <c r="Q307" s="79"/>
    </row>
    <row r="308" spans="1:17" ht="12.75">
      <c r="A308" s="39" t="s">
        <v>174</v>
      </c>
      <c r="B308" s="233">
        <v>1081.1202</v>
      </c>
      <c r="C308" s="145">
        <v>2182</v>
      </c>
      <c r="D308" s="125">
        <f>457.11</f>
        <v>457.11</v>
      </c>
      <c r="E308" s="264"/>
      <c r="F308" s="189">
        <f t="shared" si="86"/>
        <v>2639.11</v>
      </c>
      <c r="G308" s="87"/>
      <c r="H308" s="7"/>
      <c r="I308" s="73"/>
      <c r="J308" s="28"/>
      <c r="K308" s="7"/>
      <c r="L308" s="73"/>
      <c r="M308" s="31"/>
      <c r="N308" s="7"/>
      <c r="O308" s="23"/>
      <c r="P308" s="81"/>
      <c r="Q308" s="79"/>
    </row>
    <row r="309" spans="1:17" ht="12.75">
      <c r="A309" s="99" t="s">
        <v>81</v>
      </c>
      <c r="B309" s="98"/>
      <c r="C309" s="145">
        <v>300</v>
      </c>
      <c r="D309" s="125"/>
      <c r="E309" s="264"/>
      <c r="F309" s="189">
        <f t="shared" si="86"/>
        <v>300</v>
      </c>
      <c r="G309" s="87"/>
      <c r="H309" s="7"/>
      <c r="I309" s="73"/>
      <c r="J309" s="28"/>
      <c r="K309" s="7"/>
      <c r="L309" s="73"/>
      <c r="M309" s="31"/>
      <c r="N309" s="7"/>
      <c r="O309" s="23"/>
      <c r="P309" s="81"/>
      <c r="Q309" s="79"/>
    </row>
    <row r="310" spans="1:17" ht="12.75">
      <c r="A310" s="35" t="s">
        <v>180</v>
      </c>
      <c r="B310" s="98"/>
      <c r="C310" s="145">
        <v>35554.41</v>
      </c>
      <c r="D310" s="125"/>
      <c r="E310" s="264"/>
      <c r="F310" s="189">
        <f t="shared" si="86"/>
        <v>35554.41</v>
      </c>
      <c r="G310" s="87"/>
      <c r="H310" s="7"/>
      <c r="I310" s="73"/>
      <c r="J310" s="28"/>
      <c r="K310" s="7"/>
      <c r="L310" s="73"/>
      <c r="M310" s="31"/>
      <c r="N310" s="7"/>
      <c r="O310" s="23"/>
      <c r="P310" s="81"/>
      <c r="Q310" s="79"/>
    </row>
    <row r="311" spans="1:17" ht="12.75">
      <c r="A311" s="39" t="s">
        <v>235</v>
      </c>
      <c r="B311" s="98"/>
      <c r="C311" s="145"/>
      <c r="D311" s="125">
        <f>330.16</f>
        <v>330.16</v>
      </c>
      <c r="E311" s="264"/>
      <c r="F311" s="189">
        <f t="shared" si="86"/>
        <v>330.16</v>
      </c>
      <c r="G311" s="87"/>
      <c r="H311" s="7"/>
      <c r="I311" s="73"/>
      <c r="J311" s="28"/>
      <c r="K311" s="7"/>
      <c r="L311" s="73"/>
      <c r="M311" s="31"/>
      <c r="N311" s="7"/>
      <c r="O311" s="23"/>
      <c r="P311" s="81"/>
      <c r="Q311" s="79"/>
    </row>
    <row r="312" spans="1:17" ht="12.75">
      <c r="A312" s="35" t="s">
        <v>199</v>
      </c>
      <c r="B312" s="156">
        <v>212163</v>
      </c>
      <c r="C312" s="145"/>
      <c r="D312" s="125">
        <v>0.05</v>
      </c>
      <c r="E312" s="264"/>
      <c r="F312" s="189">
        <f t="shared" si="86"/>
        <v>0.05</v>
      </c>
      <c r="G312" s="87"/>
      <c r="H312" s="7"/>
      <c r="I312" s="73"/>
      <c r="J312" s="28"/>
      <c r="K312" s="7"/>
      <c r="L312" s="73"/>
      <c r="M312" s="31"/>
      <c r="N312" s="7"/>
      <c r="O312" s="23"/>
      <c r="P312" s="81"/>
      <c r="Q312" s="79"/>
    </row>
    <row r="313" spans="1:17" ht="12.75">
      <c r="A313" s="39" t="s">
        <v>170</v>
      </c>
      <c r="B313" s="156">
        <v>212162</v>
      </c>
      <c r="C313" s="145"/>
      <c r="D313" s="125">
        <f>658.97</f>
        <v>658.97</v>
      </c>
      <c r="E313" s="264"/>
      <c r="F313" s="189">
        <f t="shared" si="86"/>
        <v>658.97</v>
      </c>
      <c r="G313" s="87"/>
      <c r="H313" s="7"/>
      <c r="I313" s="73"/>
      <c r="J313" s="28"/>
      <c r="K313" s="7"/>
      <c r="L313" s="73"/>
      <c r="M313" s="31"/>
      <c r="N313" s="7"/>
      <c r="O313" s="23"/>
      <c r="P313" s="81"/>
      <c r="Q313" s="79"/>
    </row>
    <row r="314" spans="1:17" ht="12.75">
      <c r="A314" s="39" t="s">
        <v>337</v>
      </c>
      <c r="B314" s="156"/>
      <c r="C314" s="145"/>
      <c r="D314" s="125">
        <f>558.14</f>
        <v>558.14</v>
      </c>
      <c r="E314" s="264"/>
      <c r="F314" s="189">
        <f t="shared" si="86"/>
        <v>558.14</v>
      </c>
      <c r="G314" s="87"/>
      <c r="H314" s="7"/>
      <c r="I314" s="87"/>
      <c r="J314" s="28"/>
      <c r="K314" s="7"/>
      <c r="L314" s="87"/>
      <c r="M314" s="225"/>
      <c r="N314" s="87"/>
      <c r="O314" s="87"/>
      <c r="P314" s="257"/>
      <c r="Q314" s="79"/>
    </row>
    <row r="315" spans="1:17" ht="12.75">
      <c r="A315" s="39" t="s">
        <v>314</v>
      </c>
      <c r="B315" s="156"/>
      <c r="C315" s="145"/>
      <c r="D315" s="125">
        <f>181.24</f>
        <v>181.24</v>
      </c>
      <c r="E315" s="264"/>
      <c r="F315" s="189">
        <f t="shared" si="86"/>
        <v>181.24</v>
      </c>
      <c r="G315" s="87"/>
      <c r="H315" s="7"/>
      <c r="I315" s="87"/>
      <c r="J315" s="28"/>
      <c r="K315" s="7"/>
      <c r="L315" s="87"/>
      <c r="M315" s="225"/>
      <c r="N315" s="87"/>
      <c r="O315" s="87"/>
      <c r="P315" s="257"/>
      <c r="Q315" s="79"/>
    </row>
    <row r="316" spans="1:17" ht="12.75">
      <c r="A316" s="35" t="s">
        <v>78</v>
      </c>
      <c r="B316" s="98"/>
      <c r="C316" s="147">
        <f>SUM(C317:C327)</f>
        <v>31637</v>
      </c>
      <c r="D316" s="125">
        <f>SUM(D317:D327)</f>
        <v>40202.79</v>
      </c>
      <c r="E316" s="264">
        <f aca="true" t="shared" si="87" ref="E316:Q316">SUM(E317:E327)</f>
        <v>0</v>
      </c>
      <c r="F316" s="196">
        <f t="shared" si="87"/>
        <v>71839.79000000001</v>
      </c>
      <c r="G316" s="165">
        <f t="shared" si="87"/>
        <v>0</v>
      </c>
      <c r="H316" s="125">
        <f t="shared" si="87"/>
        <v>0</v>
      </c>
      <c r="I316" s="165">
        <f t="shared" si="87"/>
        <v>0</v>
      </c>
      <c r="J316" s="147">
        <f t="shared" si="87"/>
        <v>0</v>
      </c>
      <c r="K316" s="125">
        <f t="shared" si="87"/>
        <v>0</v>
      </c>
      <c r="L316" s="165">
        <f t="shared" si="87"/>
        <v>0</v>
      </c>
      <c r="M316" s="147">
        <f t="shared" si="87"/>
        <v>0</v>
      </c>
      <c r="N316" s="147">
        <f t="shared" si="87"/>
        <v>0</v>
      </c>
      <c r="O316" s="147">
        <f t="shared" si="87"/>
        <v>0</v>
      </c>
      <c r="P316" s="147">
        <f t="shared" si="87"/>
        <v>0</v>
      </c>
      <c r="Q316" s="247">
        <f t="shared" si="87"/>
        <v>0</v>
      </c>
    </row>
    <row r="317" spans="1:17" ht="12.75">
      <c r="A317" s="35" t="s">
        <v>222</v>
      </c>
      <c r="B317" s="98"/>
      <c r="C317" s="147">
        <v>14000</v>
      </c>
      <c r="D317" s="125">
        <f>2350</f>
        <v>2350</v>
      </c>
      <c r="E317" s="160"/>
      <c r="F317" s="189">
        <f t="shared" si="86"/>
        <v>16350</v>
      </c>
      <c r="G317" s="87"/>
      <c r="H317" s="7"/>
      <c r="I317" s="73"/>
      <c r="J317" s="28"/>
      <c r="K317" s="7"/>
      <c r="L317" s="73"/>
      <c r="M317" s="31"/>
      <c r="N317" s="7"/>
      <c r="O317" s="23"/>
      <c r="P317" s="81"/>
      <c r="Q317" s="79"/>
    </row>
    <row r="318" spans="1:17" ht="12.75">
      <c r="A318" s="35" t="s">
        <v>179</v>
      </c>
      <c r="B318" s="98"/>
      <c r="C318" s="147">
        <v>300</v>
      </c>
      <c r="D318" s="125">
        <f>33986.1+236.9+224.26-2350</f>
        <v>32097.260000000002</v>
      </c>
      <c r="E318" s="160"/>
      <c r="F318" s="189">
        <f t="shared" si="86"/>
        <v>32397.260000000002</v>
      </c>
      <c r="G318" s="87"/>
      <c r="H318" s="7"/>
      <c r="I318" s="73"/>
      <c r="J318" s="28"/>
      <c r="K318" s="7"/>
      <c r="L318" s="73"/>
      <c r="M318" s="31"/>
      <c r="N318" s="7"/>
      <c r="O318" s="23"/>
      <c r="P318" s="81"/>
      <c r="Q318" s="79"/>
    </row>
    <row r="319" spans="1:17" ht="12.75" hidden="1">
      <c r="A319" s="35" t="s">
        <v>275</v>
      </c>
      <c r="B319" s="98"/>
      <c r="C319" s="147"/>
      <c r="D319" s="134"/>
      <c r="E319" s="160"/>
      <c r="F319" s="189">
        <f t="shared" si="86"/>
        <v>0</v>
      </c>
      <c r="G319" s="87"/>
      <c r="H319" s="7"/>
      <c r="I319" s="73"/>
      <c r="J319" s="28"/>
      <c r="K319" s="7"/>
      <c r="L319" s="73"/>
      <c r="M319" s="31"/>
      <c r="N319" s="7"/>
      <c r="O319" s="23"/>
      <c r="P319" s="81"/>
      <c r="Q319" s="79"/>
    </row>
    <row r="320" spans="1:17" ht="12.75" hidden="1">
      <c r="A320" s="35" t="s">
        <v>209</v>
      </c>
      <c r="B320" s="98"/>
      <c r="C320" s="147"/>
      <c r="D320" s="125"/>
      <c r="E320" s="160"/>
      <c r="F320" s="189">
        <f t="shared" si="86"/>
        <v>0</v>
      </c>
      <c r="G320" s="87"/>
      <c r="H320" s="7"/>
      <c r="I320" s="73"/>
      <c r="J320" s="28"/>
      <c r="K320" s="7"/>
      <c r="L320" s="73"/>
      <c r="M320" s="31"/>
      <c r="N320" s="7"/>
      <c r="O320" s="23"/>
      <c r="P320" s="81"/>
      <c r="Q320" s="79"/>
    </row>
    <row r="321" spans="1:17" ht="12.75">
      <c r="A321" s="35" t="s">
        <v>234</v>
      </c>
      <c r="B321" s="98"/>
      <c r="C321" s="147"/>
      <c r="D321" s="125">
        <f>11169.53</f>
        <v>11169.53</v>
      </c>
      <c r="E321" s="160"/>
      <c r="F321" s="189">
        <f t="shared" si="86"/>
        <v>11169.53</v>
      </c>
      <c r="G321" s="87"/>
      <c r="H321" s="7"/>
      <c r="I321" s="73"/>
      <c r="J321" s="28"/>
      <c r="K321" s="7"/>
      <c r="L321" s="73"/>
      <c r="M321" s="31"/>
      <c r="N321" s="7"/>
      <c r="O321" s="23"/>
      <c r="P321" s="81"/>
      <c r="Q321" s="79"/>
    </row>
    <row r="322" spans="1:17" ht="12.75">
      <c r="A322" s="35" t="s">
        <v>178</v>
      </c>
      <c r="B322" s="98"/>
      <c r="C322" s="147"/>
      <c r="D322" s="125">
        <f>2726.77+840.5+353.95+205.7</f>
        <v>4126.92</v>
      </c>
      <c r="E322" s="160"/>
      <c r="F322" s="189">
        <f t="shared" si="86"/>
        <v>4126.92</v>
      </c>
      <c r="G322" s="87"/>
      <c r="H322" s="7"/>
      <c r="I322" s="73"/>
      <c r="J322" s="28"/>
      <c r="K322" s="7"/>
      <c r="L322" s="73"/>
      <c r="M322" s="31"/>
      <c r="N322" s="7"/>
      <c r="O322" s="23"/>
      <c r="P322" s="81"/>
      <c r="Q322" s="79"/>
    </row>
    <row r="323" spans="1:17" ht="12.75">
      <c r="A323" s="35" t="s">
        <v>181</v>
      </c>
      <c r="B323" s="98"/>
      <c r="C323" s="147"/>
      <c r="D323" s="125">
        <f>2967.12</f>
        <v>2967.12</v>
      </c>
      <c r="E323" s="160"/>
      <c r="F323" s="189">
        <f t="shared" si="86"/>
        <v>2967.12</v>
      </c>
      <c r="G323" s="87"/>
      <c r="H323" s="7"/>
      <c r="I323" s="73"/>
      <c r="J323" s="28"/>
      <c r="K323" s="7"/>
      <c r="L323" s="73"/>
      <c r="M323" s="31"/>
      <c r="N323" s="7"/>
      <c r="O323" s="23"/>
      <c r="P323" s="81"/>
      <c r="Q323" s="79"/>
    </row>
    <row r="324" spans="1:17" ht="12.75">
      <c r="A324" s="35" t="s">
        <v>186</v>
      </c>
      <c r="B324" s="98"/>
      <c r="C324" s="147">
        <v>7500</v>
      </c>
      <c r="D324" s="125">
        <f>-7500+17.05</f>
        <v>-7482.95</v>
      </c>
      <c r="E324" s="160"/>
      <c r="F324" s="189">
        <f t="shared" si="86"/>
        <v>17.050000000000182</v>
      </c>
      <c r="G324" s="87"/>
      <c r="H324" s="7"/>
      <c r="I324" s="73"/>
      <c r="J324" s="28"/>
      <c r="K324" s="7"/>
      <c r="L324" s="73"/>
      <c r="M324" s="31"/>
      <c r="N324" s="7"/>
      <c r="O324" s="23"/>
      <c r="P324" s="81"/>
      <c r="Q324" s="79"/>
    </row>
    <row r="325" spans="1:17" ht="12.75">
      <c r="A325" s="35" t="s">
        <v>185</v>
      </c>
      <c r="B325" s="98"/>
      <c r="C325" s="147">
        <v>8299</v>
      </c>
      <c r="D325" s="125">
        <f>-6743.14+2500.95+129.98+169.29-1500</f>
        <v>-5442.920000000001</v>
      </c>
      <c r="E325" s="160"/>
      <c r="F325" s="189">
        <f t="shared" si="86"/>
        <v>2856.079999999999</v>
      </c>
      <c r="G325" s="87"/>
      <c r="H325" s="7"/>
      <c r="I325" s="73"/>
      <c r="J325" s="28"/>
      <c r="K325" s="7"/>
      <c r="L325" s="73"/>
      <c r="M325" s="31"/>
      <c r="N325" s="7"/>
      <c r="O325" s="23"/>
      <c r="P325" s="81"/>
      <c r="Q325" s="79"/>
    </row>
    <row r="326" spans="1:17" ht="12.75">
      <c r="A326" s="35" t="s">
        <v>213</v>
      </c>
      <c r="B326" s="98"/>
      <c r="C326" s="147">
        <v>1538</v>
      </c>
      <c r="D326" s="125">
        <f>-954+1621.52-400</f>
        <v>267.52</v>
      </c>
      <c r="E326" s="160"/>
      <c r="F326" s="189">
        <f t="shared" si="86"/>
        <v>1805.52</v>
      </c>
      <c r="G326" s="87"/>
      <c r="H326" s="7"/>
      <c r="I326" s="73"/>
      <c r="J326" s="28"/>
      <c r="K326" s="7"/>
      <c r="L326" s="73"/>
      <c r="M326" s="31"/>
      <c r="N326" s="7"/>
      <c r="O326" s="23"/>
      <c r="P326" s="81"/>
      <c r="Q326" s="79"/>
    </row>
    <row r="327" spans="1:17" ht="12.75">
      <c r="A327" s="35" t="s">
        <v>246</v>
      </c>
      <c r="B327" s="98"/>
      <c r="C327" s="147"/>
      <c r="D327" s="134">
        <f>458.38-272.68-35.39</f>
        <v>150.31</v>
      </c>
      <c r="E327" s="160"/>
      <c r="F327" s="189">
        <f t="shared" si="86"/>
        <v>150.31</v>
      </c>
      <c r="G327" s="87"/>
      <c r="H327" s="7"/>
      <c r="I327" s="73"/>
      <c r="J327" s="28"/>
      <c r="K327" s="7"/>
      <c r="L327" s="73"/>
      <c r="M327" s="31"/>
      <c r="N327" s="7"/>
      <c r="O327" s="23"/>
      <c r="P327" s="81"/>
      <c r="Q327" s="79"/>
    </row>
    <row r="328" spans="1:17" ht="12.75">
      <c r="A328" s="41" t="s">
        <v>54</v>
      </c>
      <c r="B328" s="102"/>
      <c r="C328" s="172">
        <f aca="true" t="shared" si="88" ref="C328:Q328">SUM(C330:C344)</f>
        <v>753141.5900000001</v>
      </c>
      <c r="D328" s="121">
        <f t="shared" si="88"/>
        <v>1728923.99</v>
      </c>
      <c r="E328" s="163">
        <f t="shared" si="88"/>
        <v>0</v>
      </c>
      <c r="F328" s="192">
        <f t="shared" si="88"/>
        <v>2482065.58</v>
      </c>
      <c r="G328" s="210">
        <f t="shared" si="88"/>
        <v>0</v>
      </c>
      <c r="H328" s="121">
        <f t="shared" si="88"/>
        <v>0</v>
      </c>
      <c r="I328" s="163">
        <f t="shared" si="88"/>
        <v>0</v>
      </c>
      <c r="J328" s="172">
        <f t="shared" si="88"/>
        <v>0</v>
      </c>
      <c r="K328" s="121">
        <f t="shared" si="88"/>
        <v>0</v>
      </c>
      <c r="L328" s="163">
        <f t="shared" si="88"/>
        <v>0</v>
      </c>
      <c r="M328" s="120">
        <f t="shared" si="88"/>
        <v>0</v>
      </c>
      <c r="N328" s="120">
        <f t="shared" si="88"/>
        <v>0</v>
      </c>
      <c r="O328" s="120">
        <f t="shared" si="88"/>
        <v>0</v>
      </c>
      <c r="P328" s="120">
        <f t="shared" si="88"/>
        <v>0</v>
      </c>
      <c r="Q328" s="245">
        <f t="shared" si="88"/>
        <v>0</v>
      </c>
    </row>
    <row r="329" spans="1:17" ht="12.75">
      <c r="A329" s="39" t="s">
        <v>26</v>
      </c>
      <c r="B329" s="98"/>
      <c r="C329" s="145"/>
      <c r="D329" s="114"/>
      <c r="E329" s="160"/>
      <c r="F329" s="189"/>
      <c r="G329" s="87"/>
      <c r="H329" s="7"/>
      <c r="I329" s="73"/>
      <c r="J329" s="28"/>
      <c r="K329" s="7"/>
      <c r="L329" s="73"/>
      <c r="M329" s="31"/>
      <c r="N329" s="7"/>
      <c r="O329" s="23"/>
      <c r="P329" s="81"/>
      <c r="Q329" s="79"/>
    </row>
    <row r="330" spans="1:17" ht="12.75" hidden="1">
      <c r="A330" s="39" t="s">
        <v>175</v>
      </c>
      <c r="B330" s="98"/>
      <c r="C330" s="145"/>
      <c r="D330" s="114"/>
      <c r="E330" s="160"/>
      <c r="F330" s="189">
        <f aca="true" t="shared" si="89" ref="F330:F356">C330+D330+E330</f>
        <v>0</v>
      </c>
      <c r="G330" s="87"/>
      <c r="H330" s="7"/>
      <c r="I330" s="73"/>
      <c r="J330" s="28"/>
      <c r="K330" s="7"/>
      <c r="L330" s="73"/>
      <c r="M330" s="31"/>
      <c r="N330" s="7"/>
      <c r="O330" s="23"/>
      <c r="P330" s="81"/>
      <c r="Q330" s="79"/>
    </row>
    <row r="331" spans="1:17" ht="12.75">
      <c r="A331" s="39" t="s">
        <v>174</v>
      </c>
      <c r="B331" s="233">
        <v>1081.1202</v>
      </c>
      <c r="C331" s="145">
        <v>6044</v>
      </c>
      <c r="D331" s="114">
        <f>692.36</f>
        <v>692.36</v>
      </c>
      <c r="E331" s="160"/>
      <c r="F331" s="189">
        <f t="shared" si="89"/>
        <v>6736.36</v>
      </c>
      <c r="G331" s="87"/>
      <c r="H331" s="7"/>
      <c r="I331" s="73"/>
      <c r="J331" s="28"/>
      <c r="K331" s="7"/>
      <c r="L331" s="73"/>
      <c r="M331" s="31"/>
      <c r="N331" s="7"/>
      <c r="O331" s="23"/>
      <c r="P331" s="81"/>
      <c r="Q331" s="79"/>
    </row>
    <row r="332" spans="1:17" ht="12.75">
      <c r="A332" s="39" t="s">
        <v>169</v>
      </c>
      <c r="B332" s="98"/>
      <c r="C332" s="145">
        <v>19868.59</v>
      </c>
      <c r="D332" s="114">
        <f>711.97+10000</f>
        <v>10711.97</v>
      </c>
      <c r="E332" s="160"/>
      <c r="F332" s="189">
        <f t="shared" si="89"/>
        <v>30580.559999999998</v>
      </c>
      <c r="G332" s="87"/>
      <c r="H332" s="7"/>
      <c r="I332" s="73"/>
      <c r="J332" s="28"/>
      <c r="K332" s="7"/>
      <c r="L332" s="73"/>
      <c r="M332" s="31"/>
      <c r="N332" s="7"/>
      <c r="O332" s="23"/>
      <c r="P332" s="81"/>
      <c r="Q332" s="79"/>
    </row>
    <row r="333" spans="1:17" ht="12.75">
      <c r="A333" s="39" t="s">
        <v>287</v>
      </c>
      <c r="B333" s="98"/>
      <c r="C333" s="145">
        <v>5000</v>
      </c>
      <c r="D333" s="114"/>
      <c r="E333" s="160"/>
      <c r="F333" s="189">
        <f t="shared" si="89"/>
        <v>5000</v>
      </c>
      <c r="G333" s="87"/>
      <c r="H333" s="7"/>
      <c r="I333" s="73"/>
      <c r="J333" s="28"/>
      <c r="K333" s="7"/>
      <c r="L333" s="73"/>
      <c r="M333" s="31"/>
      <c r="N333" s="7"/>
      <c r="O333" s="23"/>
      <c r="P333" s="81"/>
      <c r="Q333" s="79"/>
    </row>
    <row r="334" spans="1:17" ht="12.75">
      <c r="A334" s="39" t="s">
        <v>296</v>
      </c>
      <c r="B334" s="98"/>
      <c r="C334" s="145"/>
      <c r="D334" s="125">
        <f>788.1</f>
        <v>788.1</v>
      </c>
      <c r="E334" s="264"/>
      <c r="F334" s="189">
        <f t="shared" si="89"/>
        <v>788.1</v>
      </c>
      <c r="G334" s="87"/>
      <c r="H334" s="7"/>
      <c r="I334" s="73"/>
      <c r="J334" s="28"/>
      <c r="K334" s="7"/>
      <c r="L334" s="73"/>
      <c r="M334" s="31"/>
      <c r="N334" s="7"/>
      <c r="O334" s="23"/>
      <c r="P334" s="81"/>
      <c r="Q334" s="79"/>
    </row>
    <row r="335" spans="1:17" ht="12.75">
      <c r="A335" s="154" t="s">
        <v>235</v>
      </c>
      <c r="B335" s="98"/>
      <c r="C335" s="145">
        <v>400000</v>
      </c>
      <c r="D335" s="134">
        <f>200000+281690.37+30000+150000</f>
        <v>661690.37</v>
      </c>
      <c r="E335" s="265"/>
      <c r="F335" s="189">
        <f t="shared" si="89"/>
        <v>1061690.37</v>
      </c>
      <c r="G335" s="87"/>
      <c r="H335" s="7"/>
      <c r="I335" s="73"/>
      <c r="J335" s="28"/>
      <c r="K335" s="7"/>
      <c r="L335" s="73"/>
      <c r="M335" s="31"/>
      <c r="N335" s="7"/>
      <c r="O335" s="23"/>
      <c r="P335" s="81"/>
      <c r="Q335" s="79"/>
    </row>
    <row r="336" spans="1:17" ht="12.75">
      <c r="A336" s="39" t="s">
        <v>297</v>
      </c>
      <c r="B336" s="156">
        <v>212163</v>
      </c>
      <c r="C336" s="145">
        <v>36000</v>
      </c>
      <c r="D336" s="125">
        <f>50274.06+47194.15</f>
        <v>97468.20999999999</v>
      </c>
      <c r="E336" s="264"/>
      <c r="F336" s="189">
        <f t="shared" si="89"/>
        <v>133468.21</v>
      </c>
      <c r="G336" s="87"/>
      <c r="H336" s="7"/>
      <c r="I336" s="73"/>
      <c r="J336" s="28"/>
      <c r="K336" s="7"/>
      <c r="L336" s="73"/>
      <c r="M336" s="31"/>
      <c r="N336" s="7"/>
      <c r="O336" s="23"/>
      <c r="P336" s="81"/>
      <c r="Q336" s="79"/>
    </row>
    <row r="337" spans="1:17" ht="12.75" hidden="1">
      <c r="A337" s="39" t="s">
        <v>240</v>
      </c>
      <c r="B337" s="156">
        <v>22777</v>
      </c>
      <c r="C337" s="145"/>
      <c r="D337" s="125"/>
      <c r="E337" s="264"/>
      <c r="F337" s="189">
        <f t="shared" si="89"/>
        <v>0</v>
      </c>
      <c r="G337" s="87"/>
      <c r="H337" s="7"/>
      <c r="I337" s="73"/>
      <c r="J337" s="28"/>
      <c r="K337" s="7"/>
      <c r="L337" s="73"/>
      <c r="M337" s="31"/>
      <c r="N337" s="7"/>
      <c r="O337" s="23"/>
      <c r="P337" s="81"/>
      <c r="Q337" s="79"/>
    </row>
    <row r="338" spans="1:17" ht="12.75" hidden="1">
      <c r="A338" s="39" t="s">
        <v>280</v>
      </c>
      <c r="B338" s="156">
        <v>98858</v>
      </c>
      <c r="C338" s="145"/>
      <c r="D338" s="125"/>
      <c r="E338" s="264"/>
      <c r="F338" s="189">
        <f t="shared" si="89"/>
        <v>0</v>
      </c>
      <c r="G338" s="87"/>
      <c r="H338" s="7"/>
      <c r="I338" s="73"/>
      <c r="J338" s="28"/>
      <c r="K338" s="7"/>
      <c r="L338" s="73"/>
      <c r="M338" s="31"/>
      <c r="N338" s="7"/>
      <c r="O338" s="23"/>
      <c r="P338" s="81"/>
      <c r="Q338" s="79"/>
    </row>
    <row r="339" spans="1:17" ht="12.75">
      <c r="A339" s="39" t="s">
        <v>170</v>
      </c>
      <c r="B339" s="156">
        <v>212162</v>
      </c>
      <c r="C339" s="145"/>
      <c r="D339" s="125">
        <f>43486.32</f>
        <v>43486.32</v>
      </c>
      <c r="E339" s="264"/>
      <c r="F339" s="189">
        <f t="shared" si="89"/>
        <v>43486.32</v>
      </c>
      <c r="G339" s="87"/>
      <c r="H339" s="7"/>
      <c r="I339" s="73"/>
      <c r="J339" s="28"/>
      <c r="K339" s="7"/>
      <c r="L339" s="73"/>
      <c r="M339" s="31"/>
      <c r="N339" s="7"/>
      <c r="O339" s="23"/>
      <c r="P339" s="81"/>
      <c r="Q339" s="79"/>
    </row>
    <row r="340" spans="1:17" ht="12.75">
      <c r="A340" s="39" t="s">
        <v>337</v>
      </c>
      <c r="B340" s="156"/>
      <c r="C340" s="145"/>
      <c r="D340" s="125">
        <f>2568.52</f>
        <v>2568.52</v>
      </c>
      <c r="E340" s="264"/>
      <c r="F340" s="189">
        <f t="shared" si="89"/>
        <v>2568.52</v>
      </c>
      <c r="G340" s="87"/>
      <c r="H340" s="7"/>
      <c r="I340" s="73"/>
      <c r="J340" s="28"/>
      <c r="K340" s="7"/>
      <c r="L340" s="73"/>
      <c r="M340" s="31"/>
      <c r="N340" s="7"/>
      <c r="O340" s="23"/>
      <c r="P340" s="81"/>
      <c r="Q340" s="79"/>
    </row>
    <row r="341" spans="1:17" ht="12.75">
      <c r="A341" s="39" t="s">
        <v>314</v>
      </c>
      <c r="B341" s="156"/>
      <c r="C341" s="145"/>
      <c r="D341" s="125">
        <f>18961.22</f>
        <v>18961.22</v>
      </c>
      <c r="E341" s="264"/>
      <c r="F341" s="189">
        <f t="shared" si="89"/>
        <v>18961.22</v>
      </c>
      <c r="G341" s="87"/>
      <c r="H341" s="7"/>
      <c r="I341" s="73"/>
      <c r="J341" s="28"/>
      <c r="K341" s="7"/>
      <c r="L341" s="73"/>
      <c r="M341" s="31"/>
      <c r="N341" s="7"/>
      <c r="O341" s="23"/>
      <c r="P341" s="81"/>
      <c r="Q341" s="79"/>
    </row>
    <row r="342" spans="1:17" ht="12.75">
      <c r="A342" s="39" t="s">
        <v>315</v>
      </c>
      <c r="B342" s="156">
        <v>91628</v>
      </c>
      <c r="C342" s="145"/>
      <c r="D342" s="125">
        <f>183880</f>
        <v>183880</v>
      </c>
      <c r="E342" s="264"/>
      <c r="F342" s="189">
        <f t="shared" si="89"/>
        <v>183880</v>
      </c>
      <c r="G342" s="87"/>
      <c r="H342" s="7"/>
      <c r="I342" s="73"/>
      <c r="J342" s="28"/>
      <c r="K342" s="7"/>
      <c r="L342" s="73"/>
      <c r="M342" s="31"/>
      <c r="N342" s="7"/>
      <c r="O342" s="23"/>
      <c r="P342" s="81"/>
      <c r="Q342" s="79"/>
    </row>
    <row r="343" spans="1:17" ht="12.75" hidden="1">
      <c r="A343" s="39" t="s">
        <v>204</v>
      </c>
      <c r="B343" s="98"/>
      <c r="C343" s="145"/>
      <c r="D343" s="125"/>
      <c r="E343" s="264"/>
      <c r="F343" s="189">
        <f t="shared" si="89"/>
        <v>0</v>
      </c>
      <c r="G343" s="87"/>
      <c r="H343" s="7"/>
      <c r="I343" s="73"/>
      <c r="J343" s="28"/>
      <c r="K343" s="7"/>
      <c r="L343" s="73"/>
      <c r="M343" s="31"/>
      <c r="N343" s="7"/>
      <c r="O343" s="23"/>
      <c r="P343" s="81"/>
      <c r="Q343" s="79"/>
    </row>
    <row r="344" spans="1:17" ht="12.75">
      <c r="A344" s="39" t="s">
        <v>171</v>
      </c>
      <c r="B344" s="98"/>
      <c r="C344" s="145">
        <f>SUM(C345:C356)</f>
        <v>286229</v>
      </c>
      <c r="D344" s="114">
        <f>SUM(D345:D356)</f>
        <v>708676.92</v>
      </c>
      <c r="E344" s="160">
        <f aca="true" t="shared" si="90" ref="E344:Q344">SUM(E345:E356)</f>
        <v>0</v>
      </c>
      <c r="F344" s="189">
        <f t="shared" si="90"/>
        <v>994905.92</v>
      </c>
      <c r="G344" s="146">
        <f t="shared" si="90"/>
        <v>0</v>
      </c>
      <c r="H344" s="114">
        <f t="shared" si="90"/>
        <v>0</v>
      </c>
      <c r="I344" s="146">
        <f t="shared" si="90"/>
        <v>0</v>
      </c>
      <c r="J344" s="145">
        <f t="shared" si="90"/>
        <v>0</v>
      </c>
      <c r="K344" s="114">
        <f t="shared" si="90"/>
        <v>0</v>
      </c>
      <c r="L344" s="146">
        <f t="shared" si="90"/>
        <v>0</v>
      </c>
      <c r="M344" s="145">
        <f t="shared" si="90"/>
        <v>0</v>
      </c>
      <c r="N344" s="145">
        <f t="shared" si="90"/>
        <v>0</v>
      </c>
      <c r="O344" s="145">
        <f t="shared" si="90"/>
        <v>0</v>
      </c>
      <c r="P344" s="145">
        <f t="shared" si="90"/>
        <v>0</v>
      </c>
      <c r="Q344" s="241">
        <f t="shared" si="90"/>
        <v>0</v>
      </c>
    </row>
    <row r="345" spans="1:17" ht="12.75">
      <c r="A345" s="35" t="s">
        <v>222</v>
      </c>
      <c r="B345" s="98"/>
      <c r="C345" s="147">
        <v>1000</v>
      </c>
      <c r="D345" s="125"/>
      <c r="E345" s="160"/>
      <c r="F345" s="189">
        <f>C345+D345+E345</f>
        <v>1000</v>
      </c>
      <c r="G345" s="87"/>
      <c r="H345" s="7"/>
      <c r="I345" s="73"/>
      <c r="J345" s="28"/>
      <c r="K345" s="7"/>
      <c r="L345" s="73"/>
      <c r="M345" s="31"/>
      <c r="N345" s="7"/>
      <c r="O345" s="23"/>
      <c r="P345" s="81"/>
      <c r="Q345" s="79"/>
    </row>
    <row r="346" spans="1:17" ht="12.75">
      <c r="A346" s="35" t="s">
        <v>179</v>
      </c>
      <c r="B346" s="98"/>
      <c r="C346" s="147"/>
      <c r="D346" s="125">
        <f>2866+68524.41+3958.35</f>
        <v>75348.76000000001</v>
      </c>
      <c r="E346" s="160"/>
      <c r="F346" s="189">
        <f>C346+D346+E346</f>
        <v>75348.76000000001</v>
      </c>
      <c r="G346" s="87"/>
      <c r="H346" s="7"/>
      <c r="I346" s="73"/>
      <c r="J346" s="28"/>
      <c r="K346" s="7"/>
      <c r="L346" s="73"/>
      <c r="M346" s="31"/>
      <c r="N346" s="7"/>
      <c r="O346" s="23"/>
      <c r="P346" s="81"/>
      <c r="Q346" s="79"/>
    </row>
    <row r="347" spans="1:17" ht="12.75">
      <c r="A347" s="35" t="s">
        <v>275</v>
      </c>
      <c r="B347" s="98"/>
      <c r="C347" s="145"/>
      <c r="D347" s="125">
        <f>420+940.71+1399.29</f>
        <v>2760</v>
      </c>
      <c r="E347" s="160"/>
      <c r="F347" s="189">
        <f t="shared" si="89"/>
        <v>2760</v>
      </c>
      <c r="G347" s="87"/>
      <c r="H347" s="7"/>
      <c r="I347" s="73"/>
      <c r="J347" s="28"/>
      <c r="K347" s="7"/>
      <c r="L347" s="73"/>
      <c r="M347" s="31"/>
      <c r="N347" s="7"/>
      <c r="O347" s="23"/>
      <c r="P347" s="81"/>
      <c r="Q347" s="79"/>
    </row>
    <row r="348" spans="1:17" ht="12.75">
      <c r="A348" s="35" t="s">
        <v>234</v>
      </c>
      <c r="B348" s="98"/>
      <c r="C348" s="145">
        <v>119349</v>
      </c>
      <c r="D348" s="125">
        <f>100000+70380.77</f>
        <v>170380.77000000002</v>
      </c>
      <c r="E348" s="160"/>
      <c r="F348" s="189">
        <f aca="true" t="shared" si="91" ref="F348:F353">C348+D348+E348</f>
        <v>289729.77</v>
      </c>
      <c r="G348" s="87"/>
      <c r="H348" s="7"/>
      <c r="I348" s="73"/>
      <c r="J348" s="28"/>
      <c r="K348" s="7"/>
      <c r="L348" s="73"/>
      <c r="M348" s="31"/>
      <c r="N348" s="7"/>
      <c r="O348" s="23"/>
      <c r="P348" s="81"/>
      <c r="Q348" s="79"/>
    </row>
    <row r="349" spans="1:19" ht="12.75">
      <c r="A349" s="35" t="s">
        <v>178</v>
      </c>
      <c r="B349" s="98"/>
      <c r="C349" s="145">
        <v>82319</v>
      </c>
      <c r="D349" s="125">
        <f>-70645+813.97+1332.17+1911.58+54.45+1372.24+1188.6+1094.57+4006.77+4204.29+835.25+44.41+352.59</f>
        <v>-53434.11000000001</v>
      </c>
      <c r="E349" s="160"/>
      <c r="F349" s="189">
        <f t="shared" si="91"/>
        <v>28884.889999999992</v>
      </c>
      <c r="G349" s="87"/>
      <c r="H349" s="7"/>
      <c r="I349" s="73"/>
      <c r="J349" s="28"/>
      <c r="K349" s="7"/>
      <c r="L349" s="73"/>
      <c r="M349" s="31"/>
      <c r="N349" s="7"/>
      <c r="O349" s="23"/>
      <c r="P349" s="81"/>
      <c r="Q349" s="79"/>
      <c r="S349" s="148"/>
    </row>
    <row r="350" spans="1:17" ht="12.75">
      <c r="A350" s="35" t="s">
        <v>181</v>
      </c>
      <c r="B350" s="98"/>
      <c r="C350" s="145">
        <v>22295</v>
      </c>
      <c r="D350" s="125">
        <f>62130.19+715.39+7090.75+4795.8</f>
        <v>74732.13</v>
      </c>
      <c r="E350" s="160"/>
      <c r="F350" s="189">
        <f t="shared" si="91"/>
        <v>97027.13</v>
      </c>
      <c r="G350" s="87"/>
      <c r="H350" s="7"/>
      <c r="I350" s="73"/>
      <c r="J350" s="28"/>
      <c r="K350" s="7"/>
      <c r="L350" s="73"/>
      <c r="M350" s="31"/>
      <c r="N350" s="7"/>
      <c r="O350" s="23"/>
      <c r="P350" s="81"/>
      <c r="Q350" s="79"/>
    </row>
    <row r="351" spans="1:17" ht="12.75">
      <c r="A351" s="35" t="s">
        <v>186</v>
      </c>
      <c r="B351" s="98"/>
      <c r="C351" s="145">
        <v>40400</v>
      </c>
      <c r="D351" s="125">
        <f>-1609-5000-31665+22721.54+1928.95+2312.69-5</f>
        <v>-11315.819999999998</v>
      </c>
      <c r="E351" s="160"/>
      <c r="F351" s="189">
        <f t="shared" si="91"/>
        <v>29084.18</v>
      </c>
      <c r="G351" s="87"/>
      <c r="H351" s="7"/>
      <c r="I351" s="73"/>
      <c r="J351" s="28"/>
      <c r="K351" s="7"/>
      <c r="L351" s="73"/>
      <c r="M351" s="31"/>
      <c r="N351" s="7"/>
      <c r="O351" s="23"/>
      <c r="P351" s="81"/>
      <c r="Q351" s="79"/>
    </row>
    <row r="352" spans="1:17" ht="12.75">
      <c r="A352" s="35" t="s">
        <v>185</v>
      </c>
      <c r="B352" s="98"/>
      <c r="C352" s="145">
        <v>15000</v>
      </c>
      <c r="D352" s="114">
        <f>33882.33+1244.53+9.26+17.97+1775.78-0.27+18.51+8.71+1331.96</f>
        <v>38288.780000000006</v>
      </c>
      <c r="E352" s="160"/>
      <c r="F352" s="189">
        <f t="shared" si="91"/>
        <v>53288.780000000006</v>
      </c>
      <c r="G352" s="87"/>
      <c r="H352" s="7"/>
      <c r="I352" s="73"/>
      <c r="J352" s="28"/>
      <c r="K352" s="7"/>
      <c r="L352" s="73"/>
      <c r="M352" s="31"/>
      <c r="N352" s="7"/>
      <c r="O352" s="23"/>
      <c r="P352" s="81"/>
      <c r="Q352" s="79"/>
    </row>
    <row r="353" spans="1:17" ht="12.75" hidden="1">
      <c r="A353" s="35" t="s">
        <v>213</v>
      </c>
      <c r="B353" s="98">
        <v>2088</v>
      </c>
      <c r="C353" s="145"/>
      <c r="D353" s="114"/>
      <c r="E353" s="160"/>
      <c r="F353" s="189">
        <f t="shared" si="91"/>
        <v>0</v>
      </c>
      <c r="G353" s="87"/>
      <c r="H353" s="7"/>
      <c r="I353" s="73"/>
      <c r="J353" s="28"/>
      <c r="K353" s="7"/>
      <c r="L353" s="73"/>
      <c r="M353" s="31"/>
      <c r="N353" s="7"/>
      <c r="O353" s="23"/>
      <c r="P353" s="81"/>
      <c r="Q353" s="79"/>
    </row>
    <row r="354" spans="1:17" ht="12.75">
      <c r="A354" s="35" t="s">
        <v>288</v>
      </c>
      <c r="B354" s="98">
        <v>2088</v>
      </c>
      <c r="C354" s="145"/>
      <c r="D354" s="114">
        <f>138935.27</f>
        <v>138935.27</v>
      </c>
      <c r="E354" s="160"/>
      <c r="F354" s="189">
        <f t="shared" si="89"/>
        <v>138935.27</v>
      </c>
      <c r="G354" s="87"/>
      <c r="H354" s="7"/>
      <c r="I354" s="73"/>
      <c r="J354" s="28"/>
      <c r="K354" s="7"/>
      <c r="L354" s="73"/>
      <c r="M354" s="31"/>
      <c r="N354" s="7"/>
      <c r="O354" s="23"/>
      <c r="P354" s="81"/>
      <c r="Q354" s="79"/>
    </row>
    <row r="355" spans="1:17" ht="12.75">
      <c r="A355" s="39" t="s">
        <v>246</v>
      </c>
      <c r="B355" s="98">
        <v>2077</v>
      </c>
      <c r="C355" s="145">
        <v>5866</v>
      </c>
      <c r="D355" s="114">
        <f>1609+5000+31665+70645-2866+116514.28-813.97-799.3-1911.58-54.45-820.8-118.86-1094.57-3413.15-368.93-1399.29+131.48-4.44-558.29</f>
        <v>211341.13000000003</v>
      </c>
      <c r="E355" s="160"/>
      <c r="F355" s="189">
        <f t="shared" si="89"/>
        <v>217207.13000000003</v>
      </c>
      <c r="G355" s="87"/>
      <c r="H355" s="7"/>
      <c r="I355" s="73"/>
      <c r="J355" s="28"/>
      <c r="K355" s="7"/>
      <c r="L355" s="73"/>
      <c r="M355" s="31"/>
      <c r="N355" s="7"/>
      <c r="O355" s="23"/>
      <c r="P355" s="81"/>
      <c r="Q355" s="79"/>
    </row>
    <row r="356" spans="1:17" ht="12.75">
      <c r="A356" s="46" t="s">
        <v>289</v>
      </c>
      <c r="B356" s="101">
        <v>2099</v>
      </c>
      <c r="C356" s="173"/>
      <c r="D356" s="122">
        <f>68906.93-532.87-1244.53-9.26-1928.95-715.39-17.97-7090.75-551.44-3523.83-1775.78+25164.74+3126.66+19217.2-593.62-2312.69-466.32-4795.8+5241.84-2441.18-148.49-178-30000-358.53-1331.96</f>
        <v>61640.01</v>
      </c>
      <c r="E356" s="261"/>
      <c r="F356" s="193">
        <f t="shared" si="89"/>
        <v>61640.01</v>
      </c>
      <c r="G356" s="87"/>
      <c r="H356" s="7"/>
      <c r="I356" s="73"/>
      <c r="J356" s="28"/>
      <c r="K356" s="7"/>
      <c r="L356" s="73"/>
      <c r="M356" s="31"/>
      <c r="N356" s="7"/>
      <c r="O356" s="23"/>
      <c r="P356" s="81"/>
      <c r="Q356" s="79"/>
    </row>
    <row r="357" spans="1:17" ht="12.75">
      <c r="A357" s="32" t="s">
        <v>94</v>
      </c>
      <c r="B357" s="102"/>
      <c r="C357" s="152">
        <f aca="true" t="shared" si="92" ref="C357:Q357">C358+C380</f>
        <v>251309.76</v>
      </c>
      <c r="D357" s="113">
        <f t="shared" si="92"/>
        <v>1127845.5800000003</v>
      </c>
      <c r="E357" s="136">
        <f t="shared" si="92"/>
        <v>0</v>
      </c>
      <c r="F357" s="167">
        <f t="shared" si="92"/>
        <v>1379155.34</v>
      </c>
      <c r="G357" s="153">
        <f t="shared" si="92"/>
        <v>0</v>
      </c>
      <c r="H357" s="113">
        <f t="shared" si="92"/>
        <v>0</v>
      </c>
      <c r="I357" s="136">
        <f t="shared" si="92"/>
        <v>258605.78000000003</v>
      </c>
      <c r="J357" s="152">
        <f t="shared" si="92"/>
        <v>0</v>
      </c>
      <c r="K357" s="113">
        <f t="shared" si="92"/>
        <v>0</v>
      </c>
      <c r="L357" s="136">
        <f t="shared" si="92"/>
        <v>258605.78000000003</v>
      </c>
      <c r="M357" s="112">
        <f t="shared" si="92"/>
        <v>0</v>
      </c>
      <c r="N357" s="112">
        <f t="shared" si="92"/>
        <v>0</v>
      </c>
      <c r="O357" s="112">
        <f t="shared" si="92"/>
        <v>258605.78000000003</v>
      </c>
      <c r="P357" s="112">
        <f t="shared" si="92"/>
        <v>0</v>
      </c>
      <c r="Q357" s="240">
        <f t="shared" si="92"/>
        <v>258605.78000000003</v>
      </c>
    </row>
    <row r="358" spans="1:17" ht="12.75">
      <c r="A358" s="41" t="s">
        <v>49</v>
      </c>
      <c r="B358" s="102"/>
      <c r="C358" s="172">
        <f aca="true" t="shared" si="93" ref="C358:Q358">SUM(C360:C379)</f>
        <v>251309.76</v>
      </c>
      <c r="D358" s="121">
        <f t="shared" si="93"/>
        <v>1127845.5800000003</v>
      </c>
      <c r="E358" s="163">
        <f t="shared" si="93"/>
        <v>0</v>
      </c>
      <c r="F358" s="192">
        <f t="shared" si="93"/>
        <v>1379155.34</v>
      </c>
      <c r="G358" s="210">
        <f t="shared" si="93"/>
        <v>0</v>
      </c>
      <c r="H358" s="121">
        <f t="shared" si="93"/>
        <v>0</v>
      </c>
      <c r="I358" s="163">
        <f t="shared" si="93"/>
        <v>258605.78000000003</v>
      </c>
      <c r="J358" s="172">
        <f t="shared" si="93"/>
        <v>0</v>
      </c>
      <c r="K358" s="121">
        <f t="shared" si="93"/>
        <v>0</v>
      </c>
      <c r="L358" s="163">
        <f t="shared" si="93"/>
        <v>258605.78000000003</v>
      </c>
      <c r="M358" s="120">
        <f t="shared" si="93"/>
        <v>0</v>
      </c>
      <c r="N358" s="120">
        <f t="shared" si="93"/>
        <v>0</v>
      </c>
      <c r="O358" s="120">
        <f t="shared" si="93"/>
        <v>258605.78000000003</v>
      </c>
      <c r="P358" s="120">
        <f t="shared" si="93"/>
        <v>0</v>
      </c>
      <c r="Q358" s="245">
        <f t="shared" si="93"/>
        <v>258605.78000000003</v>
      </c>
    </row>
    <row r="359" spans="1:17" ht="12.75">
      <c r="A359" s="37" t="s">
        <v>26</v>
      </c>
      <c r="B359" s="98"/>
      <c r="C359" s="145"/>
      <c r="D359" s="114"/>
      <c r="E359" s="160"/>
      <c r="F359" s="189"/>
      <c r="G359" s="87"/>
      <c r="H359" s="7"/>
      <c r="I359" s="73"/>
      <c r="J359" s="28"/>
      <c r="K359" s="7"/>
      <c r="L359" s="73"/>
      <c r="M359" s="22"/>
      <c r="N359" s="7"/>
      <c r="O359" s="23"/>
      <c r="P359" s="81"/>
      <c r="Q359" s="79"/>
    </row>
    <row r="360" spans="1:17" ht="12.75">
      <c r="A360" s="273" t="s">
        <v>95</v>
      </c>
      <c r="B360" s="274"/>
      <c r="C360" s="173">
        <v>190000</v>
      </c>
      <c r="D360" s="122">
        <f>35000</f>
        <v>35000</v>
      </c>
      <c r="E360" s="261"/>
      <c r="F360" s="193">
        <f aca="true" t="shared" si="94" ref="F360:F379">C360+D360+E360</f>
        <v>225000</v>
      </c>
      <c r="G360" s="87"/>
      <c r="H360" s="7"/>
      <c r="I360" s="73">
        <f>F360+G360+H360</f>
        <v>225000</v>
      </c>
      <c r="J360" s="28"/>
      <c r="K360" s="7"/>
      <c r="L360" s="73">
        <f>I360+J360+K360</f>
        <v>225000</v>
      </c>
      <c r="M360" s="22"/>
      <c r="N360" s="7"/>
      <c r="O360" s="23">
        <f>L360+M360+N360</f>
        <v>225000</v>
      </c>
      <c r="P360" s="81"/>
      <c r="Q360" s="79">
        <f>O360+P360</f>
        <v>225000</v>
      </c>
    </row>
    <row r="361" spans="1:17" ht="12.75" hidden="1">
      <c r="A361" s="99" t="s">
        <v>210</v>
      </c>
      <c r="B361" s="104"/>
      <c r="C361" s="145"/>
      <c r="D361" s="114"/>
      <c r="E361" s="160"/>
      <c r="F361" s="189">
        <f t="shared" si="94"/>
        <v>0</v>
      </c>
      <c r="G361" s="87"/>
      <c r="H361" s="7"/>
      <c r="I361" s="73"/>
      <c r="J361" s="28"/>
      <c r="K361" s="7"/>
      <c r="L361" s="73"/>
      <c r="M361" s="22"/>
      <c r="N361" s="7"/>
      <c r="O361" s="23"/>
      <c r="P361" s="81"/>
      <c r="Q361" s="79"/>
    </row>
    <row r="362" spans="1:17" ht="12.75" hidden="1">
      <c r="A362" s="35" t="s">
        <v>147</v>
      </c>
      <c r="B362" s="98"/>
      <c r="C362" s="145"/>
      <c r="D362" s="114"/>
      <c r="E362" s="160"/>
      <c r="F362" s="189">
        <f t="shared" si="94"/>
        <v>0</v>
      </c>
      <c r="G362" s="87"/>
      <c r="H362" s="7"/>
      <c r="I362" s="73">
        <f>F362+G362+H362</f>
        <v>0</v>
      </c>
      <c r="J362" s="28"/>
      <c r="K362" s="7"/>
      <c r="L362" s="73">
        <f>I362+J362+K362</f>
        <v>0</v>
      </c>
      <c r="M362" s="22"/>
      <c r="N362" s="7"/>
      <c r="O362" s="23">
        <f>L362+M362+N362</f>
        <v>0</v>
      </c>
      <c r="P362" s="81"/>
      <c r="Q362" s="79">
        <f>O362+P362</f>
        <v>0</v>
      </c>
    </row>
    <row r="363" spans="1:17" ht="12.75">
      <c r="A363" s="35" t="s">
        <v>164</v>
      </c>
      <c r="B363" s="98"/>
      <c r="C363" s="145">
        <v>50000</v>
      </c>
      <c r="D363" s="114">
        <f>5000+1847.46</f>
        <v>6847.46</v>
      </c>
      <c r="E363" s="160"/>
      <c r="F363" s="189">
        <f t="shared" si="94"/>
        <v>56847.46</v>
      </c>
      <c r="G363" s="87"/>
      <c r="H363" s="7"/>
      <c r="I363" s="73"/>
      <c r="J363" s="28"/>
      <c r="K363" s="7"/>
      <c r="L363" s="73"/>
      <c r="M363" s="22"/>
      <c r="N363" s="7"/>
      <c r="O363" s="23"/>
      <c r="P363" s="81"/>
      <c r="Q363" s="79"/>
    </row>
    <row r="364" spans="1:17" ht="12.75">
      <c r="A364" s="35" t="s">
        <v>51</v>
      </c>
      <c r="B364" s="98"/>
      <c r="C364" s="145">
        <v>10809.76</v>
      </c>
      <c r="D364" s="114">
        <f>47.41</f>
        <v>47.41</v>
      </c>
      <c r="E364" s="160"/>
      <c r="F364" s="189">
        <f t="shared" si="94"/>
        <v>10857.17</v>
      </c>
      <c r="G364" s="87"/>
      <c r="H364" s="7"/>
      <c r="I364" s="73">
        <f>F364+G364+H364</f>
        <v>10857.17</v>
      </c>
      <c r="J364" s="28"/>
      <c r="K364" s="7"/>
      <c r="L364" s="73">
        <f>I364+J364+K364</f>
        <v>10857.17</v>
      </c>
      <c r="M364" s="22"/>
      <c r="N364" s="7"/>
      <c r="O364" s="23">
        <f>L364+M364+N364</f>
        <v>10857.17</v>
      </c>
      <c r="P364" s="81"/>
      <c r="Q364" s="79">
        <f>O364+P364</f>
        <v>10857.17</v>
      </c>
    </row>
    <row r="365" spans="1:17" ht="12.75" hidden="1">
      <c r="A365" s="35" t="s">
        <v>65</v>
      </c>
      <c r="B365" s="98"/>
      <c r="C365" s="145"/>
      <c r="D365" s="114"/>
      <c r="E365" s="160"/>
      <c r="F365" s="189">
        <f t="shared" si="94"/>
        <v>0</v>
      </c>
      <c r="G365" s="87"/>
      <c r="H365" s="7"/>
      <c r="I365" s="73">
        <f>F365+G365+H365</f>
        <v>0</v>
      </c>
      <c r="J365" s="28"/>
      <c r="K365" s="7"/>
      <c r="L365" s="73">
        <f>I365+J365+K365</f>
        <v>0</v>
      </c>
      <c r="M365" s="22"/>
      <c r="N365" s="7"/>
      <c r="O365" s="23">
        <f>L365+M365+N365</f>
        <v>0</v>
      </c>
      <c r="P365" s="81"/>
      <c r="Q365" s="79">
        <f>O365+P365</f>
        <v>0</v>
      </c>
    </row>
    <row r="366" spans="1:17" ht="12.75" hidden="1">
      <c r="A366" s="35" t="s">
        <v>271</v>
      </c>
      <c r="B366" s="98">
        <v>13013</v>
      </c>
      <c r="C366" s="145"/>
      <c r="D366" s="114"/>
      <c r="E366" s="160"/>
      <c r="F366" s="189">
        <f t="shared" si="94"/>
        <v>0</v>
      </c>
      <c r="G366" s="87"/>
      <c r="H366" s="7"/>
      <c r="I366" s="73"/>
      <c r="J366" s="28"/>
      <c r="K366" s="7"/>
      <c r="L366" s="73"/>
      <c r="M366" s="22"/>
      <c r="N366" s="7"/>
      <c r="O366" s="23"/>
      <c r="P366" s="81"/>
      <c r="Q366" s="79"/>
    </row>
    <row r="367" spans="1:17" ht="12.75" hidden="1">
      <c r="A367" s="99" t="s">
        <v>310</v>
      </c>
      <c r="B367" s="98">
        <v>2043</v>
      </c>
      <c r="C367" s="145"/>
      <c r="D367" s="114"/>
      <c r="E367" s="160"/>
      <c r="F367" s="189">
        <f t="shared" si="94"/>
        <v>0</v>
      </c>
      <c r="G367" s="87"/>
      <c r="H367" s="7"/>
      <c r="I367" s="73"/>
      <c r="J367" s="28"/>
      <c r="K367" s="7"/>
      <c r="L367" s="73"/>
      <c r="M367" s="22"/>
      <c r="N367" s="7"/>
      <c r="O367" s="23"/>
      <c r="P367" s="81"/>
      <c r="Q367" s="79"/>
    </row>
    <row r="368" spans="1:17" ht="12.75">
      <c r="A368" s="99" t="s">
        <v>325</v>
      </c>
      <c r="B368" s="98">
        <v>2177</v>
      </c>
      <c r="C368" s="145"/>
      <c r="D368" s="114">
        <f>1910.11</f>
        <v>1910.11</v>
      </c>
      <c r="E368" s="160"/>
      <c r="F368" s="189">
        <f t="shared" si="94"/>
        <v>1910.11</v>
      </c>
      <c r="G368" s="87"/>
      <c r="H368" s="7"/>
      <c r="I368" s="73"/>
      <c r="J368" s="28"/>
      <c r="K368" s="7"/>
      <c r="L368" s="73"/>
      <c r="M368" s="22"/>
      <c r="N368" s="7"/>
      <c r="O368" s="23"/>
      <c r="P368" s="81"/>
      <c r="Q368" s="79"/>
    </row>
    <row r="369" spans="1:17" ht="12.75">
      <c r="A369" s="35" t="s">
        <v>308</v>
      </c>
      <c r="B369" s="98">
        <v>2050</v>
      </c>
      <c r="C369" s="145"/>
      <c r="D369" s="114">
        <f>3899.66</f>
        <v>3899.66</v>
      </c>
      <c r="E369" s="160"/>
      <c r="F369" s="189">
        <f t="shared" si="94"/>
        <v>3899.66</v>
      </c>
      <c r="G369" s="87"/>
      <c r="H369" s="7"/>
      <c r="I369" s="73"/>
      <c r="J369" s="28"/>
      <c r="K369" s="7"/>
      <c r="L369" s="73"/>
      <c r="M369" s="22"/>
      <c r="N369" s="7"/>
      <c r="O369" s="23"/>
      <c r="P369" s="81"/>
      <c r="Q369" s="79"/>
    </row>
    <row r="370" spans="1:17" ht="12.75" hidden="1">
      <c r="A370" s="35" t="s">
        <v>243</v>
      </c>
      <c r="B370" s="98">
        <v>2050</v>
      </c>
      <c r="C370" s="145"/>
      <c r="D370" s="114"/>
      <c r="E370" s="160"/>
      <c r="F370" s="189">
        <f t="shared" si="94"/>
        <v>0</v>
      </c>
      <c r="G370" s="87"/>
      <c r="H370" s="7"/>
      <c r="I370" s="73"/>
      <c r="J370" s="28"/>
      <c r="K370" s="7"/>
      <c r="L370" s="73"/>
      <c r="M370" s="22"/>
      <c r="N370" s="7"/>
      <c r="O370" s="23"/>
      <c r="P370" s="81"/>
      <c r="Q370" s="79"/>
    </row>
    <row r="371" spans="1:17" ht="12.75">
      <c r="A371" s="35" t="s">
        <v>309</v>
      </c>
      <c r="B371" s="98">
        <v>2073</v>
      </c>
      <c r="C371" s="145"/>
      <c r="D371" s="114">
        <f>13080.16</f>
        <v>13080.16</v>
      </c>
      <c r="E371" s="160"/>
      <c r="F371" s="189">
        <f t="shared" si="94"/>
        <v>13080.16</v>
      </c>
      <c r="G371" s="87"/>
      <c r="H371" s="7"/>
      <c r="I371" s="73"/>
      <c r="J371" s="28"/>
      <c r="K371" s="7"/>
      <c r="L371" s="73"/>
      <c r="M371" s="22"/>
      <c r="N371" s="7"/>
      <c r="O371" s="23"/>
      <c r="P371" s="81"/>
      <c r="Q371" s="79"/>
    </row>
    <row r="372" spans="1:17" ht="12.75">
      <c r="A372" s="35" t="s">
        <v>327</v>
      </c>
      <c r="B372" s="98">
        <v>1230</v>
      </c>
      <c r="C372" s="145"/>
      <c r="D372" s="114">
        <f>76480</f>
        <v>76480</v>
      </c>
      <c r="E372" s="160"/>
      <c r="F372" s="189">
        <f t="shared" si="94"/>
        <v>76480</v>
      </c>
      <c r="G372" s="87"/>
      <c r="H372" s="7"/>
      <c r="I372" s="73"/>
      <c r="J372" s="28"/>
      <c r="K372" s="7"/>
      <c r="L372" s="73"/>
      <c r="M372" s="22"/>
      <c r="N372" s="7"/>
      <c r="O372" s="23"/>
      <c r="P372" s="81"/>
      <c r="Q372" s="79"/>
    </row>
    <row r="373" spans="1:17" ht="12.75">
      <c r="A373" s="35" t="s">
        <v>326</v>
      </c>
      <c r="B373" s="98">
        <v>2080</v>
      </c>
      <c r="C373" s="145"/>
      <c r="D373" s="114">
        <f>6437.87</f>
        <v>6437.87</v>
      </c>
      <c r="E373" s="160"/>
      <c r="F373" s="189">
        <f t="shared" si="94"/>
        <v>6437.87</v>
      </c>
      <c r="G373" s="87"/>
      <c r="H373" s="7"/>
      <c r="I373" s="73"/>
      <c r="J373" s="28"/>
      <c r="K373" s="7"/>
      <c r="L373" s="73"/>
      <c r="M373" s="22"/>
      <c r="N373" s="7"/>
      <c r="O373" s="23"/>
      <c r="P373" s="81"/>
      <c r="Q373" s="79"/>
    </row>
    <row r="374" spans="1:17" ht="12.75">
      <c r="A374" s="44" t="s">
        <v>205</v>
      </c>
      <c r="B374" s="98">
        <v>13305</v>
      </c>
      <c r="C374" s="145"/>
      <c r="D374" s="114">
        <f>960818.68</f>
        <v>960818.68</v>
      </c>
      <c r="E374" s="160"/>
      <c r="F374" s="189">
        <f t="shared" si="94"/>
        <v>960818.68</v>
      </c>
      <c r="G374" s="87"/>
      <c r="H374" s="7"/>
      <c r="I374" s="73"/>
      <c r="J374" s="28"/>
      <c r="K374" s="7"/>
      <c r="L374" s="73"/>
      <c r="M374" s="22"/>
      <c r="N374" s="7"/>
      <c r="O374" s="23"/>
      <c r="P374" s="81"/>
      <c r="Q374" s="79"/>
    </row>
    <row r="375" spans="1:17" ht="12.75">
      <c r="A375" s="35" t="s">
        <v>96</v>
      </c>
      <c r="B375" s="98">
        <v>13307</v>
      </c>
      <c r="C375" s="145"/>
      <c r="D375" s="114">
        <f>7000</f>
        <v>7000</v>
      </c>
      <c r="E375" s="160"/>
      <c r="F375" s="189">
        <f t="shared" si="94"/>
        <v>7000</v>
      </c>
      <c r="G375" s="87"/>
      <c r="H375" s="7"/>
      <c r="I375" s="73">
        <f>F375+G375+H375</f>
        <v>7000</v>
      </c>
      <c r="J375" s="28"/>
      <c r="K375" s="7"/>
      <c r="L375" s="73">
        <f>I375+J375+K375</f>
        <v>7000</v>
      </c>
      <c r="M375" s="22"/>
      <c r="N375" s="7"/>
      <c r="O375" s="23">
        <f>L375+M375+N375</f>
        <v>7000</v>
      </c>
      <c r="P375" s="81"/>
      <c r="Q375" s="79">
        <f>O375+P375</f>
        <v>7000</v>
      </c>
    </row>
    <row r="376" spans="1:17" ht="12.75" hidden="1">
      <c r="A376" s="35" t="s">
        <v>146</v>
      </c>
      <c r="B376" s="98">
        <v>14032</v>
      </c>
      <c r="C376" s="145"/>
      <c r="D376" s="114"/>
      <c r="E376" s="160"/>
      <c r="F376" s="189">
        <f t="shared" si="94"/>
        <v>0</v>
      </c>
      <c r="G376" s="87"/>
      <c r="H376" s="7"/>
      <c r="I376" s="73">
        <f>F376+G376+H376</f>
        <v>0</v>
      </c>
      <c r="J376" s="28"/>
      <c r="K376" s="7"/>
      <c r="L376" s="73">
        <f>I376+J376+K376</f>
        <v>0</v>
      </c>
      <c r="M376" s="22"/>
      <c r="N376" s="7"/>
      <c r="O376" s="23">
        <f>L376+M376+N376</f>
        <v>0</v>
      </c>
      <c r="P376" s="81"/>
      <c r="Q376" s="79">
        <f>O376+P376</f>
        <v>0</v>
      </c>
    </row>
    <row r="377" spans="1:17" ht="12.75" hidden="1">
      <c r="A377" s="44" t="s">
        <v>153</v>
      </c>
      <c r="B377" s="98">
        <v>4359</v>
      </c>
      <c r="C377" s="145"/>
      <c r="D377" s="114"/>
      <c r="E377" s="160"/>
      <c r="F377" s="189">
        <f t="shared" si="94"/>
        <v>0</v>
      </c>
      <c r="G377" s="87"/>
      <c r="H377" s="7"/>
      <c r="I377" s="73">
        <f>F377+G377+H377</f>
        <v>0</v>
      </c>
      <c r="J377" s="28"/>
      <c r="K377" s="7"/>
      <c r="L377" s="73">
        <f>I377+J377+K377</f>
        <v>0</v>
      </c>
      <c r="M377" s="22"/>
      <c r="N377" s="7"/>
      <c r="O377" s="23">
        <f>L377+M377+N377</f>
        <v>0</v>
      </c>
      <c r="P377" s="81"/>
      <c r="Q377" s="79">
        <f>O377+P377</f>
        <v>0</v>
      </c>
    </row>
    <row r="378" spans="1:17" ht="12.75">
      <c r="A378" s="99" t="s">
        <v>335</v>
      </c>
      <c r="B378" s="98"/>
      <c r="C378" s="145"/>
      <c r="D378" s="114">
        <f>1075.62</f>
        <v>1075.62</v>
      </c>
      <c r="E378" s="160"/>
      <c r="F378" s="189">
        <f t="shared" si="94"/>
        <v>1075.62</v>
      </c>
      <c r="G378" s="87"/>
      <c r="H378" s="7"/>
      <c r="I378" s="73"/>
      <c r="J378" s="28"/>
      <c r="K378" s="7"/>
      <c r="L378" s="73"/>
      <c r="M378" s="22"/>
      <c r="N378" s="7"/>
      <c r="O378" s="23"/>
      <c r="P378" s="81"/>
      <c r="Q378" s="79"/>
    </row>
    <row r="379" spans="1:17" ht="12.75">
      <c r="A379" s="38" t="s">
        <v>77</v>
      </c>
      <c r="B379" s="101"/>
      <c r="C379" s="173">
        <v>500</v>
      </c>
      <c r="D379" s="122">
        <f>6743.14+1048.53+269.31+1018.04+3110.79+1558.8+1500</f>
        <v>15248.61</v>
      </c>
      <c r="E379" s="261"/>
      <c r="F379" s="193">
        <f t="shared" si="94"/>
        <v>15748.61</v>
      </c>
      <c r="G379" s="87"/>
      <c r="H379" s="7"/>
      <c r="I379" s="73">
        <f>F379+G379+H379</f>
        <v>15748.61</v>
      </c>
      <c r="J379" s="28"/>
      <c r="K379" s="7"/>
      <c r="L379" s="73">
        <f>I379+J379+K379</f>
        <v>15748.61</v>
      </c>
      <c r="M379" s="22"/>
      <c r="N379" s="7"/>
      <c r="O379" s="23">
        <f>L379+M379+N379</f>
        <v>15748.61</v>
      </c>
      <c r="P379" s="81"/>
      <c r="Q379" s="79">
        <f>O379+P379</f>
        <v>15748.61</v>
      </c>
    </row>
    <row r="380" spans="1:17" ht="12.75" hidden="1">
      <c r="A380" s="41" t="s">
        <v>54</v>
      </c>
      <c r="B380" s="102"/>
      <c r="C380" s="172">
        <f>SUM(C382:C384)</f>
        <v>0</v>
      </c>
      <c r="D380" s="121">
        <f aca="true" t="shared" si="95" ref="D380:Q380">SUM(D382:D384)</f>
        <v>0</v>
      </c>
      <c r="E380" s="163">
        <f t="shared" si="95"/>
        <v>0</v>
      </c>
      <c r="F380" s="192">
        <f t="shared" si="95"/>
        <v>0</v>
      </c>
      <c r="G380" s="210">
        <f t="shared" si="95"/>
        <v>0</v>
      </c>
      <c r="H380" s="121">
        <f t="shared" si="95"/>
        <v>0</v>
      </c>
      <c r="I380" s="163">
        <f t="shared" si="95"/>
        <v>0</v>
      </c>
      <c r="J380" s="172">
        <f t="shared" si="95"/>
        <v>0</v>
      </c>
      <c r="K380" s="121">
        <f t="shared" si="95"/>
        <v>0</v>
      </c>
      <c r="L380" s="163">
        <f t="shared" si="95"/>
        <v>0</v>
      </c>
      <c r="M380" s="120">
        <f t="shared" si="95"/>
        <v>0</v>
      </c>
      <c r="N380" s="120">
        <f t="shared" si="95"/>
        <v>0</v>
      </c>
      <c r="O380" s="120">
        <f t="shared" si="95"/>
        <v>0</v>
      </c>
      <c r="P380" s="120">
        <f t="shared" si="95"/>
        <v>0</v>
      </c>
      <c r="Q380" s="245">
        <f t="shared" si="95"/>
        <v>0</v>
      </c>
    </row>
    <row r="381" spans="1:17" ht="12.75" hidden="1">
      <c r="A381" s="37" t="s">
        <v>26</v>
      </c>
      <c r="B381" s="98"/>
      <c r="C381" s="145"/>
      <c r="D381" s="114"/>
      <c r="E381" s="160"/>
      <c r="F381" s="189"/>
      <c r="G381" s="87"/>
      <c r="H381" s="7"/>
      <c r="I381" s="73"/>
      <c r="J381" s="28"/>
      <c r="K381" s="7"/>
      <c r="L381" s="73"/>
      <c r="M381" s="22"/>
      <c r="N381" s="7"/>
      <c r="O381" s="23"/>
      <c r="P381" s="81"/>
      <c r="Q381" s="79"/>
    </row>
    <row r="382" spans="1:17" ht="12.75" hidden="1">
      <c r="A382" s="35" t="s">
        <v>87</v>
      </c>
      <c r="B382" s="98"/>
      <c r="C382" s="145"/>
      <c r="D382" s="114"/>
      <c r="E382" s="160"/>
      <c r="F382" s="189">
        <f>C382+D382+E382</f>
        <v>0</v>
      </c>
      <c r="G382" s="87"/>
      <c r="H382" s="7"/>
      <c r="I382" s="73">
        <f>F382+G382+H382</f>
        <v>0</v>
      </c>
      <c r="J382" s="28"/>
      <c r="K382" s="7"/>
      <c r="L382" s="73">
        <f>I382+J382+K382</f>
        <v>0</v>
      </c>
      <c r="M382" s="22"/>
      <c r="N382" s="7"/>
      <c r="O382" s="23">
        <f>L382+M382+N382</f>
        <v>0</v>
      </c>
      <c r="P382" s="81"/>
      <c r="Q382" s="79">
        <f>O382+P382</f>
        <v>0</v>
      </c>
    </row>
    <row r="383" spans="1:17" ht="12.75" hidden="1">
      <c r="A383" s="35" t="s">
        <v>55</v>
      </c>
      <c r="B383" s="98"/>
      <c r="C383" s="145"/>
      <c r="D383" s="114"/>
      <c r="E383" s="160"/>
      <c r="F383" s="189">
        <f>C383+D383+E383</f>
        <v>0</v>
      </c>
      <c r="G383" s="87"/>
      <c r="H383" s="7"/>
      <c r="I383" s="73"/>
      <c r="J383" s="28"/>
      <c r="K383" s="7"/>
      <c r="L383" s="73">
        <f>I383+J383+K383</f>
        <v>0</v>
      </c>
      <c r="M383" s="22"/>
      <c r="N383" s="7"/>
      <c r="O383" s="23">
        <f>L383+M383+N383</f>
        <v>0</v>
      </c>
      <c r="P383" s="81"/>
      <c r="Q383" s="79">
        <f>O383+P383</f>
        <v>0</v>
      </c>
    </row>
    <row r="384" spans="1:17" ht="13.5" hidden="1" thickBot="1">
      <c r="A384" s="234" t="s">
        <v>77</v>
      </c>
      <c r="B384" s="143"/>
      <c r="C384" s="175"/>
      <c r="D384" s="144"/>
      <c r="E384" s="262"/>
      <c r="F384" s="195">
        <f>C384+D384+E384</f>
        <v>0</v>
      </c>
      <c r="G384" s="87"/>
      <c r="H384" s="7"/>
      <c r="I384" s="73">
        <f>F384+G384+H384</f>
        <v>0</v>
      </c>
      <c r="J384" s="28"/>
      <c r="K384" s="7"/>
      <c r="L384" s="73">
        <f>I384+J384+K384</f>
        <v>0</v>
      </c>
      <c r="M384" s="22"/>
      <c r="N384" s="7"/>
      <c r="O384" s="23">
        <f>L384+M384+N384</f>
        <v>0</v>
      </c>
      <c r="P384" s="81"/>
      <c r="Q384" s="79">
        <f>O384+P384</f>
        <v>0</v>
      </c>
    </row>
    <row r="385" spans="1:17" ht="12.75">
      <c r="A385" s="36" t="s">
        <v>182</v>
      </c>
      <c r="B385" s="102"/>
      <c r="C385" s="152">
        <f>C386+C399</f>
        <v>10486.07</v>
      </c>
      <c r="D385" s="113">
        <f aca="true" t="shared" si="96" ref="D385:Q385">D386+D399</f>
        <v>18845.8</v>
      </c>
      <c r="E385" s="136">
        <f t="shared" si="96"/>
        <v>0</v>
      </c>
      <c r="F385" s="167">
        <f t="shared" si="96"/>
        <v>29331.87</v>
      </c>
      <c r="G385" s="153">
        <f t="shared" si="96"/>
        <v>0</v>
      </c>
      <c r="H385" s="113">
        <f t="shared" si="96"/>
        <v>0</v>
      </c>
      <c r="I385" s="136">
        <f t="shared" si="96"/>
        <v>26411.87</v>
      </c>
      <c r="J385" s="152">
        <f t="shared" si="96"/>
        <v>0</v>
      </c>
      <c r="K385" s="113">
        <f t="shared" si="96"/>
        <v>0</v>
      </c>
      <c r="L385" s="136">
        <f t="shared" si="96"/>
        <v>26411.87</v>
      </c>
      <c r="M385" s="112">
        <f t="shared" si="96"/>
        <v>0</v>
      </c>
      <c r="N385" s="112">
        <f t="shared" si="96"/>
        <v>0</v>
      </c>
      <c r="O385" s="112">
        <f t="shared" si="96"/>
        <v>26411.87</v>
      </c>
      <c r="P385" s="112">
        <f t="shared" si="96"/>
        <v>0</v>
      </c>
      <c r="Q385" s="240">
        <f t="shared" si="96"/>
        <v>26411.87</v>
      </c>
    </row>
    <row r="386" spans="1:17" ht="12.75">
      <c r="A386" s="41" t="s">
        <v>49</v>
      </c>
      <c r="B386" s="102"/>
      <c r="C386" s="172">
        <f>SUM(C388:C398)</f>
        <v>8486.07</v>
      </c>
      <c r="D386" s="121">
        <f aca="true" t="shared" si="97" ref="D386:Q386">SUM(D388:D398)</f>
        <v>18845.8</v>
      </c>
      <c r="E386" s="163">
        <f t="shared" si="97"/>
        <v>0</v>
      </c>
      <c r="F386" s="192">
        <f t="shared" si="97"/>
        <v>27331.87</v>
      </c>
      <c r="G386" s="210">
        <f t="shared" si="97"/>
        <v>0</v>
      </c>
      <c r="H386" s="121">
        <f t="shared" si="97"/>
        <v>0</v>
      </c>
      <c r="I386" s="163">
        <f t="shared" si="97"/>
        <v>24411.87</v>
      </c>
      <c r="J386" s="172">
        <f t="shared" si="97"/>
        <v>0</v>
      </c>
      <c r="K386" s="121">
        <f t="shared" si="97"/>
        <v>0</v>
      </c>
      <c r="L386" s="163">
        <f t="shared" si="97"/>
        <v>24411.87</v>
      </c>
      <c r="M386" s="120">
        <f t="shared" si="97"/>
        <v>0</v>
      </c>
      <c r="N386" s="120">
        <f t="shared" si="97"/>
        <v>0</v>
      </c>
      <c r="O386" s="120">
        <f t="shared" si="97"/>
        <v>24411.87</v>
      </c>
      <c r="P386" s="120">
        <f t="shared" si="97"/>
        <v>0</v>
      </c>
      <c r="Q386" s="245">
        <f t="shared" si="97"/>
        <v>24411.87</v>
      </c>
    </row>
    <row r="387" spans="1:17" ht="12.75">
      <c r="A387" s="37" t="s">
        <v>26</v>
      </c>
      <c r="B387" s="98"/>
      <c r="C387" s="145"/>
      <c r="D387" s="114"/>
      <c r="E387" s="160"/>
      <c r="F387" s="167"/>
      <c r="G387" s="87"/>
      <c r="H387" s="7"/>
      <c r="I387" s="69"/>
      <c r="J387" s="28"/>
      <c r="K387" s="7"/>
      <c r="L387" s="69"/>
      <c r="M387" s="22"/>
      <c r="N387" s="7"/>
      <c r="O387" s="21"/>
      <c r="P387" s="81"/>
      <c r="Q387" s="79"/>
    </row>
    <row r="388" spans="1:17" ht="12.75">
      <c r="A388" s="35" t="s">
        <v>51</v>
      </c>
      <c r="B388" s="98"/>
      <c r="C388" s="145">
        <v>8486.07</v>
      </c>
      <c r="D388" s="114">
        <f>3643+9200</f>
        <v>12843</v>
      </c>
      <c r="E388" s="160"/>
      <c r="F388" s="189">
        <f aca="true" t="shared" si="98" ref="F388:F398">C388+D388+E388</f>
        <v>21329.07</v>
      </c>
      <c r="G388" s="87"/>
      <c r="H388" s="7"/>
      <c r="I388" s="73">
        <f>F388+G388+H388</f>
        <v>21329.07</v>
      </c>
      <c r="J388" s="28"/>
      <c r="K388" s="7"/>
      <c r="L388" s="73">
        <f>I388+J388+K388</f>
        <v>21329.07</v>
      </c>
      <c r="M388" s="22"/>
      <c r="N388" s="7"/>
      <c r="O388" s="23">
        <f>L388+M388+N388</f>
        <v>21329.07</v>
      </c>
      <c r="P388" s="81"/>
      <c r="Q388" s="79">
        <f>O388+P388</f>
        <v>21329.07</v>
      </c>
    </row>
    <row r="389" spans="1:17" ht="12.75" hidden="1">
      <c r="A389" s="39" t="s">
        <v>207</v>
      </c>
      <c r="B389" s="98"/>
      <c r="C389" s="145"/>
      <c r="D389" s="114"/>
      <c r="E389" s="160"/>
      <c r="F389" s="189">
        <f t="shared" si="98"/>
        <v>0</v>
      </c>
      <c r="G389" s="87"/>
      <c r="H389" s="7"/>
      <c r="I389" s="73">
        <f aca="true" t="shared" si="99" ref="I389:I394">F389+G389+H389</f>
        <v>0</v>
      </c>
      <c r="J389" s="28"/>
      <c r="K389" s="7"/>
      <c r="L389" s="73">
        <f aca="true" t="shared" si="100" ref="L389:L394">I389+J389+K389</f>
        <v>0</v>
      </c>
      <c r="M389" s="22"/>
      <c r="N389" s="7"/>
      <c r="O389" s="23">
        <f aca="true" t="shared" si="101" ref="O389:O394">L389+M389+N389</f>
        <v>0</v>
      </c>
      <c r="P389" s="81"/>
      <c r="Q389" s="79">
        <f>O389+P389</f>
        <v>0</v>
      </c>
    </row>
    <row r="390" spans="1:17" ht="12.75" hidden="1">
      <c r="A390" s="39" t="s">
        <v>208</v>
      </c>
      <c r="B390" s="98"/>
      <c r="C390" s="145"/>
      <c r="D390" s="114"/>
      <c r="E390" s="160"/>
      <c r="F390" s="189">
        <f t="shared" si="98"/>
        <v>0</v>
      </c>
      <c r="G390" s="87"/>
      <c r="H390" s="7"/>
      <c r="I390" s="73"/>
      <c r="J390" s="28"/>
      <c r="K390" s="7"/>
      <c r="L390" s="73"/>
      <c r="M390" s="22"/>
      <c r="N390" s="7"/>
      <c r="O390" s="23"/>
      <c r="P390" s="81"/>
      <c r="Q390" s="79"/>
    </row>
    <row r="391" spans="1:17" ht="12.75" hidden="1">
      <c r="A391" s="39" t="s">
        <v>211</v>
      </c>
      <c r="B391" s="98">
        <v>1400</v>
      </c>
      <c r="C391" s="145"/>
      <c r="D391" s="125"/>
      <c r="E391" s="160"/>
      <c r="F391" s="189">
        <f t="shared" si="98"/>
        <v>0</v>
      </c>
      <c r="G391" s="87"/>
      <c r="H391" s="7"/>
      <c r="I391" s="73"/>
      <c r="J391" s="28"/>
      <c r="K391" s="7"/>
      <c r="L391" s="73"/>
      <c r="M391" s="22"/>
      <c r="N391" s="7"/>
      <c r="O391" s="23"/>
      <c r="P391" s="81"/>
      <c r="Q391" s="79"/>
    </row>
    <row r="392" spans="1:17" ht="12.75">
      <c r="A392" s="35" t="s">
        <v>77</v>
      </c>
      <c r="B392" s="98"/>
      <c r="C392" s="145"/>
      <c r="D392" s="134">
        <f>400+2441.18+241.62</f>
        <v>3082.7999999999997</v>
      </c>
      <c r="E392" s="160"/>
      <c r="F392" s="189">
        <f t="shared" si="98"/>
        <v>3082.7999999999997</v>
      </c>
      <c r="G392" s="87"/>
      <c r="H392" s="7"/>
      <c r="I392" s="73">
        <f t="shared" si="99"/>
        <v>3082.7999999999997</v>
      </c>
      <c r="J392" s="28"/>
      <c r="K392" s="7"/>
      <c r="L392" s="73">
        <f t="shared" si="100"/>
        <v>3082.7999999999997</v>
      </c>
      <c r="M392" s="22"/>
      <c r="N392" s="7"/>
      <c r="O392" s="23">
        <f t="shared" si="101"/>
        <v>3082.7999999999997</v>
      </c>
      <c r="P392" s="81"/>
      <c r="Q392" s="79">
        <f>O392+P392</f>
        <v>3082.7999999999997</v>
      </c>
    </row>
    <row r="393" spans="1:17" ht="12.75" hidden="1">
      <c r="A393" s="35" t="s">
        <v>65</v>
      </c>
      <c r="B393" s="98"/>
      <c r="C393" s="145"/>
      <c r="D393" s="114"/>
      <c r="E393" s="160"/>
      <c r="F393" s="189">
        <f t="shared" si="98"/>
        <v>0</v>
      </c>
      <c r="G393" s="87"/>
      <c r="H393" s="7"/>
      <c r="I393" s="73">
        <f t="shared" si="99"/>
        <v>0</v>
      </c>
      <c r="J393" s="225"/>
      <c r="K393" s="7"/>
      <c r="L393" s="73">
        <f t="shared" si="100"/>
        <v>0</v>
      </c>
      <c r="M393" s="22"/>
      <c r="N393" s="7"/>
      <c r="O393" s="23">
        <f t="shared" si="101"/>
        <v>0</v>
      </c>
      <c r="P393" s="81"/>
      <c r="Q393" s="79">
        <f>O393+P393</f>
        <v>0</v>
      </c>
    </row>
    <row r="394" spans="1:17" ht="12.75" hidden="1">
      <c r="A394" s="35" t="s">
        <v>160</v>
      </c>
      <c r="B394" s="98"/>
      <c r="C394" s="145"/>
      <c r="D394" s="114"/>
      <c r="E394" s="160"/>
      <c r="F394" s="189">
        <f t="shared" si="98"/>
        <v>0</v>
      </c>
      <c r="G394" s="87"/>
      <c r="H394" s="7"/>
      <c r="I394" s="73">
        <f t="shared" si="99"/>
        <v>0</v>
      </c>
      <c r="J394" s="225"/>
      <c r="K394" s="7"/>
      <c r="L394" s="73">
        <f t="shared" si="100"/>
        <v>0</v>
      </c>
      <c r="M394" s="22"/>
      <c r="N394" s="7"/>
      <c r="O394" s="23">
        <f t="shared" si="101"/>
        <v>0</v>
      </c>
      <c r="P394" s="81"/>
      <c r="Q394" s="79">
        <f>O394+P394</f>
        <v>0</v>
      </c>
    </row>
    <row r="395" spans="1:17" ht="12.75">
      <c r="A395" s="35" t="s">
        <v>316</v>
      </c>
      <c r="B395" s="98">
        <v>14034</v>
      </c>
      <c r="C395" s="145"/>
      <c r="D395" s="114">
        <f>1645+1275</f>
        <v>2920</v>
      </c>
      <c r="E395" s="160"/>
      <c r="F395" s="189">
        <f t="shared" si="98"/>
        <v>2920</v>
      </c>
      <c r="G395" s="87"/>
      <c r="H395" s="7"/>
      <c r="I395" s="73"/>
      <c r="J395" s="225"/>
      <c r="K395" s="7"/>
      <c r="L395" s="73"/>
      <c r="M395" s="22"/>
      <c r="N395" s="7"/>
      <c r="O395" s="23"/>
      <c r="P395" s="81"/>
      <c r="Q395" s="79"/>
    </row>
    <row r="396" spans="1:17" ht="12.75" hidden="1">
      <c r="A396" s="35" t="s">
        <v>260</v>
      </c>
      <c r="B396" s="98">
        <v>98035</v>
      </c>
      <c r="C396" s="145"/>
      <c r="D396" s="114"/>
      <c r="E396" s="160"/>
      <c r="F396" s="189">
        <f t="shared" si="98"/>
        <v>0</v>
      </c>
      <c r="G396" s="87"/>
      <c r="H396" s="7"/>
      <c r="I396" s="73"/>
      <c r="J396" s="225"/>
      <c r="K396" s="7"/>
      <c r="L396" s="73"/>
      <c r="M396" s="22"/>
      <c r="N396" s="7"/>
      <c r="O396" s="23"/>
      <c r="P396" s="81"/>
      <c r="Q396" s="79"/>
    </row>
    <row r="397" spans="1:17" ht="12.75" hidden="1">
      <c r="A397" s="35" t="s">
        <v>237</v>
      </c>
      <c r="B397" s="159" t="s">
        <v>238</v>
      </c>
      <c r="C397" s="145"/>
      <c r="D397" s="114"/>
      <c r="E397" s="160"/>
      <c r="F397" s="189">
        <f t="shared" si="98"/>
        <v>0</v>
      </c>
      <c r="G397" s="87"/>
      <c r="H397" s="7"/>
      <c r="I397" s="73"/>
      <c r="J397" s="225"/>
      <c r="K397" s="7"/>
      <c r="L397" s="73"/>
      <c r="M397" s="22"/>
      <c r="N397" s="7"/>
      <c r="O397" s="23"/>
      <c r="P397" s="81"/>
      <c r="Q397" s="79"/>
    </row>
    <row r="398" spans="1:17" ht="12.75" hidden="1">
      <c r="A398" s="35" t="s">
        <v>236</v>
      </c>
      <c r="B398" s="98">
        <v>33064</v>
      </c>
      <c r="C398" s="145"/>
      <c r="D398" s="114"/>
      <c r="E398" s="160"/>
      <c r="F398" s="189">
        <f t="shared" si="98"/>
        <v>0</v>
      </c>
      <c r="G398" s="87"/>
      <c r="H398" s="7"/>
      <c r="I398" s="73"/>
      <c r="J398" s="225"/>
      <c r="K398" s="7"/>
      <c r="L398" s="73"/>
      <c r="M398" s="22"/>
      <c r="N398" s="7"/>
      <c r="O398" s="23"/>
      <c r="P398" s="81"/>
      <c r="Q398" s="79"/>
    </row>
    <row r="399" spans="1:17" ht="12.75">
      <c r="A399" s="41" t="s">
        <v>54</v>
      </c>
      <c r="B399" s="102"/>
      <c r="C399" s="172">
        <f>SUM(C401:C407)</f>
        <v>2000</v>
      </c>
      <c r="D399" s="121">
        <f aca="true" t="shared" si="102" ref="D399:Q399">SUM(D401:D407)</f>
        <v>0</v>
      </c>
      <c r="E399" s="163">
        <f t="shared" si="102"/>
        <v>0</v>
      </c>
      <c r="F399" s="192">
        <f t="shared" si="102"/>
        <v>2000</v>
      </c>
      <c r="G399" s="210">
        <f t="shared" si="102"/>
        <v>0</v>
      </c>
      <c r="H399" s="121">
        <f t="shared" si="102"/>
        <v>0</v>
      </c>
      <c r="I399" s="163">
        <f t="shared" si="102"/>
        <v>2000</v>
      </c>
      <c r="J399" s="172">
        <f t="shared" si="102"/>
        <v>0</v>
      </c>
      <c r="K399" s="121">
        <f t="shared" si="102"/>
        <v>0</v>
      </c>
      <c r="L399" s="163">
        <f t="shared" si="102"/>
        <v>2000</v>
      </c>
      <c r="M399" s="120">
        <f t="shared" si="102"/>
        <v>0</v>
      </c>
      <c r="N399" s="120">
        <f t="shared" si="102"/>
        <v>0</v>
      </c>
      <c r="O399" s="120">
        <f t="shared" si="102"/>
        <v>2000</v>
      </c>
      <c r="P399" s="120">
        <f t="shared" si="102"/>
        <v>0</v>
      </c>
      <c r="Q399" s="245">
        <f t="shared" si="102"/>
        <v>2000</v>
      </c>
    </row>
    <row r="400" spans="1:17" ht="12.75">
      <c r="A400" s="37" t="s">
        <v>26</v>
      </c>
      <c r="B400" s="98"/>
      <c r="C400" s="145"/>
      <c r="D400" s="114"/>
      <c r="E400" s="160"/>
      <c r="F400" s="189"/>
      <c r="G400" s="87"/>
      <c r="H400" s="7"/>
      <c r="I400" s="73"/>
      <c r="J400" s="28"/>
      <c r="K400" s="7"/>
      <c r="L400" s="73"/>
      <c r="M400" s="22"/>
      <c r="N400" s="7"/>
      <c r="O400" s="23"/>
      <c r="P400" s="81"/>
      <c r="Q400" s="79"/>
    </row>
    <row r="401" spans="1:17" ht="12.75">
      <c r="A401" s="39" t="s">
        <v>69</v>
      </c>
      <c r="B401" s="98"/>
      <c r="C401" s="145"/>
      <c r="D401" s="114">
        <f>2000</f>
        <v>2000</v>
      </c>
      <c r="E401" s="160"/>
      <c r="F401" s="189">
        <f aca="true" t="shared" si="103" ref="F401:F407">C401+D401+E401</f>
        <v>2000</v>
      </c>
      <c r="G401" s="87"/>
      <c r="H401" s="7"/>
      <c r="I401" s="73">
        <f>F401+G401+H401</f>
        <v>2000</v>
      </c>
      <c r="J401" s="28"/>
      <c r="K401" s="7"/>
      <c r="L401" s="73">
        <f>I401+J401+K401</f>
        <v>2000</v>
      </c>
      <c r="M401" s="22"/>
      <c r="N401" s="7"/>
      <c r="O401" s="23">
        <f>L401+M401+N401</f>
        <v>2000</v>
      </c>
      <c r="P401" s="81"/>
      <c r="Q401" s="79">
        <f>O401+P401</f>
        <v>2000</v>
      </c>
    </row>
    <row r="402" spans="1:17" ht="12.75" hidden="1">
      <c r="A402" s="39" t="s">
        <v>193</v>
      </c>
      <c r="B402" s="98"/>
      <c r="C402" s="145"/>
      <c r="D402" s="114"/>
      <c r="E402" s="160"/>
      <c r="F402" s="189">
        <f t="shared" si="103"/>
        <v>0</v>
      </c>
      <c r="G402" s="87"/>
      <c r="H402" s="7"/>
      <c r="I402" s="73"/>
      <c r="J402" s="28"/>
      <c r="K402" s="7"/>
      <c r="L402" s="73"/>
      <c r="M402" s="22"/>
      <c r="N402" s="7"/>
      <c r="O402" s="23"/>
      <c r="P402" s="81"/>
      <c r="Q402" s="79"/>
    </row>
    <row r="403" spans="1:17" ht="12.75" hidden="1">
      <c r="A403" s="39" t="s">
        <v>194</v>
      </c>
      <c r="B403" s="98"/>
      <c r="C403" s="145"/>
      <c r="D403" s="114"/>
      <c r="E403" s="160"/>
      <c r="F403" s="189">
        <f t="shared" si="103"/>
        <v>0</v>
      </c>
      <c r="G403" s="87"/>
      <c r="H403" s="7"/>
      <c r="I403" s="73"/>
      <c r="J403" s="28"/>
      <c r="K403" s="7"/>
      <c r="L403" s="73"/>
      <c r="M403" s="22"/>
      <c r="N403" s="7"/>
      <c r="O403" s="23"/>
      <c r="P403" s="81"/>
      <c r="Q403" s="79"/>
    </row>
    <row r="404" spans="1:17" ht="12.75" hidden="1">
      <c r="A404" s="39" t="s">
        <v>183</v>
      </c>
      <c r="B404" s="98"/>
      <c r="C404" s="145"/>
      <c r="D404" s="114"/>
      <c r="E404" s="160"/>
      <c r="F404" s="189">
        <f t="shared" si="103"/>
        <v>0</v>
      </c>
      <c r="G404" s="87"/>
      <c r="H404" s="7"/>
      <c r="I404" s="73"/>
      <c r="J404" s="28"/>
      <c r="K404" s="7"/>
      <c r="L404" s="73"/>
      <c r="M404" s="22"/>
      <c r="N404" s="7"/>
      <c r="O404" s="23"/>
      <c r="P404" s="81"/>
      <c r="Q404" s="79"/>
    </row>
    <row r="405" spans="1:17" ht="12.75">
      <c r="A405" s="38" t="s">
        <v>55</v>
      </c>
      <c r="B405" s="101"/>
      <c r="C405" s="173">
        <v>2000</v>
      </c>
      <c r="D405" s="122">
        <f>-2000</f>
        <v>-2000</v>
      </c>
      <c r="E405" s="261"/>
      <c r="F405" s="193">
        <f t="shared" si="103"/>
        <v>0</v>
      </c>
      <c r="G405" s="87"/>
      <c r="H405" s="7"/>
      <c r="I405" s="73">
        <f>F405+G405+H405</f>
        <v>0</v>
      </c>
      <c r="J405" s="28"/>
      <c r="K405" s="7"/>
      <c r="L405" s="73">
        <f>I405+J405+K405</f>
        <v>0</v>
      </c>
      <c r="M405" s="22"/>
      <c r="N405" s="7"/>
      <c r="O405" s="23">
        <f>L405+M405+N405</f>
        <v>0</v>
      </c>
      <c r="P405" s="81"/>
      <c r="Q405" s="79">
        <f>O405+P405</f>
        <v>0</v>
      </c>
    </row>
    <row r="406" spans="1:17" ht="12.75" hidden="1">
      <c r="A406" s="38" t="s">
        <v>77</v>
      </c>
      <c r="B406" s="101"/>
      <c r="C406" s="173"/>
      <c r="D406" s="122"/>
      <c r="E406" s="261"/>
      <c r="F406" s="193">
        <f t="shared" si="103"/>
        <v>0</v>
      </c>
      <c r="G406" s="87"/>
      <c r="H406" s="7"/>
      <c r="I406" s="73">
        <f>F406+G406+H406</f>
        <v>0</v>
      </c>
      <c r="J406" s="28"/>
      <c r="K406" s="7"/>
      <c r="L406" s="73">
        <f>I406+J406+K406</f>
        <v>0</v>
      </c>
      <c r="M406" s="22"/>
      <c r="N406" s="7"/>
      <c r="O406" s="23">
        <f>L406+M406+N406</f>
        <v>0</v>
      </c>
      <c r="P406" s="81"/>
      <c r="Q406" s="79">
        <f>O406+P406</f>
        <v>0</v>
      </c>
    </row>
    <row r="407" spans="1:17" ht="12.75" hidden="1">
      <c r="A407" s="45" t="s">
        <v>184</v>
      </c>
      <c r="B407" s="101"/>
      <c r="C407" s="173"/>
      <c r="D407" s="122"/>
      <c r="E407" s="261"/>
      <c r="F407" s="193">
        <f t="shared" si="103"/>
        <v>0</v>
      </c>
      <c r="G407" s="212"/>
      <c r="H407" s="10"/>
      <c r="I407" s="72">
        <f>F407+G407+H407</f>
        <v>0</v>
      </c>
      <c r="J407" s="227"/>
      <c r="K407" s="10"/>
      <c r="L407" s="72">
        <f>I407+J407+K407</f>
        <v>0</v>
      </c>
      <c r="M407" s="26"/>
      <c r="N407" s="10"/>
      <c r="O407" s="27">
        <f>L407+M407+N407</f>
        <v>0</v>
      </c>
      <c r="P407" s="84"/>
      <c r="Q407" s="85">
        <f>O407+P407</f>
        <v>0</v>
      </c>
    </row>
    <row r="408" spans="1:17" ht="12.75">
      <c r="A408" s="32" t="s">
        <v>97</v>
      </c>
      <c r="B408" s="102"/>
      <c r="C408" s="152">
        <f>C409+C412</f>
        <v>3304.9</v>
      </c>
      <c r="D408" s="113">
        <f aca="true" t="shared" si="104" ref="D408:Q408">D409+D412</f>
        <v>0</v>
      </c>
      <c r="E408" s="136">
        <f t="shared" si="104"/>
        <v>0</v>
      </c>
      <c r="F408" s="167">
        <f t="shared" si="104"/>
        <v>3304.9</v>
      </c>
      <c r="G408" s="153">
        <f t="shared" si="104"/>
        <v>0</v>
      </c>
      <c r="H408" s="113">
        <f t="shared" si="104"/>
        <v>0</v>
      </c>
      <c r="I408" s="136">
        <f t="shared" si="104"/>
        <v>3304.9</v>
      </c>
      <c r="J408" s="152">
        <f t="shared" si="104"/>
        <v>0</v>
      </c>
      <c r="K408" s="113">
        <f t="shared" si="104"/>
        <v>0</v>
      </c>
      <c r="L408" s="136">
        <f t="shared" si="104"/>
        <v>3304.9</v>
      </c>
      <c r="M408" s="112">
        <f t="shared" si="104"/>
        <v>0</v>
      </c>
      <c r="N408" s="112">
        <f t="shared" si="104"/>
        <v>0</v>
      </c>
      <c r="O408" s="112">
        <f t="shared" si="104"/>
        <v>3304.9</v>
      </c>
      <c r="P408" s="112">
        <f t="shared" si="104"/>
        <v>0</v>
      </c>
      <c r="Q408" s="240">
        <f t="shared" si="104"/>
        <v>3304.9</v>
      </c>
    </row>
    <row r="409" spans="1:17" ht="12.75">
      <c r="A409" s="41" t="s">
        <v>49</v>
      </c>
      <c r="B409" s="102"/>
      <c r="C409" s="172">
        <f>SUM(C411:C411)</f>
        <v>3304.9</v>
      </c>
      <c r="D409" s="121">
        <f aca="true" t="shared" si="105" ref="D409:Q409">SUM(D411:D411)</f>
        <v>0</v>
      </c>
      <c r="E409" s="163">
        <f t="shared" si="105"/>
        <v>0</v>
      </c>
      <c r="F409" s="192">
        <f t="shared" si="105"/>
        <v>3304.9</v>
      </c>
      <c r="G409" s="210">
        <f t="shared" si="105"/>
        <v>0</v>
      </c>
      <c r="H409" s="121">
        <f t="shared" si="105"/>
        <v>0</v>
      </c>
      <c r="I409" s="163">
        <f t="shared" si="105"/>
        <v>3304.9</v>
      </c>
      <c r="J409" s="172">
        <f t="shared" si="105"/>
        <v>0</v>
      </c>
      <c r="K409" s="121">
        <f t="shared" si="105"/>
        <v>0</v>
      </c>
      <c r="L409" s="163">
        <f t="shared" si="105"/>
        <v>3304.9</v>
      </c>
      <c r="M409" s="120">
        <f t="shared" si="105"/>
        <v>0</v>
      </c>
      <c r="N409" s="120">
        <f t="shared" si="105"/>
        <v>0</v>
      </c>
      <c r="O409" s="120">
        <f t="shared" si="105"/>
        <v>3304.9</v>
      </c>
      <c r="P409" s="120">
        <f t="shared" si="105"/>
        <v>0</v>
      </c>
      <c r="Q409" s="245">
        <f t="shared" si="105"/>
        <v>3304.9</v>
      </c>
    </row>
    <row r="410" spans="1:17" ht="12.75">
      <c r="A410" s="37" t="s">
        <v>26</v>
      </c>
      <c r="B410" s="98"/>
      <c r="C410" s="145"/>
      <c r="D410" s="114"/>
      <c r="E410" s="160"/>
      <c r="F410" s="167"/>
      <c r="G410" s="87"/>
      <c r="H410" s="7"/>
      <c r="I410" s="69"/>
      <c r="J410" s="28"/>
      <c r="K410" s="7"/>
      <c r="L410" s="69"/>
      <c r="M410" s="22"/>
      <c r="N410" s="7"/>
      <c r="O410" s="21"/>
      <c r="P410" s="81"/>
      <c r="Q410" s="79"/>
    </row>
    <row r="411" spans="1:17" ht="12.75">
      <c r="A411" s="38" t="s">
        <v>51</v>
      </c>
      <c r="B411" s="101"/>
      <c r="C411" s="176">
        <v>3304.9</v>
      </c>
      <c r="D411" s="122"/>
      <c r="E411" s="261"/>
      <c r="F411" s="193">
        <f>C411+D411+E411</f>
        <v>3304.9</v>
      </c>
      <c r="G411" s="87"/>
      <c r="H411" s="7"/>
      <c r="I411" s="73">
        <f>F411+G411+H411</f>
        <v>3304.9</v>
      </c>
      <c r="J411" s="28"/>
      <c r="K411" s="7"/>
      <c r="L411" s="73">
        <f>I411+J411+K411</f>
        <v>3304.9</v>
      </c>
      <c r="M411" s="22"/>
      <c r="N411" s="7"/>
      <c r="O411" s="23">
        <f>L411+M411+N411</f>
        <v>3304.9</v>
      </c>
      <c r="P411" s="81"/>
      <c r="Q411" s="79">
        <f>O411+P411</f>
        <v>3304.9</v>
      </c>
    </row>
    <row r="412" spans="1:17" ht="12.75" hidden="1">
      <c r="A412" s="41" t="s">
        <v>54</v>
      </c>
      <c r="B412" s="102"/>
      <c r="C412" s="172">
        <f aca="true" t="shared" si="106" ref="C412:Q412">SUM(C414:C414)</f>
        <v>0</v>
      </c>
      <c r="D412" s="121">
        <f t="shared" si="106"/>
        <v>0</v>
      </c>
      <c r="E412" s="163">
        <f t="shared" si="106"/>
        <v>0</v>
      </c>
      <c r="F412" s="192">
        <f t="shared" si="106"/>
        <v>0</v>
      </c>
      <c r="G412" s="210">
        <f t="shared" si="106"/>
        <v>0</v>
      </c>
      <c r="H412" s="121">
        <f t="shared" si="106"/>
        <v>0</v>
      </c>
      <c r="I412" s="163">
        <f t="shared" si="106"/>
        <v>0</v>
      </c>
      <c r="J412" s="172">
        <f t="shared" si="106"/>
        <v>0</v>
      </c>
      <c r="K412" s="121">
        <f t="shared" si="106"/>
        <v>0</v>
      </c>
      <c r="L412" s="163">
        <f t="shared" si="106"/>
        <v>0</v>
      </c>
      <c r="M412" s="120">
        <f t="shared" si="106"/>
        <v>0</v>
      </c>
      <c r="N412" s="120">
        <f t="shared" si="106"/>
        <v>0</v>
      </c>
      <c r="O412" s="120">
        <f t="shared" si="106"/>
        <v>0</v>
      </c>
      <c r="P412" s="120">
        <f t="shared" si="106"/>
        <v>0</v>
      </c>
      <c r="Q412" s="245">
        <f t="shared" si="106"/>
        <v>0</v>
      </c>
    </row>
    <row r="413" spans="1:17" ht="12.75" hidden="1">
      <c r="A413" s="37" t="s">
        <v>26</v>
      </c>
      <c r="B413" s="98"/>
      <c r="C413" s="145"/>
      <c r="D413" s="114"/>
      <c r="E413" s="160"/>
      <c r="F413" s="189"/>
      <c r="G413" s="87"/>
      <c r="H413" s="7"/>
      <c r="I413" s="73"/>
      <c r="J413" s="28"/>
      <c r="K413" s="7"/>
      <c r="L413" s="73"/>
      <c r="M413" s="22"/>
      <c r="N413" s="7"/>
      <c r="O413" s="23"/>
      <c r="P413" s="81"/>
      <c r="Q413" s="79"/>
    </row>
    <row r="414" spans="1:17" ht="12.75" hidden="1">
      <c r="A414" s="38" t="s">
        <v>55</v>
      </c>
      <c r="B414" s="101"/>
      <c r="C414" s="173"/>
      <c r="D414" s="122"/>
      <c r="E414" s="261"/>
      <c r="F414" s="193">
        <f>C414+D414+E414</f>
        <v>0</v>
      </c>
      <c r="G414" s="212"/>
      <c r="H414" s="10"/>
      <c r="I414" s="72">
        <f>F414+G414+H414</f>
        <v>0</v>
      </c>
      <c r="J414" s="227"/>
      <c r="K414" s="10"/>
      <c r="L414" s="72">
        <f>I414+J414+K414</f>
        <v>0</v>
      </c>
      <c r="M414" s="26"/>
      <c r="N414" s="10"/>
      <c r="O414" s="27">
        <f>L414+M414+N414</f>
        <v>0</v>
      </c>
      <c r="P414" s="84"/>
      <c r="Q414" s="85">
        <f>O414+P414</f>
        <v>0</v>
      </c>
    </row>
    <row r="415" spans="1:17" ht="12.75">
      <c r="A415" s="32" t="s">
        <v>98</v>
      </c>
      <c r="B415" s="102"/>
      <c r="C415" s="152">
        <f aca="true" t="shared" si="107" ref="C415:Q415">C416</f>
        <v>55500</v>
      </c>
      <c r="D415" s="113">
        <f t="shared" si="107"/>
        <v>110819.67000000001</v>
      </c>
      <c r="E415" s="136">
        <f t="shared" si="107"/>
        <v>0</v>
      </c>
      <c r="F415" s="167">
        <f t="shared" si="107"/>
        <v>166319.67</v>
      </c>
      <c r="G415" s="153">
        <f t="shared" si="107"/>
        <v>0</v>
      </c>
      <c r="H415" s="113">
        <f t="shared" si="107"/>
        <v>0</v>
      </c>
      <c r="I415" s="136">
        <f t="shared" si="107"/>
        <v>166319.67</v>
      </c>
      <c r="J415" s="152">
        <f t="shared" si="107"/>
        <v>0</v>
      </c>
      <c r="K415" s="113">
        <f t="shared" si="107"/>
        <v>0</v>
      </c>
      <c r="L415" s="136">
        <f t="shared" si="107"/>
        <v>166319.67</v>
      </c>
      <c r="M415" s="112">
        <f t="shared" si="107"/>
        <v>0</v>
      </c>
      <c r="N415" s="112">
        <f t="shared" si="107"/>
        <v>0</v>
      </c>
      <c r="O415" s="112">
        <f t="shared" si="107"/>
        <v>166319.67</v>
      </c>
      <c r="P415" s="112">
        <f t="shared" si="107"/>
        <v>0</v>
      </c>
      <c r="Q415" s="240">
        <f t="shared" si="107"/>
        <v>166319.67</v>
      </c>
    </row>
    <row r="416" spans="1:17" ht="12.75">
      <c r="A416" s="41" t="s">
        <v>49</v>
      </c>
      <c r="B416" s="102"/>
      <c r="C416" s="172">
        <f>SUM(C418:C421)</f>
        <v>55500</v>
      </c>
      <c r="D416" s="121">
        <f aca="true" t="shared" si="108" ref="D416:Q416">SUM(D418:D421)</f>
        <v>110819.67000000001</v>
      </c>
      <c r="E416" s="163">
        <f t="shared" si="108"/>
        <v>0</v>
      </c>
      <c r="F416" s="192">
        <f t="shared" si="108"/>
        <v>166319.67</v>
      </c>
      <c r="G416" s="210">
        <f t="shared" si="108"/>
        <v>0</v>
      </c>
      <c r="H416" s="121">
        <f t="shared" si="108"/>
        <v>0</v>
      </c>
      <c r="I416" s="163">
        <f t="shared" si="108"/>
        <v>166319.67</v>
      </c>
      <c r="J416" s="172">
        <f t="shared" si="108"/>
        <v>0</v>
      </c>
      <c r="K416" s="121">
        <f t="shared" si="108"/>
        <v>0</v>
      </c>
      <c r="L416" s="163">
        <f t="shared" si="108"/>
        <v>166319.67</v>
      </c>
      <c r="M416" s="120">
        <f t="shared" si="108"/>
        <v>0</v>
      </c>
      <c r="N416" s="120">
        <f t="shared" si="108"/>
        <v>0</v>
      </c>
      <c r="O416" s="120">
        <f t="shared" si="108"/>
        <v>166319.67</v>
      </c>
      <c r="P416" s="120">
        <f t="shared" si="108"/>
        <v>0</v>
      </c>
      <c r="Q416" s="245">
        <f t="shared" si="108"/>
        <v>166319.67</v>
      </c>
    </row>
    <row r="417" spans="1:17" ht="12.75">
      <c r="A417" s="37" t="s">
        <v>26</v>
      </c>
      <c r="B417" s="98"/>
      <c r="C417" s="152"/>
      <c r="D417" s="113"/>
      <c r="E417" s="136"/>
      <c r="F417" s="167"/>
      <c r="G417" s="137"/>
      <c r="H417" s="6"/>
      <c r="I417" s="69"/>
      <c r="J417" s="224"/>
      <c r="K417" s="6"/>
      <c r="L417" s="69"/>
      <c r="M417" s="20"/>
      <c r="N417" s="6"/>
      <c r="O417" s="21"/>
      <c r="P417" s="81"/>
      <c r="Q417" s="79"/>
    </row>
    <row r="418" spans="1:17" ht="12.75">
      <c r="A418" s="99" t="s">
        <v>195</v>
      </c>
      <c r="B418" s="98"/>
      <c r="C418" s="145">
        <v>15000</v>
      </c>
      <c r="D418" s="114">
        <v>67000</v>
      </c>
      <c r="E418" s="160"/>
      <c r="F418" s="189">
        <f>C418+D418+E418</f>
        <v>82000</v>
      </c>
      <c r="G418" s="87"/>
      <c r="H418" s="7"/>
      <c r="I418" s="73">
        <f>F418+G418+H418</f>
        <v>82000</v>
      </c>
      <c r="J418" s="225"/>
      <c r="K418" s="7"/>
      <c r="L418" s="73">
        <f>I418+J418+K418</f>
        <v>82000</v>
      </c>
      <c r="M418" s="22"/>
      <c r="N418" s="7"/>
      <c r="O418" s="23">
        <f>L418+M418+N418</f>
        <v>82000</v>
      </c>
      <c r="P418" s="81"/>
      <c r="Q418" s="79">
        <f>O418+P418</f>
        <v>82000</v>
      </c>
    </row>
    <row r="419" spans="1:17" ht="12.75">
      <c r="A419" s="99" t="s">
        <v>99</v>
      </c>
      <c r="B419" s="98"/>
      <c r="C419" s="145"/>
      <c r="D419" s="125">
        <f>26787.85</f>
        <v>26787.85</v>
      </c>
      <c r="E419" s="160"/>
      <c r="F419" s="189">
        <f>C419+D419+E419</f>
        <v>26787.85</v>
      </c>
      <c r="G419" s="87"/>
      <c r="H419" s="7"/>
      <c r="I419" s="73">
        <f>F419+G419+H419</f>
        <v>26787.85</v>
      </c>
      <c r="J419" s="28"/>
      <c r="K419" s="7"/>
      <c r="L419" s="73">
        <f>I419+J419+K419</f>
        <v>26787.85</v>
      </c>
      <c r="M419" s="22"/>
      <c r="N419" s="7"/>
      <c r="O419" s="23">
        <f>L419+M419+N419</f>
        <v>26787.85</v>
      </c>
      <c r="P419" s="81"/>
      <c r="Q419" s="79">
        <f>O419+P419</f>
        <v>26787.85</v>
      </c>
    </row>
    <row r="420" spans="1:17" ht="12.75">
      <c r="A420" s="99" t="s">
        <v>100</v>
      </c>
      <c r="B420" s="98"/>
      <c r="C420" s="145"/>
      <c r="D420" s="114">
        <f>17031.82</f>
        <v>17031.82</v>
      </c>
      <c r="E420" s="160"/>
      <c r="F420" s="189">
        <f>C420+D420+E420</f>
        <v>17031.82</v>
      </c>
      <c r="G420" s="87"/>
      <c r="H420" s="7"/>
      <c r="I420" s="73">
        <f>F420+G420+H420</f>
        <v>17031.82</v>
      </c>
      <c r="J420" s="28"/>
      <c r="K420" s="7"/>
      <c r="L420" s="73">
        <f>I420+J420+K420</f>
        <v>17031.82</v>
      </c>
      <c r="M420" s="22"/>
      <c r="N420" s="7"/>
      <c r="O420" s="23">
        <f>L420+M420+N420</f>
        <v>17031.82</v>
      </c>
      <c r="P420" s="81"/>
      <c r="Q420" s="79">
        <f>O420+P420</f>
        <v>17031.82</v>
      </c>
    </row>
    <row r="421" spans="1:17" ht="12.75">
      <c r="A421" s="38" t="s">
        <v>51</v>
      </c>
      <c r="B421" s="101"/>
      <c r="C421" s="173">
        <v>40500</v>
      </c>
      <c r="D421" s="122"/>
      <c r="E421" s="261"/>
      <c r="F421" s="193">
        <f>C421+D421+E421</f>
        <v>40500</v>
      </c>
      <c r="G421" s="212"/>
      <c r="H421" s="10"/>
      <c r="I421" s="72">
        <f>F421+G421+H421</f>
        <v>40500</v>
      </c>
      <c r="J421" s="227"/>
      <c r="K421" s="10"/>
      <c r="L421" s="72">
        <f>I421+J421+K421</f>
        <v>40500</v>
      </c>
      <c r="M421" s="26"/>
      <c r="N421" s="10"/>
      <c r="O421" s="27">
        <f>L421+M421+N421</f>
        <v>40500</v>
      </c>
      <c r="P421" s="84"/>
      <c r="Q421" s="85">
        <f>O421+P421</f>
        <v>40500</v>
      </c>
    </row>
    <row r="422" spans="1:17" ht="12.75">
      <c r="A422" s="32" t="s">
        <v>168</v>
      </c>
      <c r="B422" s="102"/>
      <c r="C422" s="152">
        <f aca="true" t="shared" si="109" ref="C422:Q422">C423+C437</f>
        <v>185407.7</v>
      </c>
      <c r="D422" s="113">
        <f t="shared" si="109"/>
        <v>44177.64</v>
      </c>
      <c r="E422" s="136">
        <f t="shared" si="109"/>
        <v>0</v>
      </c>
      <c r="F422" s="167">
        <f t="shared" si="109"/>
        <v>229585.34</v>
      </c>
      <c r="G422" s="153">
        <f t="shared" si="109"/>
        <v>0</v>
      </c>
      <c r="H422" s="113">
        <f t="shared" si="109"/>
        <v>0</v>
      </c>
      <c r="I422" s="136">
        <f t="shared" si="109"/>
        <v>0</v>
      </c>
      <c r="J422" s="152">
        <f t="shared" si="109"/>
        <v>0</v>
      </c>
      <c r="K422" s="113">
        <f t="shared" si="109"/>
        <v>0</v>
      </c>
      <c r="L422" s="136">
        <f t="shared" si="109"/>
        <v>0</v>
      </c>
      <c r="M422" s="112">
        <f t="shared" si="109"/>
        <v>0</v>
      </c>
      <c r="N422" s="112">
        <f t="shared" si="109"/>
        <v>0</v>
      </c>
      <c r="O422" s="112">
        <f t="shared" si="109"/>
        <v>0</v>
      </c>
      <c r="P422" s="112">
        <f t="shared" si="109"/>
        <v>0</v>
      </c>
      <c r="Q422" s="240">
        <f t="shared" si="109"/>
        <v>0</v>
      </c>
    </row>
    <row r="423" spans="1:17" ht="12.75">
      <c r="A423" s="41" t="s">
        <v>49</v>
      </c>
      <c r="B423" s="102"/>
      <c r="C423" s="172">
        <f>SUM(C425:C436)</f>
        <v>130807.7</v>
      </c>
      <c r="D423" s="121">
        <f>SUM(D425:D436)</f>
        <v>10517.640000000001</v>
      </c>
      <c r="E423" s="163">
        <f>SUM(E424:E436)</f>
        <v>0</v>
      </c>
      <c r="F423" s="192">
        <f>SUM(F425:F436)</f>
        <v>141325.34</v>
      </c>
      <c r="G423" s="210">
        <f aca="true" t="shared" si="110" ref="G423:Q423">SUM(G424:G436)</f>
        <v>0</v>
      </c>
      <c r="H423" s="121">
        <f t="shared" si="110"/>
        <v>0</v>
      </c>
      <c r="I423" s="163">
        <f t="shared" si="110"/>
        <v>0</v>
      </c>
      <c r="J423" s="172">
        <f t="shared" si="110"/>
        <v>0</v>
      </c>
      <c r="K423" s="121">
        <f t="shared" si="110"/>
        <v>0</v>
      </c>
      <c r="L423" s="163">
        <f t="shared" si="110"/>
        <v>0</v>
      </c>
      <c r="M423" s="120">
        <f t="shared" si="110"/>
        <v>0</v>
      </c>
      <c r="N423" s="120">
        <f t="shared" si="110"/>
        <v>0</v>
      </c>
      <c r="O423" s="120">
        <f t="shared" si="110"/>
        <v>0</v>
      </c>
      <c r="P423" s="120">
        <f t="shared" si="110"/>
        <v>0</v>
      </c>
      <c r="Q423" s="245">
        <f t="shared" si="110"/>
        <v>0</v>
      </c>
    </row>
    <row r="424" spans="1:17" ht="12.75">
      <c r="A424" s="37" t="s">
        <v>26</v>
      </c>
      <c r="B424" s="98"/>
      <c r="C424" s="145"/>
      <c r="D424" s="114"/>
      <c r="E424" s="160"/>
      <c r="F424" s="189"/>
      <c r="G424" s="87"/>
      <c r="H424" s="7"/>
      <c r="I424" s="73"/>
      <c r="J424" s="28"/>
      <c r="K424" s="7"/>
      <c r="L424" s="73"/>
      <c r="M424" s="22"/>
      <c r="N424" s="7"/>
      <c r="O424" s="23"/>
      <c r="P424" s="81"/>
      <c r="Q424" s="79"/>
    </row>
    <row r="425" spans="1:17" ht="12.75">
      <c r="A425" s="35" t="s">
        <v>256</v>
      </c>
      <c r="B425" s="98">
        <v>1202</v>
      </c>
      <c r="C425" s="145">
        <v>15900</v>
      </c>
      <c r="D425" s="114">
        <f>6660.58-4000</f>
        <v>2660.58</v>
      </c>
      <c r="E425" s="160"/>
      <c r="F425" s="189">
        <f aca="true" t="shared" si="111" ref="F425:F436">C425+D425+E425</f>
        <v>18560.58</v>
      </c>
      <c r="G425" s="87"/>
      <c r="H425" s="7"/>
      <c r="I425" s="73"/>
      <c r="J425" s="28"/>
      <c r="K425" s="7"/>
      <c r="L425" s="73"/>
      <c r="M425" s="22"/>
      <c r="N425" s="7"/>
      <c r="O425" s="23"/>
      <c r="P425" s="81"/>
      <c r="Q425" s="79"/>
    </row>
    <row r="426" spans="1:17" ht="12.75">
      <c r="A426" s="35" t="s">
        <v>187</v>
      </c>
      <c r="B426" s="98">
        <v>1208</v>
      </c>
      <c r="C426" s="145">
        <v>4500</v>
      </c>
      <c r="D426" s="114">
        <f>20.18</f>
        <v>20.18</v>
      </c>
      <c r="E426" s="160"/>
      <c r="F426" s="189">
        <f t="shared" si="111"/>
        <v>4520.18</v>
      </c>
      <c r="G426" s="87"/>
      <c r="H426" s="7"/>
      <c r="I426" s="73"/>
      <c r="J426" s="28"/>
      <c r="K426" s="7"/>
      <c r="L426" s="73"/>
      <c r="M426" s="22"/>
      <c r="N426" s="7"/>
      <c r="O426" s="23"/>
      <c r="P426" s="81"/>
      <c r="Q426" s="79"/>
    </row>
    <row r="427" spans="1:17" ht="12.75">
      <c r="A427" s="35" t="s">
        <v>188</v>
      </c>
      <c r="B427" s="98">
        <v>1207</v>
      </c>
      <c r="C427" s="145">
        <v>10600</v>
      </c>
      <c r="D427" s="114">
        <f>114.87+1430</f>
        <v>1544.87</v>
      </c>
      <c r="E427" s="160"/>
      <c r="F427" s="189">
        <f t="shared" si="111"/>
        <v>12144.869999999999</v>
      </c>
      <c r="G427" s="87"/>
      <c r="H427" s="7"/>
      <c r="I427" s="73"/>
      <c r="J427" s="28"/>
      <c r="K427" s="7"/>
      <c r="L427" s="73"/>
      <c r="M427" s="22"/>
      <c r="N427" s="7"/>
      <c r="O427" s="23"/>
      <c r="P427" s="81"/>
      <c r="Q427" s="79"/>
    </row>
    <row r="428" spans="1:17" ht="12.75">
      <c r="A428" s="39" t="s">
        <v>277</v>
      </c>
      <c r="B428" s="98">
        <v>1209</v>
      </c>
      <c r="C428" s="145">
        <v>2860</v>
      </c>
      <c r="D428" s="114">
        <f>781+88.6+11.32</f>
        <v>880.9200000000001</v>
      </c>
      <c r="E428" s="160"/>
      <c r="F428" s="189">
        <f t="shared" si="111"/>
        <v>3740.92</v>
      </c>
      <c r="G428" s="87"/>
      <c r="H428" s="7"/>
      <c r="I428" s="73"/>
      <c r="J428" s="28"/>
      <c r="K428" s="7"/>
      <c r="L428" s="73"/>
      <c r="M428" s="22"/>
      <c r="N428" s="7"/>
      <c r="O428" s="23"/>
      <c r="P428" s="81"/>
      <c r="Q428" s="79"/>
    </row>
    <row r="429" spans="1:17" ht="12.75">
      <c r="A429" s="35" t="s">
        <v>189</v>
      </c>
      <c r="B429" s="98">
        <v>1211</v>
      </c>
      <c r="C429" s="145">
        <v>3900</v>
      </c>
      <c r="D429" s="125">
        <f>125.1</f>
        <v>125.1</v>
      </c>
      <c r="E429" s="264"/>
      <c r="F429" s="189">
        <f t="shared" si="111"/>
        <v>4025.1</v>
      </c>
      <c r="G429" s="87"/>
      <c r="H429" s="7"/>
      <c r="I429" s="73"/>
      <c r="J429" s="28"/>
      <c r="K429" s="7"/>
      <c r="L429" s="73"/>
      <c r="M429" s="22"/>
      <c r="N429" s="7"/>
      <c r="O429" s="23"/>
      <c r="P429" s="81"/>
      <c r="Q429" s="79"/>
    </row>
    <row r="430" spans="1:17" ht="12.75">
      <c r="A430" s="35" t="s">
        <v>241</v>
      </c>
      <c r="B430" s="98">
        <v>1214</v>
      </c>
      <c r="C430" s="145">
        <v>2800</v>
      </c>
      <c r="D430" s="125">
        <f>70.05</f>
        <v>70.05</v>
      </c>
      <c r="E430" s="160"/>
      <c r="F430" s="189">
        <f t="shared" si="111"/>
        <v>2870.05</v>
      </c>
      <c r="G430" s="87"/>
      <c r="H430" s="7"/>
      <c r="I430" s="73"/>
      <c r="J430" s="28"/>
      <c r="K430" s="7"/>
      <c r="L430" s="73"/>
      <c r="M430" s="22"/>
      <c r="N430" s="7"/>
      <c r="O430" s="23"/>
      <c r="P430" s="81"/>
      <c r="Q430" s="79"/>
    </row>
    <row r="431" spans="1:17" ht="12.75">
      <c r="A431" s="35" t="s">
        <v>242</v>
      </c>
      <c r="B431" s="98">
        <v>1213</v>
      </c>
      <c r="C431" s="145">
        <v>1500</v>
      </c>
      <c r="D431" s="125">
        <f>53.5</f>
        <v>53.5</v>
      </c>
      <c r="E431" s="160"/>
      <c r="F431" s="189">
        <f t="shared" si="111"/>
        <v>1553.5</v>
      </c>
      <c r="G431" s="87"/>
      <c r="H431" s="7"/>
      <c r="I431" s="73"/>
      <c r="J431" s="28"/>
      <c r="K431" s="7"/>
      <c r="L431" s="73"/>
      <c r="M431" s="22"/>
      <c r="N431" s="7"/>
      <c r="O431" s="23"/>
      <c r="P431" s="81"/>
      <c r="Q431" s="79"/>
    </row>
    <row r="432" spans="1:17" ht="12.75">
      <c r="A432" s="35" t="s">
        <v>276</v>
      </c>
      <c r="B432" s="98">
        <v>1216</v>
      </c>
      <c r="C432" s="145">
        <v>22000</v>
      </c>
      <c r="D432" s="114">
        <f>2369.13-221</f>
        <v>2148.13</v>
      </c>
      <c r="E432" s="160"/>
      <c r="F432" s="189">
        <f t="shared" si="111"/>
        <v>24148.13</v>
      </c>
      <c r="G432" s="87"/>
      <c r="H432" s="7"/>
      <c r="I432" s="73"/>
      <c r="J432" s="28"/>
      <c r="K432" s="7"/>
      <c r="L432" s="73"/>
      <c r="M432" s="22"/>
      <c r="N432" s="7"/>
      <c r="O432" s="23"/>
      <c r="P432" s="81"/>
      <c r="Q432" s="79"/>
    </row>
    <row r="433" spans="1:17" ht="12.75">
      <c r="A433" s="35" t="s">
        <v>190</v>
      </c>
      <c r="B433" s="98">
        <v>1239</v>
      </c>
      <c r="C433" s="145">
        <v>21900</v>
      </c>
      <c r="D433" s="114">
        <f>2000-15000+1000+500+500+8323.45</f>
        <v>-2676.5499999999993</v>
      </c>
      <c r="E433" s="160"/>
      <c r="F433" s="189">
        <f t="shared" si="111"/>
        <v>19223.45</v>
      </c>
      <c r="G433" s="87"/>
      <c r="H433" s="7"/>
      <c r="I433" s="73"/>
      <c r="J433" s="28"/>
      <c r="K433" s="7"/>
      <c r="L433" s="73"/>
      <c r="M433" s="22"/>
      <c r="N433" s="7"/>
      <c r="O433" s="23"/>
      <c r="P433" s="81"/>
      <c r="Q433" s="79"/>
    </row>
    <row r="434" spans="1:17" ht="12.75">
      <c r="A434" s="35" t="s">
        <v>212</v>
      </c>
      <c r="B434" s="98">
        <v>1300</v>
      </c>
      <c r="C434" s="145">
        <v>29845.7</v>
      </c>
      <c r="D434" s="114">
        <f>-1050-9000+8724.02</f>
        <v>-1325.9799999999996</v>
      </c>
      <c r="E434" s="160"/>
      <c r="F434" s="189">
        <f t="shared" si="111"/>
        <v>28519.72</v>
      </c>
      <c r="G434" s="87"/>
      <c r="H434" s="7"/>
      <c r="I434" s="73"/>
      <c r="J434" s="28"/>
      <c r="K434" s="7"/>
      <c r="L434" s="73"/>
      <c r="M434" s="22"/>
      <c r="N434" s="7"/>
      <c r="O434" s="23"/>
      <c r="P434" s="81"/>
      <c r="Q434" s="79"/>
    </row>
    <row r="435" spans="1:17" ht="12.75">
      <c r="A435" s="35" t="s">
        <v>191</v>
      </c>
      <c r="B435" s="98">
        <v>1110</v>
      </c>
      <c r="C435" s="145">
        <v>15000</v>
      </c>
      <c r="D435" s="114">
        <f>5000+928.52</f>
        <v>5928.52</v>
      </c>
      <c r="E435" s="160"/>
      <c r="F435" s="189">
        <f t="shared" si="111"/>
        <v>20928.52</v>
      </c>
      <c r="G435" s="87"/>
      <c r="H435" s="7"/>
      <c r="I435" s="73"/>
      <c r="J435" s="28"/>
      <c r="K435" s="7"/>
      <c r="L435" s="73"/>
      <c r="M435" s="22"/>
      <c r="N435" s="7"/>
      <c r="O435" s="23"/>
      <c r="P435" s="81"/>
      <c r="Q435" s="79"/>
    </row>
    <row r="436" spans="1:17" ht="12.75">
      <c r="A436" s="35" t="s">
        <v>255</v>
      </c>
      <c r="B436" s="98"/>
      <c r="C436" s="145">
        <v>2</v>
      </c>
      <c r="D436" s="114">
        <f>1088.32</f>
        <v>1088.32</v>
      </c>
      <c r="E436" s="160"/>
      <c r="F436" s="189">
        <f t="shared" si="111"/>
        <v>1090.32</v>
      </c>
      <c r="G436" s="87"/>
      <c r="H436" s="7"/>
      <c r="I436" s="73"/>
      <c r="J436" s="28"/>
      <c r="K436" s="7"/>
      <c r="L436" s="73"/>
      <c r="M436" s="22"/>
      <c r="N436" s="7"/>
      <c r="O436" s="23"/>
      <c r="P436" s="81"/>
      <c r="Q436" s="79"/>
    </row>
    <row r="437" spans="1:17" ht="12.75">
      <c r="A437" s="41" t="s">
        <v>54</v>
      </c>
      <c r="B437" s="102"/>
      <c r="C437" s="172">
        <f>SUM(C439:C446)</f>
        <v>54600</v>
      </c>
      <c r="D437" s="121">
        <f aca="true" t="shared" si="112" ref="D437:Q437">SUM(D439:D446)</f>
        <v>33660</v>
      </c>
      <c r="E437" s="163">
        <f t="shared" si="112"/>
        <v>0</v>
      </c>
      <c r="F437" s="192">
        <f t="shared" si="112"/>
        <v>88260</v>
      </c>
      <c r="G437" s="210">
        <f t="shared" si="112"/>
        <v>0</v>
      </c>
      <c r="H437" s="121">
        <f t="shared" si="112"/>
        <v>0</v>
      </c>
      <c r="I437" s="163">
        <f t="shared" si="112"/>
        <v>0</v>
      </c>
      <c r="J437" s="172">
        <f t="shared" si="112"/>
        <v>0</v>
      </c>
      <c r="K437" s="121">
        <f t="shared" si="112"/>
        <v>0</v>
      </c>
      <c r="L437" s="163">
        <f t="shared" si="112"/>
        <v>0</v>
      </c>
      <c r="M437" s="120">
        <f t="shared" si="112"/>
        <v>0</v>
      </c>
      <c r="N437" s="120">
        <f t="shared" si="112"/>
        <v>0</v>
      </c>
      <c r="O437" s="120">
        <f t="shared" si="112"/>
        <v>0</v>
      </c>
      <c r="P437" s="120">
        <f t="shared" si="112"/>
        <v>0</v>
      </c>
      <c r="Q437" s="245">
        <f t="shared" si="112"/>
        <v>0</v>
      </c>
    </row>
    <row r="438" spans="1:17" ht="12.75">
      <c r="A438" s="37" t="s">
        <v>26</v>
      </c>
      <c r="B438" s="98"/>
      <c r="C438" s="145"/>
      <c r="D438" s="114"/>
      <c r="E438" s="160"/>
      <c r="F438" s="189"/>
      <c r="G438" s="87"/>
      <c r="H438" s="7"/>
      <c r="I438" s="73"/>
      <c r="J438" s="28"/>
      <c r="K438" s="7"/>
      <c r="L438" s="73"/>
      <c r="M438" s="22"/>
      <c r="N438" s="7"/>
      <c r="O438" s="23"/>
      <c r="P438" s="81"/>
      <c r="Q438" s="79"/>
    </row>
    <row r="439" spans="1:17" ht="12.75">
      <c r="A439" s="39" t="s">
        <v>290</v>
      </c>
      <c r="B439" s="98">
        <v>1239</v>
      </c>
      <c r="C439" s="145">
        <v>8000</v>
      </c>
      <c r="D439" s="114">
        <f>270</f>
        <v>270</v>
      </c>
      <c r="E439" s="160"/>
      <c r="F439" s="189">
        <f aca="true" t="shared" si="113" ref="F439:F446">C439+D439+E439</f>
        <v>8270</v>
      </c>
      <c r="G439" s="87"/>
      <c r="H439" s="7"/>
      <c r="I439" s="73"/>
      <c r="J439" s="28"/>
      <c r="K439" s="7"/>
      <c r="L439" s="73"/>
      <c r="M439" s="22"/>
      <c r="N439" s="7"/>
      <c r="O439" s="23"/>
      <c r="P439" s="81"/>
      <c r="Q439" s="79"/>
    </row>
    <row r="440" spans="1:17" ht="12.75" hidden="1">
      <c r="A440" s="39" t="s">
        <v>328</v>
      </c>
      <c r="B440" s="98">
        <v>1214</v>
      </c>
      <c r="C440" s="145"/>
      <c r="D440" s="114"/>
      <c r="E440" s="160"/>
      <c r="F440" s="189">
        <f t="shared" si="113"/>
        <v>0</v>
      </c>
      <c r="G440" s="87"/>
      <c r="H440" s="7"/>
      <c r="I440" s="73"/>
      <c r="J440" s="28"/>
      <c r="K440" s="7"/>
      <c r="L440" s="73"/>
      <c r="M440" s="22"/>
      <c r="N440" s="7"/>
      <c r="O440" s="23"/>
      <c r="P440" s="81"/>
      <c r="Q440" s="79"/>
    </row>
    <row r="441" spans="1:17" ht="12.75">
      <c r="A441" s="39" t="s">
        <v>291</v>
      </c>
      <c r="B441" s="98">
        <v>1209</v>
      </c>
      <c r="C441" s="145">
        <v>600</v>
      </c>
      <c r="D441" s="114">
        <f>219</f>
        <v>219</v>
      </c>
      <c r="E441" s="160"/>
      <c r="F441" s="189">
        <f t="shared" si="113"/>
        <v>819</v>
      </c>
      <c r="G441" s="87"/>
      <c r="H441" s="7"/>
      <c r="I441" s="73"/>
      <c r="J441" s="28"/>
      <c r="K441" s="7"/>
      <c r="L441" s="73"/>
      <c r="M441" s="22"/>
      <c r="N441" s="7"/>
      <c r="O441" s="23"/>
      <c r="P441" s="81"/>
      <c r="Q441" s="79"/>
    </row>
    <row r="442" spans="1:17" ht="12.75" hidden="1">
      <c r="A442" s="35" t="s">
        <v>292</v>
      </c>
      <c r="B442" s="98">
        <v>1202</v>
      </c>
      <c r="C442" s="145"/>
      <c r="D442" s="114"/>
      <c r="E442" s="160"/>
      <c r="F442" s="189">
        <f t="shared" si="113"/>
        <v>0</v>
      </c>
      <c r="G442" s="87"/>
      <c r="H442" s="7"/>
      <c r="I442" s="73"/>
      <c r="J442" s="28"/>
      <c r="K442" s="7"/>
      <c r="L442" s="73"/>
      <c r="M442" s="22"/>
      <c r="N442" s="7"/>
      <c r="O442" s="23"/>
      <c r="P442" s="81"/>
      <c r="Q442" s="79"/>
    </row>
    <row r="443" spans="1:17" ht="12.75">
      <c r="A443" s="35" t="s">
        <v>330</v>
      </c>
      <c r="B443" s="98">
        <v>1216</v>
      </c>
      <c r="C443" s="145"/>
      <c r="D443" s="114">
        <f>221</f>
        <v>221</v>
      </c>
      <c r="E443" s="160"/>
      <c r="F443" s="189">
        <f t="shared" si="113"/>
        <v>221</v>
      </c>
      <c r="G443" s="87"/>
      <c r="H443" s="7"/>
      <c r="I443" s="73"/>
      <c r="J443" s="28"/>
      <c r="K443" s="7"/>
      <c r="L443" s="73"/>
      <c r="M443" s="22"/>
      <c r="N443" s="7"/>
      <c r="O443" s="23"/>
      <c r="P443" s="81"/>
      <c r="Q443" s="79"/>
    </row>
    <row r="444" spans="1:17" ht="12.75">
      <c r="A444" s="35" t="s">
        <v>336</v>
      </c>
      <c r="B444" s="98">
        <v>1239</v>
      </c>
      <c r="C444" s="145"/>
      <c r="D444" s="114">
        <f>10000+2000+13500+2500+3000</f>
        <v>31000</v>
      </c>
      <c r="E444" s="160"/>
      <c r="F444" s="189">
        <f t="shared" si="113"/>
        <v>31000</v>
      </c>
      <c r="G444" s="87"/>
      <c r="H444" s="7"/>
      <c r="I444" s="73"/>
      <c r="J444" s="28"/>
      <c r="K444" s="7"/>
      <c r="L444" s="73"/>
      <c r="M444" s="22"/>
      <c r="N444" s="7"/>
      <c r="O444" s="23"/>
      <c r="P444" s="81"/>
      <c r="Q444" s="79"/>
    </row>
    <row r="445" spans="1:17" ht="12.75">
      <c r="A445" s="39" t="s">
        <v>293</v>
      </c>
      <c r="B445" s="98">
        <v>1300</v>
      </c>
      <c r="C445" s="145">
        <v>16000</v>
      </c>
      <c r="D445" s="114">
        <f>1050+900</f>
        <v>1950</v>
      </c>
      <c r="E445" s="160"/>
      <c r="F445" s="189">
        <f t="shared" si="113"/>
        <v>17950</v>
      </c>
      <c r="G445" s="87"/>
      <c r="H445" s="7"/>
      <c r="I445" s="73"/>
      <c r="J445" s="28"/>
      <c r="K445" s="7"/>
      <c r="L445" s="73"/>
      <c r="M445" s="22"/>
      <c r="N445" s="7"/>
      <c r="O445" s="23"/>
      <c r="P445" s="81"/>
      <c r="Q445" s="79"/>
    </row>
    <row r="446" spans="1:17" ht="12.75">
      <c r="A446" s="38" t="s">
        <v>329</v>
      </c>
      <c r="B446" s="101">
        <v>1110</v>
      </c>
      <c r="C446" s="177">
        <v>30000</v>
      </c>
      <c r="D446" s="122"/>
      <c r="E446" s="261"/>
      <c r="F446" s="193">
        <f t="shared" si="113"/>
        <v>30000</v>
      </c>
      <c r="G446" s="87"/>
      <c r="H446" s="7"/>
      <c r="I446" s="73"/>
      <c r="J446" s="28"/>
      <c r="K446" s="7"/>
      <c r="L446" s="73"/>
      <c r="M446" s="22"/>
      <c r="N446" s="7"/>
      <c r="O446" s="23"/>
      <c r="P446" s="81"/>
      <c r="Q446" s="79"/>
    </row>
    <row r="447" spans="1:17" ht="12.75">
      <c r="A447" s="32" t="s">
        <v>143</v>
      </c>
      <c r="B447" s="102"/>
      <c r="C447" s="152">
        <f aca="true" t="shared" si="114" ref="C447:Q447">C448</f>
        <v>1</v>
      </c>
      <c r="D447" s="113">
        <f t="shared" si="114"/>
        <v>2347.5</v>
      </c>
      <c r="E447" s="136">
        <f t="shared" si="114"/>
        <v>0</v>
      </c>
      <c r="F447" s="167">
        <f t="shared" si="114"/>
        <v>2348.5</v>
      </c>
      <c r="G447" s="153">
        <f t="shared" si="114"/>
        <v>0</v>
      </c>
      <c r="H447" s="113">
        <f t="shared" si="114"/>
        <v>0</v>
      </c>
      <c r="I447" s="136">
        <f t="shared" si="114"/>
        <v>2348.5</v>
      </c>
      <c r="J447" s="152">
        <f t="shared" si="114"/>
        <v>0</v>
      </c>
      <c r="K447" s="113">
        <f t="shared" si="114"/>
        <v>0</v>
      </c>
      <c r="L447" s="136">
        <f t="shared" si="114"/>
        <v>2348.5</v>
      </c>
      <c r="M447" s="112">
        <f t="shared" si="114"/>
        <v>0</v>
      </c>
      <c r="N447" s="112">
        <f t="shared" si="114"/>
        <v>0</v>
      </c>
      <c r="O447" s="112">
        <f t="shared" si="114"/>
        <v>2348.5</v>
      </c>
      <c r="P447" s="112">
        <f t="shared" si="114"/>
        <v>0</v>
      </c>
      <c r="Q447" s="240">
        <f t="shared" si="114"/>
        <v>2348.5</v>
      </c>
    </row>
    <row r="448" spans="1:17" ht="12.75">
      <c r="A448" s="41" t="s">
        <v>49</v>
      </c>
      <c r="B448" s="102"/>
      <c r="C448" s="172">
        <f>C450</f>
        <v>1</v>
      </c>
      <c r="D448" s="121">
        <f aca="true" t="shared" si="115" ref="D448:Q448">D450</f>
        <v>2347.5</v>
      </c>
      <c r="E448" s="163">
        <f t="shared" si="115"/>
        <v>0</v>
      </c>
      <c r="F448" s="192">
        <f t="shared" si="115"/>
        <v>2348.5</v>
      </c>
      <c r="G448" s="210">
        <f t="shared" si="115"/>
        <v>0</v>
      </c>
      <c r="H448" s="121">
        <f t="shared" si="115"/>
        <v>0</v>
      </c>
      <c r="I448" s="163">
        <f t="shared" si="115"/>
        <v>2348.5</v>
      </c>
      <c r="J448" s="172">
        <f t="shared" si="115"/>
        <v>0</v>
      </c>
      <c r="K448" s="121">
        <f t="shared" si="115"/>
        <v>0</v>
      </c>
      <c r="L448" s="163">
        <f t="shared" si="115"/>
        <v>2348.5</v>
      </c>
      <c r="M448" s="120">
        <f t="shared" si="115"/>
        <v>0</v>
      </c>
      <c r="N448" s="120">
        <f t="shared" si="115"/>
        <v>0</v>
      </c>
      <c r="O448" s="120">
        <f t="shared" si="115"/>
        <v>2348.5</v>
      </c>
      <c r="P448" s="120">
        <f t="shared" si="115"/>
        <v>0</v>
      </c>
      <c r="Q448" s="245">
        <f t="shared" si="115"/>
        <v>2348.5</v>
      </c>
    </row>
    <row r="449" spans="1:17" ht="12.75">
      <c r="A449" s="37" t="s">
        <v>26</v>
      </c>
      <c r="B449" s="98"/>
      <c r="C449" s="145"/>
      <c r="D449" s="114"/>
      <c r="E449" s="160"/>
      <c r="F449" s="189"/>
      <c r="G449" s="87"/>
      <c r="H449" s="7"/>
      <c r="I449" s="73"/>
      <c r="J449" s="28"/>
      <c r="K449" s="7"/>
      <c r="L449" s="73"/>
      <c r="M449" s="22"/>
      <c r="N449" s="7"/>
      <c r="O449" s="23"/>
      <c r="P449" s="81"/>
      <c r="Q449" s="79"/>
    </row>
    <row r="450" spans="1:17" ht="12.75">
      <c r="A450" s="272" t="s">
        <v>51</v>
      </c>
      <c r="B450" s="275"/>
      <c r="C450" s="277">
        <v>1</v>
      </c>
      <c r="D450" s="122">
        <f>5347.5-3000</f>
        <v>2347.5</v>
      </c>
      <c r="E450" s="276"/>
      <c r="F450" s="278">
        <f>C450+D450+E450</f>
        <v>2348.5</v>
      </c>
      <c r="G450" s="212"/>
      <c r="H450" s="10"/>
      <c r="I450" s="72">
        <f>F450+G450+H450</f>
        <v>2348.5</v>
      </c>
      <c r="J450" s="227"/>
      <c r="K450" s="10"/>
      <c r="L450" s="72">
        <f>I450+J450+K450</f>
        <v>2348.5</v>
      </c>
      <c r="M450" s="26"/>
      <c r="N450" s="10"/>
      <c r="O450" s="27">
        <f>L450+M450+N450</f>
        <v>2348.5</v>
      </c>
      <c r="P450" s="84"/>
      <c r="Q450" s="85">
        <f>O450+P450</f>
        <v>2348.5</v>
      </c>
    </row>
    <row r="451" spans="1:17" ht="12.75">
      <c r="A451" s="32" t="s">
        <v>101</v>
      </c>
      <c r="B451" s="102"/>
      <c r="C451" s="152">
        <f>C453+C454</f>
        <v>671652</v>
      </c>
      <c r="D451" s="113">
        <f aca="true" t="shared" si="116" ref="D451:Q451">D453+D454</f>
        <v>572038.9000000001</v>
      </c>
      <c r="E451" s="136">
        <f t="shared" si="116"/>
        <v>0</v>
      </c>
      <c r="F451" s="167">
        <f t="shared" si="116"/>
        <v>1243690.9000000001</v>
      </c>
      <c r="G451" s="153" t="e">
        <f t="shared" si="116"/>
        <v>#REF!</v>
      </c>
      <c r="H451" s="113" t="e">
        <f t="shared" si="116"/>
        <v>#REF!</v>
      </c>
      <c r="I451" s="136" t="e">
        <f t="shared" si="116"/>
        <v>#REF!</v>
      </c>
      <c r="J451" s="152" t="e">
        <f t="shared" si="116"/>
        <v>#REF!</v>
      </c>
      <c r="K451" s="113" t="e">
        <f t="shared" si="116"/>
        <v>#REF!</v>
      </c>
      <c r="L451" s="136" t="e">
        <f t="shared" si="116"/>
        <v>#REF!</v>
      </c>
      <c r="M451" s="112" t="e">
        <f t="shared" si="116"/>
        <v>#REF!</v>
      </c>
      <c r="N451" s="112" t="e">
        <f t="shared" si="116"/>
        <v>#REF!</v>
      </c>
      <c r="O451" s="112" t="e">
        <f t="shared" si="116"/>
        <v>#REF!</v>
      </c>
      <c r="P451" s="112" t="e">
        <f t="shared" si="116"/>
        <v>#REF!</v>
      </c>
      <c r="Q451" s="240" t="e">
        <f t="shared" si="116"/>
        <v>#REF!</v>
      </c>
    </row>
    <row r="452" spans="1:17" ht="12.75">
      <c r="A452" s="34" t="s">
        <v>26</v>
      </c>
      <c r="B452" s="98"/>
      <c r="C452" s="152"/>
      <c r="D452" s="113"/>
      <c r="E452" s="136"/>
      <c r="F452" s="167"/>
      <c r="G452" s="153"/>
      <c r="H452" s="113"/>
      <c r="I452" s="136"/>
      <c r="J452" s="152"/>
      <c r="K452" s="113"/>
      <c r="L452" s="136"/>
      <c r="M452" s="112"/>
      <c r="N452" s="112"/>
      <c r="O452" s="112"/>
      <c r="P452" s="112"/>
      <c r="Q452" s="240"/>
    </row>
    <row r="453" spans="1:17" ht="12.75">
      <c r="A453" s="32" t="s">
        <v>49</v>
      </c>
      <c r="B453" s="102"/>
      <c r="C453" s="139">
        <f aca="true" t="shared" si="117" ref="C453:Q453">C460+C462+C474+C476+C481+C492+C477+C467+C494+C469+C498</f>
        <v>42850.65</v>
      </c>
      <c r="D453" s="117">
        <f t="shared" si="117"/>
        <v>10290.630000000001</v>
      </c>
      <c r="E453" s="161">
        <f t="shared" si="117"/>
        <v>0</v>
      </c>
      <c r="F453" s="235">
        <f t="shared" si="117"/>
        <v>53141.28</v>
      </c>
      <c r="G453" s="140">
        <f t="shared" si="117"/>
        <v>0</v>
      </c>
      <c r="H453" s="117">
        <f t="shared" si="117"/>
        <v>0</v>
      </c>
      <c r="I453" s="161">
        <f t="shared" si="117"/>
        <v>48131.28</v>
      </c>
      <c r="J453" s="139">
        <f t="shared" si="117"/>
        <v>0</v>
      </c>
      <c r="K453" s="117">
        <f t="shared" si="117"/>
        <v>0</v>
      </c>
      <c r="L453" s="161">
        <f t="shared" si="117"/>
        <v>48131.28</v>
      </c>
      <c r="M453" s="116">
        <f t="shared" si="117"/>
        <v>0</v>
      </c>
      <c r="N453" s="116">
        <f t="shared" si="117"/>
        <v>0</v>
      </c>
      <c r="O453" s="116">
        <f t="shared" si="117"/>
        <v>48131.28</v>
      </c>
      <c r="P453" s="116">
        <f t="shared" si="117"/>
        <v>0</v>
      </c>
      <c r="Q453" s="243">
        <f t="shared" si="117"/>
        <v>48131.28</v>
      </c>
    </row>
    <row r="454" spans="1:17" ht="12.75">
      <c r="A454" s="32" t="s">
        <v>54</v>
      </c>
      <c r="B454" s="102"/>
      <c r="C454" s="139">
        <f>+C457+C458+C459+C463+C464+C466+C468+C470+C472+C473+C475+C478+C480+C482+C483+C485+C486+C488+C489+C491+C493+C495+C497</f>
        <v>628801.35</v>
      </c>
      <c r="D454" s="117">
        <f>+D457+D458+D459+D463+D464+D466+D468+D470+D472+D473+D475+D478+D480+D482+D483+D485+D486+D488+D489+D491+D493+D495+D497</f>
        <v>561748.2700000001</v>
      </c>
      <c r="E454" s="161">
        <f>+E457+E458+E459+E463+E464+E466+E468+E470+E472+E473+E475+E478+E480+E482+E483+E485+E486+E488+E489+E491+E493+E495+E497</f>
        <v>0</v>
      </c>
      <c r="F454" s="235">
        <f>+F457+F458+F459+F463+F464+F466+F468+F470+F472+F473+F475+F478+F480+F482+F483+F485+F486+F488+F489+F491+F493+F495+F497</f>
        <v>1190549.62</v>
      </c>
      <c r="G454" s="140" t="e">
        <f>#REF!+#REF!+#REF!+#REF!+#REF!+G457+G458+G459+G463+G464+G466+G468+G470+G472+G473+G475+G478+G480+G482+G483+G491+G493+G495+G497</f>
        <v>#REF!</v>
      </c>
      <c r="H454" s="117" t="e">
        <f>#REF!+#REF!+#REF!+#REF!+#REF!+H457+H458+H459+H463+H464+H466+H468+H470+H472+H473+H475+H478+H480+H482+H483+H491+H493+H495+H497</f>
        <v>#REF!</v>
      </c>
      <c r="I454" s="161" t="e">
        <f>#REF!+#REF!+#REF!+#REF!+#REF!+I457+I458+I459+I463+I464+I466+I468+I470+I472+I473+I475+I478+I480+I482+I483+I491+I493+I495+I497</f>
        <v>#REF!</v>
      </c>
      <c r="J454" s="139" t="e">
        <f>#REF!+#REF!+#REF!+#REF!+#REF!+J457+J458+J459+J463+J464+J466+J468+J470+J472+J473+J475+J478+J480+J482+J483+J491+J493+J495+J497</f>
        <v>#REF!</v>
      </c>
      <c r="K454" s="117" t="e">
        <f>#REF!+#REF!+#REF!+#REF!+#REF!+K457+K458+K459+K463+K464+K466+K468+K470+K472+K473+K475+K478+K480+K482+K483+K491+K493+K495+K497</f>
        <v>#REF!</v>
      </c>
      <c r="L454" s="161" t="e">
        <f>#REF!+#REF!+#REF!+#REF!+#REF!+L457+L458+L459+L463+L464+L466+L468+L470+L472+L473+L475+L478+L480+L482+L483+L491+L493+L495+L497</f>
        <v>#REF!</v>
      </c>
      <c r="M454" s="116" t="e">
        <f>#REF!+#REF!+#REF!+#REF!+#REF!+M457+M458+M459+M463+M464+M466+M468+M470+M472+M473+M475+M478+M480+M482+M483+M491+M493+M495+M497</f>
        <v>#REF!</v>
      </c>
      <c r="N454" s="116" t="e">
        <f>#REF!+#REF!+#REF!+#REF!+#REF!+N457+N458+N459+N463+N464+N466+N468+N470+N472+N473+N475+N478+N480+N482+N483+N491+N493+N495+N497</f>
        <v>#REF!</v>
      </c>
      <c r="O454" s="116" t="e">
        <f>#REF!+#REF!+#REF!+#REF!+#REF!+O457+O458+O459+O463+O464+O466+O468+O470+O472+O473+O475+O478+O480+O482+O483+O491+O493+O495+O497</f>
        <v>#REF!</v>
      </c>
      <c r="P454" s="116" t="e">
        <f>#REF!+#REF!+#REF!+#REF!+#REF!+P457+P458+P459+P463+P464+P466+P468+P470+P472+P473+P475+P478+P480+P482+P483+P491+P493+P495+P497</f>
        <v>#REF!</v>
      </c>
      <c r="Q454" s="243" t="e">
        <f>#REF!+#REF!+#REF!+#REF!+#REF!+Q457+Q458+Q459+Q463+Q464+Q466+Q468+Q470+Q472+Q473+Q475+Q478+Q480+Q482+Q483+Q491+Q493+Q495+Q497</f>
        <v>#REF!</v>
      </c>
    </row>
    <row r="455" spans="1:17" ht="12.75">
      <c r="A455" s="33" t="s">
        <v>102</v>
      </c>
      <c r="B455" s="98"/>
      <c r="C455" s="152"/>
      <c r="D455" s="113"/>
      <c r="E455" s="136"/>
      <c r="F455" s="167"/>
      <c r="G455" s="137"/>
      <c r="H455" s="6"/>
      <c r="I455" s="69"/>
      <c r="J455" s="224"/>
      <c r="K455" s="6"/>
      <c r="L455" s="69"/>
      <c r="M455" s="20"/>
      <c r="N455" s="6"/>
      <c r="O455" s="21"/>
      <c r="P455" s="81"/>
      <c r="Q455" s="79"/>
    </row>
    <row r="456" spans="1:17" ht="12.75">
      <c r="A456" s="34" t="s">
        <v>106</v>
      </c>
      <c r="B456" s="98">
        <v>10</v>
      </c>
      <c r="C456" s="145">
        <f>SUM(C457:C460)</f>
        <v>155000</v>
      </c>
      <c r="D456" s="114">
        <f aca="true" t="shared" si="118" ref="D456:Q456">SUM(D457:D460)</f>
        <v>67670.95999999999</v>
      </c>
      <c r="E456" s="160">
        <f t="shared" si="118"/>
        <v>0</v>
      </c>
      <c r="F456" s="189">
        <f t="shared" si="118"/>
        <v>222670.96000000002</v>
      </c>
      <c r="G456" s="146">
        <f t="shared" si="118"/>
        <v>0</v>
      </c>
      <c r="H456" s="114">
        <f t="shared" si="118"/>
        <v>0</v>
      </c>
      <c r="I456" s="160">
        <f t="shared" si="118"/>
        <v>222670.96000000002</v>
      </c>
      <c r="J456" s="145">
        <f t="shared" si="118"/>
        <v>0</v>
      </c>
      <c r="K456" s="114">
        <f t="shared" si="118"/>
        <v>0</v>
      </c>
      <c r="L456" s="160">
        <f t="shared" si="118"/>
        <v>222670.96000000002</v>
      </c>
      <c r="M456" s="115">
        <f t="shared" si="118"/>
        <v>0</v>
      </c>
      <c r="N456" s="115">
        <f t="shared" si="118"/>
        <v>0</v>
      </c>
      <c r="O456" s="115">
        <f t="shared" si="118"/>
        <v>222670.96000000002</v>
      </c>
      <c r="P456" s="115">
        <f t="shared" si="118"/>
        <v>0</v>
      </c>
      <c r="Q456" s="241">
        <f t="shared" si="118"/>
        <v>222670.96000000002</v>
      </c>
    </row>
    <row r="457" spans="1:17" ht="12.75" hidden="1">
      <c r="A457" s="34" t="s">
        <v>107</v>
      </c>
      <c r="B457" s="98"/>
      <c r="C457" s="145"/>
      <c r="D457" s="114"/>
      <c r="E457" s="160"/>
      <c r="F457" s="189">
        <f aca="true" t="shared" si="119" ref="F457:F501">C457+D457+E457</f>
        <v>0</v>
      </c>
      <c r="G457" s="87"/>
      <c r="H457" s="7"/>
      <c r="I457" s="73">
        <f>F457+G457+H457</f>
        <v>0</v>
      </c>
      <c r="J457" s="28"/>
      <c r="K457" s="7"/>
      <c r="L457" s="73">
        <f>I457+J457+K457</f>
        <v>0</v>
      </c>
      <c r="M457" s="22"/>
      <c r="N457" s="7"/>
      <c r="O457" s="23">
        <f>L457+M457+N457</f>
        <v>0</v>
      </c>
      <c r="P457" s="81"/>
      <c r="Q457" s="79">
        <f>O457+P457</f>
        <v>0</v>
      </c>
    </row>
    <row r="458" spans="1:17" ht="12.75">
      <c r="A458" s="99" t="s">
        <v>104</v>
      </c>
      <c r="B458" s="98"/>
      <c r="C458" s="145">
        <v>140000</v>
      </c>
      <c r="D458" s="125">
        <f>24156.01+55000</f>
        <v>79156.01</v>
      </c>
      <c r="E458" s="264"/>
      <c r="F458" s="189">
        <f t="shared" si="119"/>
        <v>219156.01</v>
      </c>
      <c r="G458" s="87"/>
      <c r="H458" s="7"/>
      <c r="I458" s="73">
        <f>F458+G458+H458</f>
        <v>219156.01</v>
      </c>
      <c r="J458" s="28"/>
      <c r="K458" s="7"/>
      <c r="L458" s="73">
        <f>I458+J458+K458</f>
        <v>219156.01</v>
      </c>
      <c r="M458" s="22"/>
      <c r="N458" s="7"/>
      <c r="O458" s="23">
        <f>L458+M458+N458</f>
        <v>219156.01</v>
      </c>
      <c r="P458" s="81"/>
      <c r="Q458" s="79">
        <f>O458+P458</f>
        <v>219156.01</v>
      </c>
    </row>
    <row r="459" spans="1:17" ht="12.75">
      <c r="A459" s="34" t="s">
        <v>105</v>
      </c>
      <c r="B459" s="98"/>
      <c r="C459" s="145"/>
      <c r="D459" s="114">
        <f>1000</f>
        <v>1000</v>
      </c>
      <c r="E459" s="160"/>
      <c r="F459" s="189">
        <f t="shared" si="119"/>
        <v>1000</v>
      </c>
      <c r="G459" s="87"/>
      <c r="H459" s="7"/>
      <c r="I459" s="73">
        <f>F459+G459+H459</f>
        <v>1000</v>
      </c>
      <c r="J459" s="28"/>
      <c r="K459" s="7"/>
      <c r="L459" s="73">
        <f>I459+J459+K459</f>
        <v>1000</v>
      </c>
      <c r="M459" s="22"/>
      <c r="N459" s="7"/>
      <c r="O459" s="23">
        <f>L459+M459+N459</f>
        <v>1000</v>
      </c>
      <c r="P459" s="81"/>
      <c r="Q459" s="79">
        <f>O459+P459</f>
        <v>1000</v>
      </c>
    </row>
    <row r="460" spans="1:17" ht="12.75">
      <c r="A460" s="35" t="s">
        <v>134</v>
      </c>
      <c r="B460" s="98"/>
      <c r="C460" s="145">
        <v>15000</v>
      </c>
      <c r="D460" s="142">
        <f>-12485.05</f>
        <v>-12485.05</v>
      </c>
      <c r="E460" s="160"/>
      <c r="F460" s="189">
        <f t="shared" si="119"/>
        <v>2514.9500000000007</v>
      </c>
      <c r="G460" s="87"/>
      <c r="H460" s="7"/>
      <c r="I460" s="73">
        <f>F460+G460+H460</f>
        <v>2514.9500000000007</v>
      </c>
      <c r="J460" s="28"/>
      <c r="K460" s="7"/>
      <c r="L460" s="73">
        <f>I460+J460+K460</f>
        <v>2514.9500000000007</v>
      </c>
      <c r="M460" s="22"/>
      <c r="N460" s="7"/>
      <c r="O460" s="23">
        <f>L460+M460+N460</f>
        <v>2514.9500000000007</v>
      </c>
      <c r="P460" s="81"/>
      <c r="Q460" s="79">
        <f>O460+P460</f>
        <v>2514.9500000000007</v>
      </c>
    </row>
    <row r="461" spans="1:17" ht="12.75">
      <c r="A461" s="34" t="s">
        <v>109</v>
      </c>
      <c r="B461" s="98">
        <v>12</v>
      </c>
      <c r="C461" s="145">
        <f aca="true" t="shared" si="120" ref="C461:Q461">C462+C463+C464</f>
        <v>46500</v>
      </c>
      <c r="D461" s="114">
        <f t="shared" si="120"/>
        <v>103625.43000000001</v>
      </c>
      <c r="E461" s="160">
        <f t="shared" si="120"/>
        <v>0</v>
      </c>
      <c r="F461" s="189">
        <f t="shared" si="120"/>
        <v>150125.43000000002</v>
      </c>
      <c r="G461" s="146">
        <f t="shared" si="120"/>
        <v>0</v>
      </c>
      <c r="H461" s="114">
        <f t="shared" si="120"/>
        <v>0</v>
      </c>
      <c r="I461" s="160">
        <f t="shared" si="120"/>
        <v>150125.43000000002</v>
      </c>
      <c r="J461" s="145">
        <f t="shared" si="120"/>
        <v>0</v>
      </c>
      <c r="K461" s="114">
        <f t="shared" si="120"/>
        <v>0</v>
      </c>
      <c r="L461" s="160">
        <f t="shared" si="120"/>
        <v>150125.43000000002</v>
      </c>
      <c r="M461" s="115">
        <f t="shared" si="120"/>
        <v>0</v>
      </c>
      <c r="N461" s="115">
        <f t="shared" si="120"/>
        <v>0</v>
      </c>
      <c r="O461" s="115">
        <f t="shared" si="120"/>
        <v>150125.43000000002</v>
      </c>
      <c r="P461" s="115">
        <f t="shared" si="120"/>
        <v>0</v>
      </c>
      <c r="Q461" s="241">
        <f t="shared" si="120"/>
        <v>150125.43000000002</v>
      </c>
    </row>
    <row r="462" spans="1:17" ht="12.75">
      <c r="A462" s="34" t="s">
        <v>110</v>
      </c>
      <c r="B462" s="98"/>
      <c r="C462" s="145">
        <v>3249.65</v>
      </c>
      <c r="D462" s="114">
        <f>1639.99</f>
        <v>1639.99</v>
      </c>
      <c r="E462" s="160"/>
      <c r="F462" s="189">
        <f t="shared" si="119"/>
        <v>4889.64</v>
      </c>
      <c r="G462" s="87"/>
      <c r="H462" s="7"/>
      <c r="I462" s="73">
        <f>F462+G462+H462</f>
        <v>4889.64</v>
      </c>
      <c r="J462" s="28"/>
      <c r="K462" s="7"/>
      <c r="L462" s="73">
        <f>I462+J462+K462</f>
        <v>4889.64</v>
      </c>
      <c r="M462" s="22"/>
      <c r="N462" s="7"/>
      <c r="O462" s="23">
        <f>L462+M462+N462</f>
        <v>4889.64</v>
      </c>
      <c r="P462" s="81"/>
      <c r="Q462" s="79">
        <f>O462+P462</f>
        <v>4889.64</v>
      </c>
    </row>
    <row r="463" spans="1:17" ht="12.75">
      <c r="A463" s="34" t="s">
        <v>108</v>
      </c>
      <c r="B463" s="98"/>
      <c r="C463" s="145">
        <v>41500</v>
      </c>
      <c r="D463" s="114">
        <f>102295.44</f>
        <v>102295.44</v>
      </c>
      <c r="E463" s="160"/>
      <c r="F463" s="189">
        <f t="shared" si="119"/>
        <v>143795.44</v>
      </c>
      <c r="G463" s="87"/>
      <c r="H463" s="7"/>
      <c r="I463" s="73">
        <f>F463+G463+H463</f>
        <v>143795.44</v>
      </c>
      <c r="J463" s="28"/>
      <c r="K463" s="7"/>
      <c r="L463" s="73">
        <f>I463+J463+K463</f>
        <v>143795.44</v>
      </c>
      <c r="M463" s="22"/>
      <c r="N463" s="7"/>
      <c r="O463" s="23">
        <f>L463+M463+N463</f>
        <v>143795.44</v>
      </c>
      <c r="P463" s="81"/>
      <c r="Q463" s="79">
        <f>O463+P463</f>
        <v>143795.44</v>
      </c>
    </row>
    <row r="464" spans="1:17" ht="12.75" customHeight="1">
      <c r="A464" s="34" t="s">
        <v>105</v>
      </c>
      <c r="B464" s="98"/>
      <c r="C464" s="145">
        <v>1750.35</v>
      </c>
      <c r="D464" s="114">
        <f>-310</f>
        <v>-310</v>
      </c>
      <c r="E464" s="160"/>
      <c r="F464" s="189">
        <f t="shared" si="119"/>
        <v>1440.35</v>
      </c>
      <c r="G464" s="87"/>
      <c r="H464" s="7"/>
      <c r="I464" s="73">
        <f>F464+G464+H464</f>
        <v>1440.35</v>
      </c>
      <c r="J464" s="28"/>
      <c r="K464" s="7"/>
      <c r="L464" s="73">
        <f>I464+J464+K464</f>
        <v>1440.35</v>
      </c>
      <c r="M464" s="22"/>
      <c r="N464" s="7"/>
      <c r="O464" s="23">
        <f>L464+M464+N464</f>
        <v>1440.35</v>
      </c>
      <c r="P464" s="81"/>
      <c r="Q464" s="79">
        <f>O464+P464</f>
        <v>1440.35</v>
      </c>
    </row>
    <row r="465" spans="1:17" ht="12.75">
      <c r="A465" s="34" t="s">
        <v>111</v>
      </c>
      <c r="B465" s="98">
        <v>14</v>
      </c>
      <c r="C465" s="145">
        <f>SUM(C466:C470)</f>
        <v>100000</v>
      </c>
      <c r="D465" s="114">
        <f aca="true" t="shared" si="121" ref="D465:Q465">SUM(D466:D470)</f>
        <v>89233.02</v>
      </c>
      <c r="E465" s="160">
        <f t="shared" si="121"/>
        <v>0</v>
      </c>
      <c r="F465" s="189">
        <f t="shared" si="121"/>
        <v>189233.02</v>
      </c>
      <c r="G465" s="146">
        <f t="shared" si="121"/>
        <v>0</v>
      </c>
      <c r="H465" s="114">
        <f t="shared" si="121"/>
        <v>0</v>
      </c>
      <c r="I465" s="160">
        <f t="shared" si="121"/>
        <v>189233.02</v>
      </c>
      <c r="J465" s="145">
        <f t="shared" si="121"/>
        <v>0</v>
      </c>
      <c r="K465" s="114">
        <f t="shared" si="121"/>
        <v>0</v>
      </c>
      <c r="L465" s="160">
        <f t="shared" si="121"/>
        <v>189233.02</v>
      </c>
      <c r="M465" s="115">
        <f t="shared" si="121"/>
        <v>0</v>
      </c>
      <c r="N465" s="115">
        <f t="shared" si="121"/>
        <v>0</v>
      </c>
      <c r="O465" s="115">
        <f t="shared" si="121"/>
        <v>189233.02</v>
      </c>
      <c r="P465" s="115">
        <f t="shared" si="121"/>
        <v>0</v>
      </c>
      <c r="Q465" s="241">
        <f t="shared" si="121"/>
        <v>189233.02</v>
      </c>
    </row>
    <row r="466" spans="1:17" ht="12.75">
      <c r="A466" s="34" t="s">
        <v>112</v>
      </c>
      <c r="B466" s="98"/>
      <c r="C466" s="145">
        <v>64700</v>
      </c>
      <c r="D466" s="125">
        <f>45466.63-500+500</f>
        <v>45466.63</v>
      </c>
      <c r="E466" s="264"/>
      <c r="F466" s="189">
        <f t="shared" si="119"/>
        <v>110166.63</v>
      </c>
      <c r="G466" s="87"/>
      <c r="H466" s="7"/>
      <c r="I466" s="73">
        <f>F466+G466+H466</f>
        <v>110166.63</v>
      </c>
      <c r="J466" s="28"/>
      <c r="K466" s="7"/>
      <c r="L466" s="73">
        <f>I466+J466+K466</f>
        <v>110166.63</v>
      </c>
      <c r="M466" s="22"/>
      <c r="N466" s="7"/>
      <c r="O466" s="23">
        <f>L466+M466+N466</f>
        <v>110166.63</v>
      </c>
      <c r="P466" s="81"/>
      <c r="Q466" s="79">
        <f aca="true" t="shared" si="122" ref="Q466:Q512">O466+P466</f>
        <v>110166.63</v>
      </c>
    </row>
    <row r="467" spans="1:17" ht="12.75">
      <c r="A467" s="34" t="s">
        <v>113</v>
      </c>
      <c r="B467" s="98"/>
      <c r="C467" s="145">
        <v>15300</v>
      </c>
      <c r="D467" s="114">
        <f>7126.46</f>
        <v>7126.46</v>
      </c>
      <c r="E467" s="160"/>
      <c r="F467" s="189">
        <f t="shared" si="119"/>
        <v>22426.46</v>
      </c>
      <c r="G467" s="87"/>
      <c r="H467" s="7"/>
      <c r="I467" s="73">
        <f>F467+G467+H467</f>
        <v>22426.46</v>
      </c>
      <c r="J467" s="28"/>
      <c r="K467" s="7"/>
      <c r="L467" s="73">
        <f>I467+J467+K467</f>
        <v>22426.46</v>
      </c>
      <c r="M467" s="22"/>
      <c r="N467" s="7"/>
      <c r="O467" s="23">
        <f>L467+M467+N467</f>
        <v>22426.46</v>
      </c>
      <c r="P467" s="81"/>
      <c r="Q467" s="79">
        <f t="shared" si="122"/>
        <v>22426.46</v>
      </c>
    </row>
    <row r="468" spans="1:17" ht="13.5" customHeight="1">
      <c r="A468" s="34" t="s">
        <v>114</v>
      </c>
      <c r="B468" s="98"/>
      <c r="C468" s="145">
        <v>11000</v>
      </c>
      <c r="D468" s="114">
        <f>30396.63+500+4500</f>
        <v>35396.630000000005</v>
      </c>
      <c r="E468" s="160"/>
      <c r="F468" s="189">
        <f t="shared" si="119"/>
        <v>46396.630000000005</v>
      </c>
      <c r="G468" s="87"/>
      <c r="H468" s="7"/>
      <c r="I468" s="73">
        <f>F468+G468+H468</f>
        <v>46396.630000000005</v>
      </c>
      <c r="J468" s="28"/>
      <c r="K468" s="7"/>
      <c r="L468" s="73">
        <f>I468+J468+K468</f>
        <v>46396.630000000005</v>
      </c>
      <c r="M468" s="22"/>
      <c r="N468" s="7"/>
      <c r="O468" s="23">
        <f>L468+M468+N468</f>
        <v>46396.630000000005</v>
      </c>
      <c r="P468" s="81"/>
      <c r="Q468" s="79">
        <f t="shared" si="122"/>
        <v>46396.630000000005</v>
      </c>
    </row>
    <row r="469" spans="1:17" ht="13.5" customHeight="1">
      <c r="A469" s="35" t="s">
        <v>134</v>
      </c>
      <c r="B469" s="98"/>
      <c r="C469" s="145">
        <v>9000</v>
      </c>
      <c r="D469" s="114">
        <f>1179.05</f>
        <v>1179.05</v>
      </c>
      <c r="E469" s="160"/>
      <c r="F469" s="189">
        <f t="shared" si="119"/>
        <v>10179.05</v>
      </c>
      <c r="G469" s="87"/>
      <c r="H469" s="7"/>
      <c r="I469" s="73">
        <f>F469+G469+H469</f>
        <v>10179.05</v>
      </c>
      <c r="J469" s="28"/>
      <c r="K469" s="7"/>
      <c r="L469" s="73">
        <f>I469+J469+K469</f>
        <v>10179.05</v>
      </c>
      <c r="M469" s="22"/>
      <c r="N469" s="7"/>
      <c r="O469" s="23">
        <f>L469+M469+N469</f>
        <v>10179.05</v>
      </c>
      <c r="P469" s="81"/>
      <c r="Q469" s="79">
        <f t="shared" si="122"/>
        <v>10179.05</v>
      </c>
    </row>
    <row r="470" spans="1:17" ht="12.75">
      <c r="A470" s="34" t="s">
        <v>115</v>
      </c>
      <c r="B470" s="98"/>
      <c r="C470" s="145">
        <v>0</v>
      </c>
      <c r="D470" s="114">
        <f>64.25</f>
        <v>64.25</v>
      </c>
      <c r="E470" s="160"/>
      <c r="F470" s="189">
        <f t="shared" si="119"/>
        <v>64.25</v>
      </c>
      <c r="G470" s="87"/>
      <c r="H470" s="7"/>
      <c r="I470" s="73">
        <f>F470+G470+H470</f>
        <v>64.25</v>
      </c>
      <c r="J470" s="28"/>
      <c r="K470" s="7"/>
      <c r="L470" s="73">
        <f>I470+J470+K470</f>
        <v>64.25</v>
      </c>
      <c r="M470" s="22"/>
      <c r="N470" s="7"/>
      <c r="O470" s="23">
        <f>L470+M470+N470</f>
        <v>64.25</v>
      </c>
      <c r="P470" s="81"/>
      <c r="Q470" s="79">
        <f t="shared" si="122"/>
        <v>64.25</v>
      </c>
    </row>
    <row r="471" spans="1:17" ht="12.75">
      <c r="A471" s="34" t="s">
        <v>116</v>
      </c>
      <c r="B471" s="98">
        <v>15</v>
      </c>
      <c r="C471" s="145">
        <f>SUM(C472:C478)</f>
        <v>250000</v>
      </c>
      <c r="D471" s="114">
        <f aca="true" t="shared" si="123" ref="D471:Q471">SUM(D472:D478)</f>
        <v>167727.81000000003</v>
      </c>
      <c r="E471" s="160">
        <f t="shared" si="123"/>
        <v>0</v>
      </c>
      <c r="F471" s="189">
        <f t="shared" si="123"/>
        <v>417727.81000000006</v>
      </c>
      <c r="G471" s="146">
        <f t="shared" si="123"/>
        <v>0</v>
      </c>
      <c r="H471" s="114">
        <f t="shared" si="123"/>
        <v>0</v>
      </c>
      <c r="I471" s="160">
        <f t="shared" si="123"/>
        <v>417727.81000000006</v>
      </c>
      <c r="J471" s="145">
        <f t="shared" si="123"/>
        <v>0</v>
      </c>
      <c r="K471" s="114">
        <f t="shared" si="123"/>
        <v>0</v>
      </c>
      <c r="L471" s="160">
        <f t="shared" si="123"/>
        <v>417727.81000000006</v>
      </c>
      <c r="M471" s="115">
        <f t="shared" si="123"/>
        <v>0</v>
      </c>
      <c r="N471" s="115">
        <f t="shared" si="123"/>
        <v>0</v>
      </c>
      <c r="O471" s="115">
        <f t="shared" si="123"/>
        <v>417727.81000000006</v>
      </c>
      <c r="P471" s="115">
        <f t="shared" si="123"/>
        <v>0</v>
      </c>
      <c r="Q471" s="241">
        <f t="shared" si="123"/>
        <v>417727.81000000006</v>
      </c>
    </row>
    <row r="472" spans="1:17" ht="12.75">
      <c r="A472" s="34" t="s">
        <v>117</v>
      </c>
      <c r="B472" s="98"/>
      <c r="C472" s="145">
        <v>218384.89</v>
      </c>
      <c r="D472" s="114">
        <f>335900.53-200000</f>
        <v>135900.53000000003</v>
      </c>
      <c r="E472" s="160"/>
      <c r="F472" s="189">
        <f t="shared" si="119"/>
        <v>354285.42000000004</v>
      </c>
      <c r="G472" s="87"/>
      <c r="H472" s="7"/>
      <c r="I472" s="73">
        <f aca="true" t="shared" si="124" ref="I472:I478">F472+G472+H472</f>
        <v>354285.42000000004</v>
      </c>
      <c r="J472" s="28"/>
      <c r="K472" s="7"/>
      <c r="L472" s="73">
        <f aca="true" t="shared" si="125" ref="L472:L478">I472+J472+K472</f>
        <v>354285.42000000004</v>
      </c>
      <c r="M472" s="22"/>
      <c r="N472" s="7"/>
      <c r="O472" s="23">
        <f aca="true" t="shared" si="126" ref="O472:O478">L472+M472+N472</f>
        <v>354285.42000000004</v>
      </c>
      <c r="P472" s="81"/>
      <c r="Q472" s="79">
        <f t="shared" si="122"/>
        <v>354285.42000000004</v>
      </c>
    </row>
    <row r="473" spans="1:17" ht="12.75" hidden="1">
      <c r="A473" s="34" t="s">
        <v>118</v>
      </c>
      <c r="B473" s="98"/>
      <c r="C473" s="145"/>
      <c r="D473" s="114"/>
      <c r="E473" s="160"/>
      <c r="F473" s="189">
        <f t="shared" si="119"/>
        <v>0</v>
      </c>
      <c r="G473" s="87"/>
      <c r="H473" s="7"/>
      <c r="I473" s="73">
        <f t="shared" si="124"/>
        <v>0</v>
      </c>
      <c r="J473" s="28"/>
      <c r="K473" s="7"/>
      <c r="L473" s="73">
        <f t="shared" si="125"/>
        <v>0</v>
      </c>
      <c r="M473" s="22"/>
      <c r="N473" s="7"/>
      <c r="O473" s="23">
        <f t="shared" si="126"/>
        <v>0</v>
      </c>
      <c r="P473" s="81"/>
      <c r="Q473" s="79">
        <f t="shared" si="122"/>
        <v>0</v>
      </c>
    </row>
    <row r="474" spans="1:17" ht="12.75" hidden="1">
      <c r="A474" s="34" t="s">
        <v>119</v>
      </c>
      <c r="B474" s="98"/>
      <c r="C474" s="145"/>
      <c r="D474" s="125"/>
      <c r="E474" s="264"/>
      <c r="F474" s="189">
        <f t="shared" si="119"/>
        <v>0</v>
      </c>
      <c r="G474" s="87"/>
      <c r="H474" s="7"/>
      <c r="I474" s="73">
        <f t="shared" si="124"/>
        <v>0</v>
      </c>
      <c r="J474" s="28"/>
      <c r="K474" s="7"/>
      <c r="L474" s="73">
        <f t="shared" si="125"/>
        <v>0</v>
      </c>
      <c r="M474" s="22"/>
      <c r="N474" s="7"/>
      <c r="O474" s="23">
        <f t="shared" si="126"/>
        <v>0</v>
      </c>
      <c r="P474" s="81"/>
      <c r="Q474" s="79">
        <f t="shared" si="122"/>
        <v>0</v>
      </c>
    </row>
    <row r="475" spans="1:17" ht="12.75">
      <c r="A475" s="34" t="s">
        <v>120</v>
      </c>
      <c r="B475" s="98"/>
      <c r="C475" s="145">
        <v>28865.11</v>
      </c>
      <c r="D475" s="114">
        <f>8982.01+600</f>
        <v>9582.01</v>
      </c>
      <c r="E475" s="160"/>
      <c r="F475" s="189">
        <f t="shared" si="119"/>
        <v>38447.12</v>
      </c>
      <c r="G475" s="87"/>
      <c r="H475" s="7"/>
      <c r="I475" s="73">
        <f t="shared" si="124"/>
        <v>38447.12</v>
      </c>
      <c r="J475" s="28"/>
      <c r="K475" s="7"/>
      <c r="L475" s="73">
        <f t="shared" si="125"/>
        <v>38447.12</v>
      </c>
      <c r="M475" s="22"/>
      <c r="N475" s="7"/>
      <c r="O475" s="23">
        <f t="shared" si="126"/>
        <v>38447.12</v>
      </c>
      <c r="P475" s="81"/>
      <c r="Q475" s="79">
        <f t="shared" si="122"/>
        <v>38447.12</v>
      </c>
    </row>
    <row r="476" spans="1:17" ht="12.75">
      <c r="A476" s="34" t="s">
        <v>121</v>
      </c>
      <c r="B476" s="98"/>
      <c r="C476" s="145">
        <v>200</v>
      </c>
      <c r="D476" s="114">
        <f>745.74</f>
        <v>745.74</v>
      </c>
      <c r="E476" s="160"/>
      <c r="F476" s="189">
        <f t="shared" si="119"/>
        <v>945.74</v>
      </c>
      <c r="G476" s="87"/>
      <c r="H476" s="7"/>
      <c r="I476" s="73">
        <f t="shared" si="124"/>
        <v>945.74</v>
      </c>
      <c r="J476" s="225"/>
      <c r="K476" s="7"/>
      <c r="L476" s="73">
        <f t="shared" si="125"/>
        <v>945.74</v>
      </c>
      <c r="M476" s="22"/>
      <c r="N476" s="7"/>
      <c r="O476" s="23">
        <f t="shared" si="126"/>
        <v>945.74</v>
      </c>
      <c r="P476" s="81"/>
      <c r="Q476" s="79">
        <f t="shared" si="122"/>
        <v>945.74</v>
      </c>
    </row>
    <row r="477" spans="1:17" ht="12.75">
      <c r="A477" s="34" t="s">
        <v>122</v>
      </c>
      <c r="B477" s="98"/>
      <c r="C477" s="145">
        <v>0</v>
      </c>
      <c r="D477" s="114">
        <f>6940.44</f>
        <v>6940.44</v>
      </c>
      <c r="E477" s="160"/>
      <c r="F477" s="189">
        <f t="shared" si="119"/>
        <v>6940.44</v>
      </c>
      <c r="G477" s="87"/>
      <c r="H477" s="7"/>
      <c r="I477" s="73">
        <f t="shared" si="124"/>
        <v>6940.44</v>
      </c>
      <c r="J477" s="28"/>
      <c r="K477" s="7"/>
      <c r="L477" s="73">
        <f t="shared" si="125"/>
        <v>6940.44</v>
      </c>
      <c r="M477" s="22"/>
      <c r="N477" s="7"/>
      <c r="O477" s="23">
        <f t="shared" si="126"/>
        <v>6940.44</v>
      </c>
      <c r="P477" s="81"/>
      <c r="Q477" s="79">
        <f t="shared" si="122"/>
        <v>6940.44</v>
      </c>
    </row>
    <row r="478" spans="1:17" ht="12.75">
      <c r="A478" s="34" t="s">
        <v>115</v>
      </c>
      <c r="B478" s="98"/>
      <c r="C478" s="145">
        <v>2550</v>
      </c>
      <c r="D478" s="114">
        <f>14559.09</f>
        <v>14559.09</v>
      </c>
      <c r="E478" s="160"/>
      <c r="F478" s="189">
        <f t="shared" si="119"/>
        <v>17109.09</v>
      </c>
      <c r="G478" s="87"/>
      <c r="H478" s="7"/>
      <c r="I478" s="73">
        <f t="shared" si="124"/>
        <v>17109.09</v>
      </c>
      <c r="J478" s="28"/>
      <c r="K478" s="7"/>
      <c r="L478" s="73">
        <f t="shared" si="125"/>
        <v>17109.09</v>
      </c>
      <c r="M478" s="22"/>
      <c r="N478" s="7"/>
      <c r="O478" s="23">
        <f t="shared" si="126"/>
        <v>17109.09</v>
      </c>
      <c r="P478" s="81"/>
      <c r="Q478" s="79">
        <f t="shared" si="122"/>
        <v>17109.09</v>
      </c>
    </row>
    <row r="479" spans="1:17" ht="12.75">
      <c r="A479" s="34" t="s">
        <v>123</v>
      </c>
      <c r="B479" s="98">
        <v>16</v>
      </c>
      <c r="C479" s="145">
        <f>SUM(C480:C483)</f>
        <v>5000</v>
      </c>
      <c r="D479" s="114">
        <f aca="true" t="shared" si="127" ref="D479:Q479">SUM(D480:D483)</f>
        <v>36342.310000000005</v>
      </c>
      <c r="E479" s="160">
        <f t="shared" si="127"/>
        <v>0</v>
      </c>
      <c r="F479" s="189">
        <f t="shared" si="127"/>
        <v>41342.310000000005</v>
      </c>
      <c r="G479" s="146">
        <f t="shared" si="127"/>
        <v>0</v>
      </c>
      <c r="H479" s="114">
        <f t="shared" si="127"/>
        <v>0</v>
      </c>
      <c r="I479" s="160">
        <f t="shared" si="127"/>
        <v>41342.310000000005</v>
      </c>
      <c r="J479" s="145">
        <f t="shared" si="127"/>
        <v>0</v>
      </c>
      <c r="K479" s="114">
        <f t="shared" si="127"/>
        <v>0</v>
      </c>
      <c r="L479" s="160">
        <f t="shared" si="127"/>
        <v>41342.310000000005</v>
      </c>
      <c r="M479" s="115">
        <f t="shared" si="127"/>
        <v>0</v>
      </c>
      <c r="N479" s="115">
        <f t="shared" si="127"/>
        <v>0</v>
      </c>
      <c r="O479" s="115">
        <f t="shared" si="127"/>
        <v>41342.310000000005</v>
      </c>
      <c r="P479" s="115">
        <f t="shared" si="127"/>
        <v>0</v>
      </c>
      <c r="Q479" s="241">
        <f t="shared" si="127"/>
        <v>41342.310000000005</v>
      </c>
    </row>
    <row r="480" spans="1:17" ht="12.75">
      <c r="A480" s="34" t="s">
        <v>112</v>
      </c>
      <c r="B480" s="98"/>
      <c r="C480" s="145">
        <v>3201</v>
      </c>
      <c r="D480" s="114">
        <f>1700</f>
        <v>1700</v>
      </c>
      <c r="E480" s="160"/>
      <c r="F480" s="189">
        <f t="shared" si="119"/>
        <v>4901</v>
      </c>
      <c r="G480" s="87"/>
      <c r="H480" s="7"/>
      <c r="I480" s="73">
        <f>F480+G480+H480</f>
        <v>4901</v>
      </c>
      <c r="J480" s="28"/>
      <c r="K480" s="7"/>
      <c r="L480" s="73">
        <f>I480+J480+K480</f>
        <v>4901</v>
      </c>
      <c r="M480" s="22"/>
      <c r="N480" s="7"/>
      <c r="O480" s="23">
        <f>L480+M480+N480</f>
        <v>4901</v>
      </c>
      <c r="P480" s="81"/>
      <c r="Q480" s="79">
        <f t="shared" si="122"/>
        <v>4901</v>
      </c>
    </row>
    <row r="481" spans="1:17" ht="12.75">
      <c r="A481" s="34" t="s">
        <v>113</v>
      </c>
      <c r="B481" s="98"/>
      <c r="C481" s="145">
        <v>99</v>
      </c>
      <c r="D481" s="114"/>
      <c r="E481" s="160"/>
      <c r="F481" s="189">
        <f t="shared" si="119"/>
        <v>99</v>
      </c>
      <c r="G481" s="87"/>
      <c r="H481" s="7"/>
      <c r="I481" s="73">
        <f>F481+G481+H481</f>
        <v>99</v>
      </c>
      <c r="J481" s="28"/>
      <c r="K481" s="7"/>
      <c r="L481" s="73">
        <f>I481+J481+K481</f>
        <v>99</v>
      </c>
      <c r="M481" s="22"/>
      <c r="N481" s="7"/>
      <c r="O481" s="23">
        <f>L481+M481+N481</f>
        <v>99</v>
      </c>
      <c r="P481" s="81"/>
      <c r="Q481" s="79">
        <f t="shared" si="122"/>
        <v>99</v>
      </c>
    </row>
    <row r="482" spans="1:17" ht="12.75">
      <c r="A482" s="34" t="s">
        <v>114</v>
      </c>
      <c r="B482" s="98"/>
      <c r="C482" s="145">
        <v>1500</v>
      </c>
      <c r="D482" s="114">
        <f>34515.41</f>
        <v>34515.41</v>
      </c>
      <c r="E482" s="160"/>
      <c r="F482" s="189">
        <f t="shared" si="119"/>
        <v>36015.41</v>
      </c>
      <c r="G482" s="87"/>
      <c r="H482" s="7"/>
      <c r="I482" s="73">
        <f>F482+G482+H482</f>
        <v>36015.41</v>
      </c>
      <c r="J482" s="28"/>
      <c r="K482" s="7"/>
      <c r="L482" s="73">
        <f>I482+J482+K482</f>
        <v>36015.41</v>
      </c>
      <c r="M482" s="22"/>
      <c r="N482" s="7"/>
      <c r="O482" s="23">
        <f>L482+M482+N482</f>
        <v>36015.41</v>
      </c>
      <c r="P482" s="81"/>
      <c r="Q482" s="79">
        <f t="shared" si="122"/>
        <v>36015.41</v>
      </c>
    </row>
    <row r="483" spans="1:17" ht="12.75">
      <c r="A483" s="34" t="s">
        <v>115</v>
      </c>
      <c r="B483" s="98"/>
      <c r="C483" s="145">
        <v>200</v>
      </c>
      <c r="D483" s="114">
        <f>126.9</f>
        <v>126.9</v>
      </c>
      <c r="E483" s="160"/>
      <c r="F483" s="189">
        <f t="shared" si="119"/>
        <v>326.9</v>
      </c>
      <c r="G483" s="87"/>
      <c r="H483" s="7"/>
      <c r="I483" s="73">
        <f>F483+G483+H483</f>
        <v>326.9</v>
      </c>
      <c r="J483" s="28"/>
      <c r="K483" s="7"/>
      <c r="L483" s="73">
        <f>I483+J483+K483</f>
        <v>326.9</v>
      </c>
      <c r="M483" s="22"/>
      <c r="N483" s="7"/>
      <c r="O483" s="23">
        <f>L483+M483+N483</f>
        <v>326.9</v>
      </c>
      <c r="P483" s="81"/>
      <c r="Q483" s="79">
        <f t="shared" si="122"/>
        <v>326.9</v>
      </c>
    </row>
    <row r="484" spans="1:17" ht="12.75">
      <c r="A484" s="34" t="s">
        <v>103</v>
      </c>
      <c r="B484" s="98">
        <v>18</v>
      </c>
      <c r="C484" s="145">
        <f>C485+C486</f>
        <v>1650</v>
      </c>
      <c r="D484" s="114">
        <f>D485+D486</f>
        <v>172.18</v>
      </c>
      <c r="E484" s="160">
        <f>E485+E486</f>
        <v>0</v>
      </c>
      <c r="F484" s="189">
        <f>F485+F486</f>
        <v>1822.18</v>
      </c>
      <c r="G484" s="87"/>
      <c r="H484" s="7"/>
      <c r="I484" s="87"/>
      <c r="J484" s="28"/>
      <c r="K484" s="7"/>
      <c r="L484" s="87"/>
      <c r="M484" s="22"/>
      <c r="N484" s="135"/>
      <c r="O484" s="87"/>
      <c r="P484" s="81"/>
      <c r="Q484" s="79"/>
    </row>
    <row r="485" spans="1:17" ht="12.75">
      <c r="A485" s="34" t="s">
        <v>104</v>
      </c>
      <c r="B485" s="98"/>
      <c r="C485" s="145">
        <v>1650</v>
      </c>
      <c r="D485" s="114">
        <f>172.18</f>
        <v>172.18</v>
      </c>
      <c r="E485" s="160"/>
      <c r="F485" s="189">
        <f>C485+D485+E485</f>
        <v>1822.18</v>
      </c>
      <c r="G485" s="87"/>
      <c r="H485" s="7"/>
      <c r="I485" s="87"/>
      <c r="J485" s="28"/>
      <c r="K485" s="7"/>
      <c r="L485" s="87"/>
      <c r="M485" s="22"/>
      <c r="N485" s="135"/>
      <c r="O485" s="87"/>
      <c r="P485" s="81"/>
      <c r="Q485" s="79"/>
    </row>
    <row r="486" spans="1:17" ht="12.75" hidden="1">
      <c r="A486" s="34" t="s">
        <v>105</v>
      </c>
      <c r="B486" s="98"/>
      <c r="C486" s="145">
        <v>0</v>
      </c>
      <c r="D486" s="114"/>
      <c r="E486" s="160"/>
      <c r="F486" s="189">
        <f>C486+D486+E486</f>
        <v>0</v>
      </c>
      <c r="G486" s="87"/>
      <c r="H486" s="7"/>
      <c r="I486" s="87"/>
      <c r="J486" s="28"/>
      <c r="K486" s="7"/>
      <c r="L486" s="87"/>
      <c r="M486" s="22"/>
      <c r="N486" s="135"/>
      <c r="O486" s="87"/>
      <c r="P486" s="81"/>
      <c r="Q486" s="79"/>
    </row>
    <row r="487" spans="1:17" ht="12.75">
      <c r="A487" s="99" t="s">
        <v>257</v>
      </c>
      <c r="B487" s="98">
        <v>19</v>
      </c>
      <c r="C487" s="145">
        <f>C488+C489</f>
        <v>5000</v>
      </c>
      <c r="D487" s="114">
        <f>D488+D489</f>
        <v>33902.079999999994</v>
      </c>
      <c r="E487" s="160">
        <f>E488+E489</f>
        <v>0</v>
      </c>
      <c r="F487" s="189">
        <f>F488+F489</f>
        <v>38902.079999999994</v>
      </c>
      <c r="G487" s="87"/>
      <c r="H487" s="7"/>
      <c r="I487" s="87"/>
      <c r="J487" s="28"/>
      <c r="K487" s="7"/>
      <c r="L487" s="87"/>
      <c r="M487" s="22"/>
      <c r="N487" s="135"/>
      <c r="O487" s="87"/>
      <c r="P487" s="81"/>
      <c r="Q487" s="79"/>
    </row>
    <row r="488" spans="1:17" ht="12.75">
      <c r="A488" s="34" t="s">
        <v>104</v>
      </c>
      <c r="B488" s="98"/>
      <c r="C488" s="145">
        <v>5000</v>
      </c>
      <c r="D488" s="114">
        <f>33312.31</f>
        <v>33312.31</v>
      </c>
      <c r="E488" s="160"/>
      <c r="F488" s="189">
        <f>C488+D488+E488</f>
        <v>38312.31</v>
      </c>
      <c r="G488" s="87"/>
      <c r="H488" s="7"/>
      <c r="I488" s="87"/>
      <c r="J488" s="28"/>
      <c r="K488" s="7"/>
      <c r="L488" s="87"/>
      <c r="M488" s="22"/>
      <c r="N488" s="135"/>
      <c r="O488" s="87"/>
      <c r="P488" s="81"/>
      <c r="Q488" s="79"/>
    </row>
    <row r="489" spans="1:17" ht="12.75">
      <c r="A489" s="34" t="s">
        <v>105</v>
      </c>
      <c r="B489" s="98"/>
      <c r="C489" s="145"/>
      <c r="D489" s="114">
        <f>589.77</f>
        <v>589.77</v>
      </c>
      <c r="E489" s="160"/>
      <c r="F489" s="189">
        <f>C489+D489+E489</f>
        <v>589.77</v>
      </c>
      <c r="G489" s="87"/>
      <c r="H489" s="7"/>
      <c r="I489" s="87"/>
      <c r="J489" s="28"/>
      <c r="K489" s="7"/>
      <c r="L489" s="87"/>
      <c r="M489" s="22"/>
      <c r="N489" s="135"/>
      <c r="O489" s="87"/>
      <c r="P489" s="81"/>
      <c r="Q489" s="79"/>
    </row>
    <row r="490" spans="1:17" ht="12.75">
      <c r="A490" s="34" t="s">
        <v>124</v>
      </c>
      <c r="B490" s="98">
        <v>28</v>
      </c>
      <c r="C490" s="145">
        <f>SUM(C491:C495)</f>
        <v>108500</v>
      </c>
      <c r="D490" s="114">
        <f aca="true" t="shared" si="128" ref="D490:Q490">SUM(D491:D495)</f>
        <v>66957.02</v>
      </c>
      <c r="E490" s="160">
        <f t="shared" si="128"/>
        <v>0</v>
      </c>
      <c r="F490" s="189">
        <f t="shared" si="128"/>
        <v>175457.02</v>
      </c>
      <c r="G490" s="146">
        <f t="shared" si="128"/>
        <v>0</v>
      </c>
      <c r="H490" s="114">
        <f t="shared" si="128"/>
        <v>0</v>
      </c>
      <c r="I490" s="160">
        <f t="shared" si="128"/>
        <v>175457.02</v>
      </c>
      <c r="J490" s="145">
        <f t="shared" si="128"/>
        <v>0</v>
      </c>
      <c r="K490" s="114">
        <f t="shared" si="128"/>
        <v>0</v>
      </c>
      <c r="L490" s="160">
        <f t="shared" si="128"/>
        <v>175457.02</v>
      </c>
      <c r="M490" s="115">
        <f t="shared" si="128"/>
        <v>0</v>
      </c>
      <c r="N490" s="115">
        <f t="shared" si="128"/>
        <v>0</v>
      </c>
      <c r="O490" s="115">
        <f t="shared" si="128"/>
        <v>175457.02</v>
      </c>
      <c r="P490" s="115">
        <f t="shared" si="128"/>
        <v>0</v>
      </c>
      <c r="Q490" s="241">
        <f t="shared" si="128"/>
        <v>175457.02</v>
      </c>
    </row>
    <row r="491" spans="1:17" ht="12.75">
      <c r="A491" s="34" t="s">
        <v>112</v>
      </c>
      <c r="B491" s="98"/>
      <c r="C491" s="145">
        <v>2300</v>
      </c>
      <c r="D491" s="114">
        <f>4708.41-136</f>
        <v>4572.41</v>
      </c>
      <c r="E491" s="160"/>
      <c r="F491" s="189">
        <f t="shared" si="119"/>
        <v>6872.41</v>
      </c>
      <c r="G491" s="87"/>
      <c r="H491" s="7"/>
      <c r="I491" s="73">
        <f>F491+G491+H491</f>
        <v>6872.41</v>
      </c>
      <c r="J491" s="28"/>
      <c r="K491" s="7"/>
      <c r="L491" s="73">
        <f>I491+J491+K491</f>
        <v>6872.41</v>
      </c>
      <c r="M491" s="22"/>
      <c r="N491" s="7"/>
      <c r="O491" s="23">
        <f>L491+M491+N491</f>
        <v>6872.41</v>
      </c>
      <c r="P491" s="81"/>
      <c r="Q491" s="79">
        <f t="shared" si="122"/>
        <v>6872.41</v>
      </c>
    </row>
    <row r="492" spans="1:17" ht="12.75">
      <c r="A492" s="34" t="s">
        <v>113</v>
      </c>
      <c r="B492" s="98"/>
      <c r="C492" s="145">
        <v>0</v>
      </c>
      <c r="D492" s="114">
        <f>136</f>
        <v>136</v>
      </c>
      <c r="E492" s="160"/>
      <c r="F492" s="189">
        <f t="shared" si="119"/>
        <v>136</v>
      </c>
      <c r="G492" s="87"/>
      <c r="H492" s="7"/>
      <c r="I492" s="73">
        <f>F492+G492+H492</f>
        <v>136</v>
      </c>
      <c r="J492" s="28"/>
      <c r="K492" s="7"/>
      <c r="L492" s="73">
        <f>I492+J492+K492</f>
        <v>136</v>
      </c>
      <c r="M492" s="22"/>
      <c r="N492" s="7"/>
      <c r="O492" s="23">
        <f>L492+M492+N492</f>
        <v>136</v>
      </c>
      <c r="P492" s="81"/>
      <c r="Q492" s="79">
        <f t="shared" si="122"/>
        <v>136</v>
      </c>
    </row>
    <row r="493" spans="1:17" ht="12.75">
      <c r="A493" s="34" t="s">
        <v>125</v>
      </c>
      <c r="B493" s="98"/>
      <c r="C493" s="145">
        <v>106200</v>
      </c>
      <c r="D493" s="114">
        <f>58216.48+4032.13</f>
        <v>62248.61</v>
      </c>
      <c r="E493" s="160"/>
      <c r="F493" s="189">
        <f t="shared" si="119"/>
        <v>168448.61</v>
      </c>
      <c r="G493" s="87"/>
      <c r="H493" s="7"/>
      <c r="I493" s="73">
        <f>F493+G493+H493</f>
        <v>168448.61</v>
      </c>
      <c r="J493" s="28"/>
      <c r="K493" s="7"/>
      <c r="L493" s="73">
        <f>I493+J493+K493</f>
        <v>168448.61</v>
      </c>
      <c r="M493" s="22"/>
      <c r="N493" s="7"/>
      <c r="O493" s="23">
        <f>L493+M493+N493</f>
        <v>168448.61</v>
      </c>
      <c r="P493" s="81"/>
      <c r="Q493" s="79">
        <f t="shared" si="122"/>
        <v>168448.61</v>
      </c>
    </row>
    <row r="494" spans="1:17" ht="12.75" hidden="1">
      <c r="A494" s="34" t="s">
        <v>122</v>
      </c>
      <c r="B494" s="98"/>
      <c r="C494" s="145"/>
      <c r="D494" s="114"/>
      <c r="E494" s="160"/>
      <c r="F494" s="189">
        <f t="shared" si="119"/>
        <v>0</v>
      </c>
      <c r="G494" s="87"/>
      <c r="H494" s="7"/>
      <c r="I494" s="73">
        <f>F494+G494+H494</f>
        <v>0</v>
      </c>
      <c r="J494" s="28"/>
      <c r="K494" s="7"/>
      <c r="L494" s="73">
        <f>I494+J494+K494</f>
        <v>0</v>
      </c>
      <c r="M494" s="22"/>
      <c r="N494" s="7"/>
      <c r="O494" s="23">
        <f>L494+M494+N494</f>
        <v>0</v>
      </c>
      <c r="P494" s="81"/>
      <c r="Q494" s="79">
        <f t="shared" si="122"/>
        <v>0</v>
      </c>
    </row>
    <row r="495" spans="1:17" ht="12.75">
      <c r="A495" s="34" t="s">
        <v>115</v>
      </c>
      <c r="B495" s="98"/>
      <c r="C495" s="145">
        <v>0</v>
      </c>
      <c r="D495" s="125">
        <f>4032.13-4032.13</f>
        <v>0</v>
      </c>
      <c r="E495" s="160"/>
      <c r="F495" s="189">
        <f t="shared" si="119"/>
        <v>0</v>
      </c>
      <c r="G495" s="87"/>
      <c r="H495" s="7"/>
      <c r="I495" s="73">
        <f>F495+G495+H495</f>
        <v>0</v>
      </c>
      <c r="J495" s="28"/>
      <c r="K495" s="7"/>
      <c r="L495" s="73">
        <f>I495+J495+K495</f>
        <v>0</v>
      </c>
      <c r="M495" s="22"/>
      <c r="N495" s="7"/>
      <c r="O495" s="23">
        <f>L495+M495+N495</f>
        <v>0</v>
      </c>
      <c r="P495" s="81"/>
      <c r="Q495" s="79">
        <f t="shared" si="122"/>
        <v>0</v>
      </c>
    </row>
    <row r="496" spans="1:17" ht="12.75">
      <c r="A496" s="35" t="s">
        <v>126</v>
      </c>
      <c r="B496" s="98"/>
      <c r="C496" s="145">
        <f>C497+C498</f>
        <v>2</v>
      </c>
      <c r="D496" s="114">
        <f aca="true" t="shared" si="129" ref="D496:Q496">D497+D498</f>
        <v>6408.09</v>
      </c>
      <c r="E496" s="160">
        <f t="shared" si="129"/>
        <v>0</v>
      </c>
      <c r="F496" s="189">
        <f t="shared" si="129"/>
        <v>6410.09</v>
      </c>
      <c r="G496" s="146">
        <f t="shared" si="129"/>
        <v>0</v>
      </c>
      <c r="H496" s="114">
        <f t="shared" si="129"/>
        <v>0</v>
      </c>
      <c r="I496" s="146">
        <f t="shared" si="129"/>
        <v>0</v>
      </c>
      <c r="J496" s="145">
        <f t="shared" si="129"/>
        <v>0</v>
      </c>
      <c r="K496" s="114">
        <f t="shared" si="129"/>
        <v>0</v>
      </c>
      <c r="L496" s="146">
        <f t="shared" si="129"/>
        <v>0</v>
      </c>
      <c r="M496" s="145">
        <f t="shared" si="129"/>
        <v>0</v>
      </c>
      <c r="N496" s="145">
        <f t="shared" si="129"/>
        <v>0</v>
      </c>
      <c r="O496" s="145">
        <f t="shared" si="129"/>
        <v>0</v>
      </c>
      <c r="P496" s="145">
        <f t="shared" si="129"/>
        <v>0</v>
      </c>
      <c r="Q496" s="241">
        <f t="shared" si="129"/>
        <v>0</v>
      </c>
    </row>
    <row r="497" spans="1:17" ht="12.75">
      <c r="A497" s="35" t="s">
        <v>239</v>
      </c>
      <c r="B497" s="98"/>
      <c r="C497" s="145"/>
      <c r="D497" s="114">
        <f>133.71+1256.65+9.73</f>
        <v>1400.0900000000001</v>
      </c>
      <c r="E497" s="160"/>
      <c r="F497" s="189">
        <f t="shared" si="119"/>
        <v>1400.0900000000001</v>
      </c>
      <c r="G497" s="87"/>
      <c r="H497" s="7"/>
      <c r="I497" s="73"/>
      <c r="J497" s="28"/>
      <c r="K497" s="7"/>
      <c r="L497" s="73"/>
      <c r="M497" s="22"/>
      <c r="N497" s="7"/>
      <c r="O497" s="23"/>
      <c r="P497" s="81"/>
      <c r="Q497" s="79"/>
    </row>
    <row r="498" spans="1:17" ht="12.75">
      <c r="A498" s="38" t="s">
        <v>283</v>
      </c>
      <c r="B498" s="101"/>
      <c r="C498" s="173">
        <v>2</v>
      </c>
      <c r="D498" s="122">
        <f>5000+8</f>
        <v>5008</v>
      </c>
      <c r="E498" s="261"/>
      <c r="F498" s="193">
        <f t="shared" si="119"/>
        <v>5010</v>
      </c>
      <c r="G498" s="87"/>
      <c r="H498" s="7"/>
      <c r="I498" s="73"/>
      <c r="J498" s="28"/>
      <c r="K498" s="7"/>
      <c r="L498" s="73"/>
      <c r="M498" s="22"/>
      <c r="N498" s="7"/>
      <c r="O498" s="23"/>
      <c r="P498" s="81"/>
      <c r="Q498" s="79"/>
    </row>
    <row r="499" spans="1:17" ht="13.5" thickBot="1">
      <c r="A499" s="48" t="s">
        <v>127</v>
      </c>
      <c r="B499" s="102"/>
      <c r="C499" s="139">
        <v>8581.04</v>
      </c>
      <c r="D499" s="114"/>
      <c r="E499" s="161"/>
      <c r="F499" s="190">
        <f t="shared" si="119"/>
        <v>8581.04</v>
      </c>
      <c r="G499" s="208"/>
      <c r="H499" s="8"/>
      <c r="I499" s="29">
        <f>SUM(F499:H499)</f>
        <v>8581.04</v>
      </c>
      <c r="J499" s="226"/>
      <c r="K499" s="8"/>
      <c r="L499" s="231">
        <f>SUM(I499:K499)</f>
        <v>8581.04</v>
      </c>
      <c r="M499" s="24"/>
      <c r="N499" s="8"/>
      <c r="O499" s="25">
        <f>SUM(L499:N499)</f>
        <v>8581.04</v>
      </c>
      <c r="P499" s="82"/>
      <c r="Q499" s="29">
        <f>O499+P499</f>
        <v>8581.04</v>
      </c>
    </row>
    <row r="500" spans="1:17" ht="14.25" thickBot="1">
      <c r="A500" s="49" t="s">
        <v>128</v>
      </c>
      <c r="B500" s="105"/>
      <c r="C500" s="149">
        <f>+C81+C101+C112+C130+C142+C171+C218+C237+C261+C281+C357+C385+C408+C415+C447+C451+C499+C422+C303+C254</f>
        <v>5413094.04</v>
      </c>
      <c r="D500" s="129">
        <f>+D81+D101+D112+D130+D142+D171+D218+D237+D261+D281+D357+D385+D408+D415+D447+D451+D499+D422+D303+D254</f>
        <v>12808395.800000003</v>
      </c>
      <c r="E500" s="150">
        <f>+E81+E101+E112+E130+E142+E171+E218+E237+E261+E281+E357+E385+E408+E415+E447+E451+E499+E422+E303</f>
        <v>0</v>
      </c>
      <c r="F500" s="248">
        <f>+F81+F101+F112+F130+F142+F171+F218+F237+F261+F281+F357+F385+F408+F415+F447+F451+F499+F422+F303+F254</f>
        <v>18221489.84</v>
      </c>
      <c r="G500" s="149" t="e">
        <f aca="true" t="shared" si="130" ref="G500:Q500">+G81+G101+G112+G130+G142+G171+G218+G237+G261+G281+G357+G385+G408+G415+G447+G451+G499+G422+G303</f>
        <v>#REF!</v>
      </c>
      <c r="H500" s="149" t="e">
        <f t="shared" si="130"/>
        <v>#REF!</v>
      </c>
      <c r="I500" s="149" t="e">
        <f t="shared" si="130"/>
        <v>#REF!</v>
      </c>
      <c r="J500" s="149" t="e">
        <f t="shared" si="130"/>
        <v>#REF!</v>
      </c>
      <c r="K500" s="149" t="e">
        <f t="shared" si="130"/>
        <v>#REF!</v>
      </c>
      <c r="L500" s="149" t="e">
        <f t="shared" si="130"/>
        <v>#REF!</v>
      </c>
      <c r="M500" s="149" t="e">
        <f t="shared" si="130"/>
        <v>#REF!</v>
      </c>
      <c r="N500" s="149" t="e">
        <f t="shared" si="130"/>
        <v>#REF!</v>
      </c>
      <c r="O500" s="149" t="e">
        <f t="shared" si="130"/>
        <v>#REF!</v>
      </c>
      <c r="P500" s="149" t="e">
        <f t="shared" si="130"/>
        <v>#REF!</v>
      </c>
      <c r="Q500" s="248" t="e">
        <f t="shared" si="130"/>
        <v>#REF!</v>
      </c>
    </row>
    <row r="501" spans="1:17" ht="13.5" thickBot="1">
      <c r="A501" s="50" t="s">
        <v>129</v>
      </c>
      <c r="B501" s="105"/>
      <c r="C501" s="178">
        <v>-8581.04</v>
      </c>
      <c r="D501" s="236"/>
      <c r="E501" s="214"/>
      <c r="F501" s="237">
        <f t="shared" si="119"/>
        <v>-8581.04</v>
      </c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249"/>
    </row>
    <row r="502" spans="1:17" ht="15.75" thickBot="1">
      <c r="A502" s="51" t="s">
        <v>130</v>
      </c>
      <c r="B502" s="105"/>
      <c r="C502" s="179">
        <f aca="true" t="shared" si="131" ref="C502:Q502">C500+C501</f>
        <v>5404513</v>
      </c>
      <c r="D502" s="119">
        <f t="shared" si="131"/>
        <v>12808395.800000003</v>
      </c>
      <c r="E502" s="215">
        <f t="shared" si="131"/>
        <v>0</v>
      </c>
      <c r="F502" s="126">
        <f t="shared" si="131"/>
        <v>18212908.8</v>
      </c>
      <c r="G502" s="179" t="e">
        <f t="shared" si="131"/>
        <v>#REF!</v>
      </c>
      <c r="H502" s="179" t="e">
        <f t="shared" si="131"/>
        <v>#REF!</v>
      </c>
      <c r="I502" s="179" t="e">
        <f t="shared" si="131"/>
        <v>#REF!</v>
      </c>
      <c r="J502" s="179" t="e">
        <f t="shared" si="131"/>
        <v>#REF!</v>
      </c>
      <c r="K502" s="179" t="e">
        <f t="shared" si="131"/>
        <v>#REF!</v>
      </c>
      <c r="L502" s="179" t="e">
        <f t="shared" si="131"/>
        <v>#REF!</v>
      </c>
      <c r="M502" s="179" t="e">
        <f t="shared" si="131"/>
        <v>#REF!</v>
      </c>
      <c r="N502" s="179" t="e">
        <f t="shared" si="131"/>
        <v>#REF!</v>
      </c>
      <c r="O502" s="179" t="e">
        <f t="shared" si="131"/>
        <v>#REF!</v>
      </c>
      <c r="P502" s="179" t="e">
        <f t="shared" si="131"/>
        <v>#REF!</v>
      </c>
      <c r="Q502" s="250" t="e">
        <f t="shared" si="131"/>
        <v>#REF!</v>
      </c>
    </row>
    <row r="503" spans="1:17" ht="15">
      <c r="A503" s="52" t="s">
        <v>26</v>
      </c>
      <c r="B503" s="106"/>
      <c r="C503" s="180"/>
      <c r="D503" s="130"/>
      <c r="E503" s="216"/>
      <c r="F503" s="127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251"/>
    </row>
    <row r="504" spans="1:17" ht="15">
      <c r="A504" s="53" t="s">
        <v>227</v>
      </c>
      <c r="B504" s="107"/>
      <c r="C504" s="181">
        <f>+C82+C102+C113+C131+C143+C172+C219+C238+C262+C282+C358+C386+C409+C416+C448+C453+C499+C501+C423+C304+C255</f>
        <v>3910350.0599999996</v>
      </c>
      <c r="D504" s="270">
        <f>+D82+D102+D113+D131+D143+D172+D219+D238+D262+D282+D358+D386+D409+D416+D448+D453+D499+D501+D423+D304+D255</f>
        <v>10193611.760000004</v>
      </c>
      <c r="E504" s="217">
        <f>+E82+E102+E113+E131+E143+E172+E219+E238+E262+E282+E358+E386+E409+E416+E448+E453+E499+E501+E423+E304</f>
        <v>0</v>
      </c>
      <c r="F504" s="252">
        <f>+F82+F102+F113+F131+F143+F172+F219+F238+F262+F282+F358+F386+F409+F416+F448+F453+F499+F501+F423+F304+F255</f>
        <v>14103961.819999998</v>
      </c>
      <c r="G504" s="181">
        <f aca="true" t="shared" si="132" ref="G504:Q504">+G82+G102+G113+G131+G143+G172+G219+G238+G262+G282+G358+G386+G409+G416+G448+G453+G499+G501+G423+G304</f>
        <v>0</v>
      </c>
      <c r="H504" s="181">
        <f t="shared" si="132"/>
        <v>0</v>
      </c>
      <c r="I504" s="181">
        <f t="shared" si="132"/>
        <v>4252378.09</v>
      </c>
      <c r="J504" s="181">
        <f t="shared" si="132"/>
        <v>0</v>
      </c>
      <c r="K504" s="181">
        <f t="shared" si="132"/>
        <v>0</v>
      </c>
      <c r="L504" s="181">
        <f t="shared" si="132"/>
        <v>4252378.09</v>
      </c>
      <c r="M504" s="181">
        <f t="shared" si="132"/>
        <v>0</v>
      </c>
      <c r="N504" s="181">
        <f t="shared" si="132"/>
        <v>0</v>
      </c>
      <c r="O504" s="181">
        <f t="shared" si="132"/>
        <v>4252378.09</v>
      </c>
      <c r="P504" s="181">
        <f t="shared" si="132"/>
        <v>0</v>
      </c>
      <c r="Q504" s="252">
        <f t="shared" si="132"/>
        <v>4252378.09</v>
      </c>
    </row>
    <row r="505" spans="1:17" ht="15.75" thickBot="1">
      <c r="A505" s="40" t="s">
        <v>228</v>
      </c>
      <c r="B505" s="108"/>
      <c r="C505" s="182">
        <f>+C91+C109+C125+C136+C162+C209+C230+C248+C274+C299+C380+C399+C412+C454+C437+C328+C258</f>
        <v>1494162.94</v>
      </c>
      <c r="D505" s="271">
        <f>+D91+D109+D125+D136+D162+D209+D230+D248+D274+D299+D380+D399+D412+D454+D437+D328+D258</f>
        <v>2614784.04</v>
      </c>
      <c r="E505" s="218">
        <f>+E91+E109+E125+E136+E162+E209+E230+E248+E274+E299+E380+E399+E412+E454+E437+E328</f>
        <v>0</v>
      </c>
      <c r="F505" s="253">
        <f>+F91+F109+F125+F136+F162+F209+F230+F248+F274+F299+F380+F399+F412+F454+F437+F328+F258</f>
        <v>4108946.9800000004</v>
      </c>
      <c r="G505" s="182" t="e">
        <f aca="true" t="shared" si="133" ref="G505:Q505">+G91+G109+G125+G136+G162+G209+G230+G248+G274+G299+G380+G399+G412+G454+G437+G328</f>
        <v>#REF!</v>
      </c>
      <c r="H505" s="182" t="e">
        <f t="shared" si="133"/>
        <v>#REF!</v>
      </c>
      <c r="I505" s="182" t="e">
        <f t="shared" si="133"/>
        <v>#REF!</v>
      </c>
      <c r="J505" s="182" t="e">
        <f t="shared" si="133"/>
        <v>#REF!</v>
      </c>
      <c r="K505" s="182" t="e">
        <f t="shared" si="133"/>
        <v>#REF!</v>
      </c>
      <c r="L505" s="182" t="e">
        <f t="shared" si="133"/>
        <v>#REF!</v>
      </c>
      <c r="M505" s="182" t="e">
        <f t="shared" si="133"/>
        <v>#REF!</v>
      </c>
      <c r="N505" s="182" t="e">
        <f t="shared" si="133"/>
        <v>#REF!</v>
      </c>
      <c r="O505" s="182" t="e">
        <f t="shared" si="133"/>
        <v>#REF!</v>
      </c>
      <c r="P505" s="182" t="e">
        <f t="shared" si="133"/>
        <v>#REF!</v>
      </c>
      <c r="Q505" s="253" t="e">
        <f t="shared" si="133"/>
        <v>#REF!</v>
      </c>
    </row>
    <row r="506" spans="1:17" ht="15.75" thickBot="1">
      <c r="A506" s="53" t="s">
        <v>221</v>
      </c>
      <c r="B506" s="107"/>
      <c r="C506" s="149">
        <f aca="true" t="shared" si="134" ref="C506:Q506">C79-C502</f>
        <v>-400000</v>
      </c>
      <c r="D506" s="129">
        <f t="shared" si="134"/>
        <v>-3079643.6800000016</v>
      </c>
      <c r="E506" s="266" t="e">
        <f t="shared" si="134"/>
        <v>#REF!</v>
      </c>
      <c r="F506" s="197">
        <f t="shared" si="134"/>
        <v>-3479643.6800000016</v>
      </c>
      <c r="G506" s="150" t="e">
        <f t="shared" si="134"/>
        <v>#REF!</v>
      </c>
      <c r="H506" s="129" t="e">
        <f t="shared" si="134"/>
        <v>#REF!</v>
      </c>
      <c r="I506" s="150" t="e">
        <f t="shared" si="134"/>
        <v>#REF!</v>
      </c>
      <c r="J506" s="149" t="e">
        <f t="shared" si="134"/>
        <v>#REF!</v>
      </c>
      <c r="K506" s="129" t="e">
        <f t="shared" si="134"/>
        <v>#REF!</v>
      </c>
      <c r="L506" s="150" t="e">
        <f t="shared" si="134"/>
        <v>#REF!</v>
      </c>
      <c r="M506" s="149" t="e">
        <f t="shared" si="134"/>
        <v>#REF!</v>
      </c>
      <c r="N506" s="149" t="e">
        <f t="shared" si="134"/>
        <v>#REF!</v>
      </c>
      <c r="O506" s="149" t="e">
        <f t="shared" si="134"/>
        <v>#REF!</v>
      </c>
      <c r="P506" s="149" t="e">
        <f t="shared" si="134"/>
        <v>#REF!</v>
      </c>
      <c r="Q506" s="248" t="e">
        <f t="shared" si="134"/>
        <v>#REF!</v>
      </c>
    </row>
    <row r="507" spans="1:17" ht="15">
      <c r="A507" s="52" t="s">
        <v>229</v>
      </c>
      <c r="B507" s="106"/>
      <c r="C507" s="183">
        <f>SUM(C509:C512)</f>
        <v>400000</v>
      </c>
      <c r="D507" s="131">
        <f aca="true" t="shared" si="135" ref="D507:Q507">SUM(D509:D512)</f>
        <v>3079643.6800000006</v>
      </c>
      <c r="E507" s="166">
        <f t="shared" si="135"/>
        <v>0</v>
      </c>
      <c r="F507" s="198">
        <f t="shared" si="135"/>
        <v>3479643.6800000006</v>
      </c>
      <c r="G507" s="219">
        <f t="shared" si="135"/>
        <v>0</v>
      </c>
      <c r="H507" s="131">
        <f t="shared" si="135"/>
        <v>0</v>
      </c>
      <c r="I507" s="166">
        <f t="shared" si="135"/>
        <v>3479643.6800000006</v>
      </c>
      <c r="J507" s="183">
        <f t="shared" si="135"/>
        <v>0</v>
      </c>
      <c r="K507" s="131">
        <f t="shared" si="135"/>
        <v>0</v>
      </c>
      <c r="L507" s="166">
        <f t="shared" si="135"/>
        <v>3479643.6800000006</v>
      </c>
      <c r="M507" s="138">
        <f t="shared" si="135"/>
        <v>0</v>
      </c>
      <c r="N507" s="138">
        <f t="shared" si="135"/>
        <v>0</v>
      </c>
      <c r="O507" s="138">
        <f t="shared" si="135"/>
        <v>3479643.6800000006</v>
      </c>
      <c r="P507" s="138">
        <f t="shared" si="135"/>
        <v>0</v>
      </c>
      <c r="Q507" s="254">
        <f t="shared" si="135"/>
        <v>3479643.6800000006</v>
      </c>
    </row>
    <row r="508" spans="1:17" ht="12.75" customHeight="1">
      <c r="A508" s="54" t="s">
        <v>26</v>
      </c>
      <c r="B508" s="109"/>
      <c r="C508" s="184"/>
      <c r="D508" s="132"/>
      <c r="E508" s="267"/>
      <c r="F508" s="199"/>
      <c r="G508" s="220"/>
      <c r="H508" s="12"/>
      <c r="I508" s="203"/>
      <c r="J508" s="228"/>
      <c r="K508" s="12"/>
      <c r="L508" s="203"/>
      <c r="M508" s="15"/>
      <c r="N508" s="12"/>
      <c r="O508" s="62"/>
      <c r="P508" s="81"/>
      <c r="Q508" s="79"/>
    </row>
    <row r="509" spans="1:17" ht="13.5">
      <c r="A509" s="54" t="s">
        <v>131</v>
      </c>
      <c r="B509" s="109"/>
      <c r="C509" s="185">
        <v>400000</v>
      </c>
      <c r="D509" s="157">
        <v>500000</v>
      </c>
      <c r="E509" s="268"/>
      <c r="F509" s="200">
        <f>SUM(C509:E509)</f>
        <v>900000</v>
      </c>
      <c r="G509" s="221"/>
      <c r="H509" s="13"/>
      <c r="I509" s="203">
        <f>SUM(F509:H509)</f>
        <v>900000</v>
      </c>
      <c r="J509" s="229"/>
      <c r="K509" s="13"/>
      <c r="L509" s="203">
        <f>SUM(I509:K509)</f>
        <v>900000</v>
      </c>
      <c r="M509" s="16"/>
      <c r="N509" s="13"/>
      <c r="O509" s="62">
        <f>SUM(L509:N509)</f>
        <v>900000</v>
      </c>
      <c r="P509" s="81"/>
      <c r="Q509" s="79">
        <f t="shared" si="122"/>
        <v>900000</v>
      </c>
    </row>
    <row r="510" spans="1:17" ht="13.5" hidden="1">
      <c r="A510" s="55" t="s">
        <v>139</v>
      </c>
      <c r="B510" s="109"/>
      <c r="C510" s="185"/>
      <c r="D510" s="157"/>
      <c r="E510" s="268"/>
      <c r="F510" s="200">
        <f>SUM(C510:E510)</f>
        <v>0</v>
      </c>
      <c r="G510" s="221"/>
      <c r="H510" s="13"/>
      <c r="I510" s="203">
        <f>SUM(F510:H510)</f>
        <v>0</v>
      </c>
      <c r="J510" s="229"/>
      <c r="K510" s="13"/>
      <c r="L510" s="203">
        <f>SUM(I510:K510)</f>
        <v>0</v>
      </c>
      <c r="M510" s="16"/>
      <c r="N510" s="13"/>
      <c r="O510" s="62">
        <f>SUM(L510:N510)</f>
        <v>0</v>
      </c>
      <c r="P510" s="81"/>
      <c r="Q510" s="79">
        <f t="shared" si="122"/>
        <v>0</v>
      </c>
    </row>
    <row r="511" spans="1:17" ht="14.25" thickBot="1">
      <c r="A511" s="67" t="s">
        <v>132</v>
      </c>
      <c r="B511" s="110"/>
      <c r="C511" s="186"/>
      <c r="D511" s="158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11" s="269"/>
      <c r="F511" s="201">
        <f>SUM(C511:E511)</f>
        <v>2579643.6800000006</v>
      </c>
      <c r="G511" s="222"/>
      <c r="H511" s="14"/>
      <c r="I511" s="204">
        <f>SUM(F511:H511)</f>
        <v>2579643.6800000006</v>
      </c>
      <c r="J511" s="230"/>
      <c r="K511" s="14"/>
      <c r="L511" s="204">
        <f>SUM(I511:K511)</f>
        <v>2579643.6800000006</v>
      </c>
      <c r="M511" s="66"/>
      <c r="N511" s="14"/>
      <c r="O511" s="64">
        <f>SUM(L511:N511)</f>
        <v>2579643.6800000006</v>
      </c>
      <c r="P511" s="83"/>
      <c r="Q511" s="80">
        <f t="shared" si="122"/>
        <v>2579643.6800000006</v>
      </c>
    </row>
    <row r="512" spans="1:17" ht="14.25" hidden="1" thickBot="1">
      <c r="A512" s="67" t="s">
        <v>151</v>
      </c>
      <c r="B512" s="110"/>
      <c r="C512" s="187"/>
      <c r="D512" s="158" t="s">
        <v>200</v>
      </c>
      <c r="E512" s="158"/>
      <c r="F512" s="201">
        <f>SUM(C512:E512)</f>
        <v>0</v>
      </c>
      <c r="G512" s="222"/>
      <c r="H512" s="14"/>
      <c r="I512" s="204">
        <f>SUM(F512:H512)</f>
        <v>0</v>
      </c>
      <c r="J512" s="230">
        <v>0</v>
      </c>
      <c r="K512" s="14">
        <v>0</v>
      </c>
      <c r="L512" s="204">
        <f>SUM(I512:K512)</f>
        <v>0</v>
      </c>
      <c r="M512" s="66"/>
      <c r="N512" s="14"/>
      <c r="O512" s="64">
        <f>SUM(L512:N512)</f>
        <v>0</v>
      </c>
      <c r="P512" s="83"/>
      <c r="Q512" s="80">
        <f t="shared" si="122"/>
        <v>0</v>
      </c>
    </row>
    <row r="513" spans="2:17" ht="12.75">
      <c r="B513" s="111"/>
      <c r="C513" s="128">
        <f aca="true" t="shared" si="136" ref="C513:Q513">C79+C507-C502</f>
        <v>0</v>
      </c>
      <c r="D513" s="128">
        <f>D79+D507-D502</f>
        <v>0</v>
      </c>
      <c r="E513" s="128" t="e">
        <f t="shared" si="136"/>
        <v>#REF!</v>
      </c>
      <c r="F513" s="128">
        <f t="shared" si="136"/>
        <v>0</v>
      </c>
      <c r="G513" s="65" t="e">
        <f t="shared" si="136"/>
        <v>#REF!</v>
      </c>
      <c r="H513" s="65" t="e">
        <f t="shared" si="136"/>
        <v>#REF!</v>
      </c>
      <c r="I513" s="65" t="e">
        <f t="shared" si="136"/>
        <v>#REF!</v>
      </c>
      <c r="J513" s="65" t="e">
        <f t="shared" si="136"/>
        <v>#REF!</v>
      </c>
      <c r="K513" s="65" t="e">
        <f t="shared" si="136"/>
        <v>#REF!</v>
      </c>
      <c r="L513" s="65" t="e">
        <f t="shared" si="136"/>
        <v>#REF!</v>
      </c>
      <c r="M513" s="65" t="e">
        <f t="shared" si="136"/>
        <v>#REF!</v>
      </c>
      <c r="N513" s="65" t="e">
        <f t="shared" si="136"/>
        <v>#REF!</v>
      </c>
      <c r="O513" s="65" t="e">
        <f t="shared" si="136"/>
        <v>#REF!</v>
      </c>
      <c r="P513" s="65" t="e">
        <f t="shared" si="136"/>
        <v>#REF!</v>
      </c>
      <c r="Q513" s="65" t="e">
        <f t="shared" si="136"/>
        <v>#REF!</v>
      </c>
    </row>
    <row r="514" spans="2:16" ht="12.75">
      <c r="B514" s="111"/>
      <c r="P514" s="65"/>
    </row>
    <row r="515" spans="2:16" ht="12.75">
      <c r="B515" s="111"/>
      <c r="D515" s="148"/>
      <c r="P515" s="65"/>
    </row>
    <row r="516" spans="2:16" ht="12.75">
      <c r="B516" s="111"/>
      <c r="P516" s="65"/>
    </row>
    <row r="517" spans="2:16" ht="12.75">
      <c r="B517" s="111"/>
      <c r="P517" s="65"/>
    </row>
    <row r="518" spans="2:16" ht="12.75">
      <c r="B518" s="111"/>
      <c r="P518" s="65"/>
    </row>
    <row r="519" spans="2:16" ht="12.75">
      <c r="B519" s="111"/>
      <c r="P519" s="65"/>
    </row>
    <row r="520" spans="2:16" ht="12.75">
      <c r="B520" s="111"/>
      <c r="P520" s="65"/>
    </row>
    <row r="521" spans="2:16" ht="12.75">
      <c r="B521" s="111"/>
      <c r="P521" s="65"/>
    </row>
    <row r="522" spans="2:16" ht="12.75">
      <c r="B522" s="111"/>
      <c r="P522" s="65"/>
    </row>
    <row r="523" spans="2:16" ht="12.75">
      <c r="B523" s="111"/>
      <c r="P523" s="65"/>
    </row>
    <row r="524" spans="2:16" ht="12.75">
      <c r="B524" s="111"/>
      <c r="P524" s="65"/>
    </row>
    <row r="525" spans="2:16" ht="12.75">
      <c r="B525" s="111"/>
      <c r="P525" s="65"/>
    </row>
    <row r="526" spans="2:16" ht="12.75">
      <c r="B526" s="111"/>
      <c r="P526" s="65"/>
    </row>
    <row r="527" spans="2:16" ht="12.75">
      <c r="B527" s="111"/>
      <c r="P527" s="65"/>
    </row>
    <row r="528" spans="2:16" ht="12.75">
      <c r="B528" s="111"/>
      <c r="P528" s="65"/>
    </row>
    <row r="529" spans="2:16" ht="12.75">
      <c r="B529" s="111"/>
      <c r="P529" s="65"/>
    </row>
    <row r="530" spans="2:16" ht="12.75">
      <c r="B530" s="111"/>
      <c r="P530" s="65"/>
    </row>
    <row r="531" spans="2:16" ht="12.75">
      <c r="B531" s="111"/>
      <c r="P531" s="65"/>
    </row>
    <row r="532" spans="2:16" ht="12.75">
      <c r="B532" s="111"/>
      <c r="P532" s="65"/>
    </row>
    <row r="533" ht="12.75">
      <c r="P533" s="65"/>
    </row>
    <row r="534" ht="12.75">
      <c r="P534" s="65"/>
    </row>
    <row r="535" ht="12.75">
      <c r="P535" s="65"/>
    </row>
    <row r="536" ht="12.75">
      <c r="P536" s="65"/>
    </row>
    <row r="537" ht="12.75">
      <c r="P537" s="65"/>
    </row>
    <row r="538" ht="12.75">
      <c r="P538" s="65"/>
    </row>
    <row r="539" ht="12.75">
      <c r="P539" s="65"/>
    </row>
    <row r="540" ht="12.75">
      <c r="P540" s="65"/>
    </row>
    <row r="541" ht="12.75">
      <c r="P541" s="65"/>
    </row>
    <row r="542" ht="12.75">
      <c r="P542" s="65"/>
    </row>
    <row r="543" ht="12.75">
      <c r="P543" s="65"/>
    </row>
    <row r="544" ht="12.75">
      <c r="P544" s="65"/>
    </row>
    <row r="545" ht="12.75">
      <c r="P545" s="65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4" r:id="rId1"/>
  <headerFooter alignWithMargins="0">
    <oddFooter>&amp;CStránka &amp;P</oddFooter>
  </headerFooter>
  <rowBreaks count="5" manualBreakCount="5">
    <brk id="86" max="5" man="1"/>
    <brk id="167" max="5" man="1"/>
    <brk id="280" max="5" man="1"/>
    <brk id="360" max="5" man="1"/>
    <brk id="4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2020-04-21T06:19:16Z</cp:lastPrinted>
  <dcterms:created xsi:type="dcterms:W3CDTF">2009-01-05T12:05:07Z</dcterms:created>
  <dcterms:modified xsi:type="dcterms:W3CDTF">2020-04-24T10:07:30Z</dcterms:modified>
  <cp:category/>
  <cp:version/>
  <cp:contentType/>
  <cp:contentStatus/>
</cp:coreProperties>
</file>