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68" windowHeight="5952" activeTab="1"/>
  </bookViews>
  <sheets>
    <sheet name="2.ZR" sheetId="1" r:id="rId1"/>
    <sheet name="2.ZR vč. PN" sheetId="2" r:id="rId2"/>
  </sheets>
  <definedNames>
    <definedName name="_xlnm.Print_Titles" localSheetId="0">'2.ZR'!$8:$9</definedName>
    <definedName name="_xlnm.Print_Titles" localSheetId="1">'2.ZR vč. PN'!$8:$9</definedName>
    <definedName name="_xlnm.Print_Area" localSheetId="0">'2.ZR'!$A$1:$I$527</definedName>
    <definedName name="_xlnm.Print_Area" localSheetId="1">'2.ZR vč. PN'!$A$1:$I$528</definedName>
    <definedName name="Z_39FD50E0_9911_4D32_8842_5A58F13D310F_.wvu.Cols" localSheetId="0" hidden="1">'2.ZR'!$D:$K,'2.ZR'!$N:$N,'2.ZR'!#REF!</definedName>
    <definedName name="Z_39FD50E0_9911_4D32_8842_5A58F13D310F_.wvu.Cols" localSheetId="1" hidden="1">'2.ZR vč. PN'!$D:$K,'2.ZR vč. PN'!$N:$N,'2.ZR vč. PN'!#REF!</definedName>
    <definedName name="Z_39FD50E0_9911_4D32_8842_5A58F13D310F_.wvu.PrintTitles" localSheetId="0" hidden="1">'2.ZR'!$8:$9</definedName>
    <definedName name="Z_39FD50E0_9911_4D32_8842_5A58F13D310F_.wvu.PrintTitles" localSheetId="1" hidden="1">'2.ZR vč. PN'!$8:$9</definedName>
    <definedName name="Z_39FD50E0_9911_4D32_8842_5A58F13D310F_.wvu.Rows" localSheetId="0" hidden="1">'2.ZR'!#REF!</definedName>
    <definedName name="Z_39FD50E0_9911_4D32_8842_5A58F13D310F_.wvu.Rows" localSheetId="1" hidden="1">'2.ZR vč. PN'!#REF!</definedName>
  </definedNames>
  <calcPr fullCalcOnLoad="1"/>
</workbook>
</file>

<file path=xl/sharedStrings.xml><?xml version="1.0" encoding="utf-8"?>
<sst xmlns="http://schemas.openxmlformats.org/spreadsheetml/2006/main" count="1129" uniqueCount="355">
  <si>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</si>
  <si>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</si>
  <si>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</si>
  <si>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</si>
  <si>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</si>
  <si>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</si>
  <si>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</si>
  <si>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</si>
  <si>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</si>
  <si>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</si>
  <si>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</si>
  <si>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</si>
  <si>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</si>
  <si>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</si>
  <si>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</si>
  <si>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</si>
  <si>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</si>
  <si>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</si>
  <si>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</si>
  <si>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</si>
  <si>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</si>
  <si>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</si>
  <si>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</si>
  <si>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</si>
  <si>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</si>
  <si>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</si>
  <si>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</si>
  <si>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</si>
  <si>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</si>
  <si>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</si>
  <si>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</si>
  <si>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</si>
  <si>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</si>
  <si>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</si>
  <si>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</si>
  <si>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</si>
  <si>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</si>
  <si>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</si>
  <si>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</si>
  <si>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</si>
  <si>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</si>
  <si>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</si>
  <si>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</si>
  <si>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</si>
  <si>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</si>
  <si>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</si>
  <si>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</si>
  <si>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</si>
  <si>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</si>
  <si>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</si>
  <si>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</si>
  <si>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</si>
  <si>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</si>
  <si>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</si>
  <si>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</si>
  <si>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</si>
  <si>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</si>
  <si>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</si>
  <si>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</si>
  <si>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</si>
  <si>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</si>
  <si>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</si>
  <si>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</si>
  <si>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</si>
  <si>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</si>
  <si>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</si>
  <si>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</si>
  <si>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</si>
  <si>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</si>
  <si>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</si>
  <si>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</si>
  <si>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</si>
  <si>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</si>
  <si>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</si>
  <si>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</si>
  <si>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</si>
  <si>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</si>
  <si>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</si>
  <si>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</si>
  <si>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</si>
  <si>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</si>
  <si>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</si>
  <si>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</si>
  <si>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</si>
  <si>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</si>
  <si>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</si>
  <si>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</si>
  <si>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</si>
  <si>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</si>
  <si>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</si>
  <si>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</si>
  <si>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</si>
  <si>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</si>
  <si>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</si>
  <si>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</si>
  <si>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</si>
  <si>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</si>
  <si>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</si>
  <si>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</si>
  <si>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</si>
  <si>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</si>
  <si>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</si>
  <si>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</si>
  <si>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</si>
  <si>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</si>
  <si>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</si>
  <si>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</si>
  <si>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</si>
  <si>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</si>
  <si>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</si>
  <si>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</si>
  <si>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</si>
  <si>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</si>
  <si>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</si>
  <si>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</si>
  <si>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</si>
  <si>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</si>
  <si>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</si>
  <si>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</si>
  <si>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</si>
  <si>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</si>
  <si>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</si>
  <si>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</si>
  <si>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</si>
  <si>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</si>
  <si>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</si>
  <si>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</si>
  <si>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</si>
  <si>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</si>
  <si>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</si>
  <si>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</si>
  <si>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</si>
  <si>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</si>
  <si>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</si>
  <si>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</si>
  <si>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</si>
  <si>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</si>
  <si>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</si>
  <si>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</si>
  <si>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</si>
  <si>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</si>
  <si>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</si>
  <si>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</si>
  <si>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</si>
  <si>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</si>
  <si>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</si>
  <si>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</si>
  <si>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</si>
  <si>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</si>
  <si>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</si>
  <si>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</si>
  <si>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</si>
  <si>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</si>
  <si>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</si>
  <si>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</si>
  <si>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</si>
  <si>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</si>
  <si>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</si>
  <si>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</si>
  <si>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</si>
  <si>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</si>
  <si>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</si>
  <si>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</si>
  <si>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</si>
  <si>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</si>
  <si>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</si>
  <si>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</si>
  <si>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</si>
  <si>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</si>
  <si>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</si>
  <si>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</si>
  <si>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</si>
  <si>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</si>
  <si>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</si>
  <si>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</si>
  <si>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</si>
  <si>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</si>
  <si>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</si>
  <si>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</si>
  <si>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</si>
  <si>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</si>
  <si>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</si>
  <si>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</si>
  <si>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</si>
  <si>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</si>
  <si>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</si>
  <si>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</si>
  <si>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</si>
  <si>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</si>
  <si>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</si>
  <si>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</si>
  <si>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</si>
  <si>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</si>
  <si>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</si>
  <si>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</si>
  <si>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</si>
  <si>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</si>
  <si>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</si>
  <si>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</si>
  <si>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</si>
  <si>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</si>
  <si>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</si>
  <si>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</si>
  <si>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</si>
  <si>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</si>
  <si>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</si>
  <si>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</si>
  <si>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</si>
  <si>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</si>
  <si>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</si>
  <si>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</si>
  <si>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</si>
  <si>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</si>
  <si>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</si>
  <si>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</si>
  <si>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</si>
  <si>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</si>
  <si>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</si>
  <si>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</si>
  <si>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</si>
  <si>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</si>
  <si>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</si>
  <si>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</si>
  <si>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</si>
  <si>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</si>
  <si>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</si>
  <si>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</si>
  <si>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</si>
  <si>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</si>
  <si>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</si>
  <si>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</si>
  <si>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</si>
  <si>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</si>
  <si>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</si>
  <si>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</si>
  <si>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</si>
  <si>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</si>
  <si>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</si>
  <si>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</si>
  <si>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</si>
  <si>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</si>
  <si>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</si>
  <si>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</si>
  <si>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</si>
  <si>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</si>
  <si>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</si>
  <si>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</si>
  <si>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</si>
  <si>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</si>
  <si>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</si>
  <si>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</si>
  <si>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</si>
  <si>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ostatní běžné výdaje - poplatky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</si>
  <si>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</si>
  <si>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</si>
  <si>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</si>
  <si>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</si>
  <si>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</si>
  <si>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</si>
  <si>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</si>
  <si>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</si>
  <si>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</si>
  <si>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</si>
  <si>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</si>
  <si>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</si>
  <si>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</si>
  <si>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</si>
  <si>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</si>
  <si>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</si>
  <si>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</si>
  <si>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</si>
  <si>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</si>
  <si>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</si>
  <si>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</si>
  <si>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</si>
  <si>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</si>
  <si>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</si>
  <si>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</si>
  <si>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</si>
  <si>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</si>
  <si>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</si>
  <si>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</si>
  <si>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NA ROK 2020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</si>
  <si>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</si>
  <si>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</si>
  <si>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</si>
  <si>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</si>
  <si>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</si>
  <si>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</si>
  <si>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</si>
  <si>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</si>
  <si>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</si>
  <si>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</si>
  <si>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</si>
  <si>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</si>
  <si>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</si>
  <si>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</si>
  <si>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</si>
  <si>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</si>
  <si>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</si>
  <si>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OP Z - Predikce trhu práce - Kompas - SR 2019</t>
  </si>
  <si>
    <t>Snížení emisí z lokál.vytápění domácností v KHK I- SR 2019</t>
  </si>
  <si>
    <t>Snížení emisí z lokál.vytápění domácností v KHK II - SR 2019</t>
  </si>
  <si>
    <t>OP Z - Rozvoj KHK-chytře, efektivně, s prosperitou - SR 2019</t>
  </si>
  <si>
    <t>TP Interreg V-A ČR-Polsko - SR 2019</t>
  </si>
  <si>
    <t>OP Z Služby soc.prevence v KHK IV - SR  2019</t>
  </si>
  <si>
    <t>OP Z Služby soc.prevence v KHK V - SR  2019</t>
  </si>
  <si>
    <t>OP Z Rozvoj dostup.a kvality soc.sl.v KHK V - SR 2019</t>
  </si>
  <si>
    <t xml:space="preserve">OP VVV - Smart Akcelerátor II. - SR </t>
  </si>
  <si>
    <t>Krajský akční plán vzdělávání v KHK - SR 2019</t>
  </si>
  <si>
    <t>IKAP rozvoje vzdělávání v KHK - SR 2019</t>
  </si>
  <si>
    <t>zlepšení přeshraniční dostupnosti ČR - PL - SR</t>
  </si>
  <si>
    <t>ochrana a zabezp.škol a objektů veř.správy - SR</t>
  </si>
  <si>
    <t xml:space="preserve">Krajský akční plán vzdělávání v KHK - SR </t>
  </si>
  <si>
    <t>Snížení emisí z lokál.vytápění domácností v KHK III. - SR 2019</t>
  </si>
  <si>
    <t xml:space="preserve">Snížení emisí z lokál.vytápění domácností v KHK III. - SR </t>
  </si>
  <si>
    <t>Snížení emisí z lokál.vytápění domácností v KHK I - SR 2019</t>
  </si>
  <si>
    <t>potravinová pomoc dětem v KHK II - obědy do škol - SR 2019</t>
  </si>
  <si>
    <t>potravinová pomoc dětem v KHK III - obědy do škol - SR 2019</t>
  </si>
  <si>
    <t>OP Z - Do praxe bez bariér - SR</t>
  </si>
  <si>
    <t>OP Z - Do praxe bez bariér - SR 2019</t>
  </si>
  <si>
    <t>OP Z Rozvoj dostup.a kvality soc.sl.v KHK VI - SR 2019</t>
  </si>
  <si>
    <t>OP Z Rozvoj reg.partnerství v soc.oblasti v KHK II - SR 2019</t>
  </si>
  <si>
    <t>OP Z Služby soc.prevence v KHK VI - SR  2019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</si>
  <si>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</si>
  <si>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</si>
  <si>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</si>
  <si>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</si>
  <si>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</si>
  <si>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</si>
  <si>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projekt mobility osob v programu Erasmus - SR 2019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</si>
  <si>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</si>
  <si>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</si>
  <si>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</si>
  <si>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</si>
  <si>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</si>
  <si>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>opatření v souvislosti s výskytem koronaviru - SR</t>
  </si>
  <si>
    <t xml:space="preserve">OP Z - Predikce trhu práce - Kompas - SR </t>
  </si>
  <si>
    <t xml:space="preserve">OP Z Rozvoj dostup.a kvality soc.sl.v KHK VI - SR </t>
  </si>
  <si>
    <t>podpora služeb s nadreg.a celost.působností - SR</t>
  </si>
  <si>
    <t>podpora administrace-OP potrav.a mater.pomoc - SR</t>
  </si>
  <si>
    <t>OP Z Komunitní služby pro osoby se zdrav.postiž.v KHK - SR</t>
  </si>
  <si>
    <t>výkon sociální práce - SR</t>
  </si>
  <si>
    <t>regionální stálá konference II - SR</t>
  </si>
  <si>
    <t>program protidrogové politiky na rok 2020 - SR</t>
  </si>
  <si>
    <t>podpora vzniku CDZ II. - SR</t>
  </si>
  <si>
    <t>022a023</t>
  </si>
  <si>
    <t>ochr.chem.prostředky a ochr.pom.pro dopravce veř.dopravy-SR</t>
  </si>
  <si>
    <t>Smlouva č. 200/NT1/2020 - SFDI - SR</t>
  </si>
  <si>
    <t>program na ochranu měkkých cílů v oblasti kultury - SR</t>
  </si>
  <si>
    <t>integrovaný systém ochrany movitého kult.dědictví II. - SR</t>
  </si>
  <si>
    <t>OP VVV - Digitální brána do dějin - SR</t>
  </si>
  <si>
    <t>podpora vzdělávání cizinců ve školách - SR</t>
  </si>
  <si>
    <t>SFDI-Rozš.strategic.prům.zóny Solnice-Kvasiny - SR</t>
  </si>
  <si>
    <t>řešení havarijních a krizových situací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</si>
</sst>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8" fillId="0" borderId="13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5" fontId="4" fillId="0" borderId="13" xfId="38" applyNumberFormat="1" applyFont="1" applyBorder="1" applyAlignment="1">
      <alignment horizontal="center"/>
    </xf>
    <xf numFmtId="166" fontId="0" fillId="0" borderId="13" xfId="38" applyNumberFormat="1" applyFont="1" applyFill="1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1" xfId="0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2" xfId="0" applyBorder="1" applyAlignment="1">
      <alignment/>
    </xf>
    <xf numFmtId="3" fontId="0" fillId="0" borderId="21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6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7" fillId="0" borderId="21" xfId="0" applyFont="1" applyBorder="1" applyAlignment="1">
      <alignment/>
    </xf>
    <xf numFmtId="3" fontId="7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4" fillId="0" borderId="21" xfId="0" applyFont="1" applyFill="1" applyBorder="1" applyAlignment="1">
      <alignment/>
    </xf>
    <xf numFmtId="3" fontId="4" fillId="0" borderId="23" xfId="0" applyFont="1" applyBorder="1" applyAlignment="1">
      <alignment/>
    </xf>
    <xf numFmtId="3" fontId="3" fillId="0" borderId="24" xfId="0" applyFont="1" applyBorder="1" applyAlignment="1">
      <alignment vertical="center"/>
    </xf>
    <xf numFmtId="3" fontId="4" fillId="0" borderId="24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0" fillId="0" borderId="21" xfId="0" applyFont="1" applyBorder="1" applyAlignment="1">
      <alignment vertical="center"/>
    </xf>
    <xf numFmtId="3" fontId="0" fillId="0" borderId="21" xfId="0" applyBorder="1" applyAlignment="1">
      <alignment vertical="center"/>
    </xf>
    <xf numFmtId="3" fontId="7" fillId="0" borderId="21" xfId="0" applyFont="1" applyBorder="1" applyAlignment="1">
      <alignment/>
    </xf>
    <xf numFmtId="3" fontId="4" fillId="0" borderId="21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6" fontId="8" fillId="0" borderId="17" xfId="38" applyNumberFormat="1" applyFont="1" applyBorder="1" applyAlignment="1">
      <alignment vertical="center"/>
    </xf>
    <xf numFmtId="3" fontId="52" fillId="0" borderId="0" xfId="0" applyFont="1" applyAlignment="1">
      <alignment/>
    </xf>
    <xf numFmtId="166" fontId="8" fillId="0" borderId="27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6" xfId="38" applyNumberFormat="1" applyFont="1" applyBorder="1" applyAlignment="1">
      <alignment vertical="center"/>
    </xf>
    <xf numFmtId="3" fontId="0" fillId="0" borderId="2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0" xfId="38" applyNumberFormat="1" applyFont="1" applyBorder="1" applyAlignment="1">
      <alignment/>
    </xf>
    <xf numFmtId="3" fontId="53" fillId="0" borderId="0" xfId="0" applyFont="1" applyAlignment="1">
      <alignment/>
    </xf>
    <xf numFmtId="3" fontId="7" fillId="0" borderId="28" xfId="0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4" fillId="0" borderId="13" xfId="38" applyNumberFormat="1" applyFon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33" borderId="13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8" xfId="0" applyFont="1" applyBorder="1" applyAlignment="1">
      <alignment horizontal="left" vertical="center"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28" xfId="0" applyBorder="1" applyAlignment="1">
      <alignment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8" xfId="0" applyFont="1" applyBorder="1" applyAlignment="1">
      <alignment horizontal="center"/>
    </xf>
    <xf numFmtId="3" fontId="0" fillId="0" borderId="21" xfId="0" applyFont="1" applyBorder="1" applyAlignment="1">
      <alignment/>
    </xf>
    <xf numFmtId="3" fontId="9" fillId="0" borderId="28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8" xfId="0" applyFont="1" applyBorder="1" applyAlignment="1">
      <alignment horizontal="center"/>
    </xf>
    <xf numFmtId="3" fontId="9" fillId="0" borderId="28" xfId="0" applyFont="1" applyFill="1" applyBorder="1" applyAlignment="1">
      <alignment horizontal="center"/>
    </xf>
    <xf numFmtId="3" fontId="7" fillId="0" borderId="28" xfId="0" applyFont="1" applyFill="1" applyBorder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3" xfId="38" applyNumberFormat="1" applyFont="1" applyBorder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12" xfId="38" applyNumberFormat="1" applyFont="1" applyBorder="1" applyAlignment="1">
      <alignment vertical="center"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2" fillId="0" borderId="35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6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66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65" fontId="52" fillId="0" borderId="0" xfId="0" applyNumberFormat="1" applyFont="1" applyAlignment="1">
      <alignment horizontal="center" vertical="center"/>
    </xf>
    <xf numFmtId="174" fontId="0" fillId="0" borderId="28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8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8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67" fontId="0" fillId="0" borderId="37" xfId="0" applyNumberForma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1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174" fontId="0" fillId="0" borderId="12" xfId="38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left"/>
    </xf>
    <xf numFmtId="174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6" fillId="0" borderId="37" xfId="38" applyNumberFormat="1" applyFont="1" applyBorder="1" applyAlignment="1">
      <alignment/>
    </xf>
    <xf numFmtId="174" fontId="6" fillId="0" borderId="37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4" fillId="0" borderId="20" xfId="38" applyNumberFormat="1" applyFont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74" fontId="0" fillId="0" borderId="2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2" fillId="0" borderId="31" xfId="38" applyNumberFormat="1" applyFont="1" applyBorder="1" applyAlignment="1">
      <alignment vertical="center"/>
    </xf>
    <xf numFmtId="174" fontId="6" fillId="0" borderId="20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3" fillId="0" borderId="42" xfId="38" applyNumberFormat="1" applyFont="1" applyBorder="1" applyAlignment="1">
      <alignment vertical="center"/>
    </xf>
    <xf numFmtId="174" fontId="2" fillId="0" borderId="30" xfId="38" applyNumberFormat="1" applyFont="1" applyBorder="1" applyAlignment="1">
      <alignment vertical="center"/>
    </xf>
    <xf numFmtId="174" fontId="0" fillId="0" borderId="31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6" fontId="8" fillId="0" borderId="31" xfId="38" applyNumberFormat="1" applyFont="1" applyBorder="1" applyAlignment="1">
      <alignment vertical="center"/>
    </xf>
    <xf numFmtId="165" fontId="4" fillId="0" borderId="43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66" fontId="4" fillId="0" borderId="0" xfId="38" applyNumberFormat="1" applyFont="1" applyBorder="1" applyAlignment="1">
      <alignment/>
    </xf>
    <xf numFmtId="174" fontId="2" fillId="0" borderId="44" xfId="38" applyNumberFormat="1" applyFont="1" applyBorder="1" applyAlignment="1">
      <alignment vertic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74" fontId="4" fillId="0" borderId="39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4" xfId="38" applyNumberFormat="1" applyFont="1" applyBorder="1" applyAlignment="1">
      <alignment vertical="center"/>
    </xf>
    <xf numFmtId="174" fontId="2" fillId="0" borderId="43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0" xfId="38" applyNumberFormat="1" applyFont="1" applyBorder="1" applyAlignment="1">
      <alignment vertical="center"/>
    </xf>
    <xf numFmtId="166" fontId="8" fillId="0" borderId="44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6" fontId="0" fillId="0" borderId="28" xfId="38" applyNumberFormat="1" applyFont="1" applyFill="1" applyBorder="1" applyAlignment="1">
      <alignment/>
    </xf>
    <xf numFmtId="166" fontId="8" fillId="0" borderId="33" xfId="38" applyNumberFormat="1" applyFont="1" applyBorder="1" applyAlignment="1">
      <alignment vertical="center"/>
    </xf>
    <xf numFmtId="166" fontId="4" fillId="0" borderId="46" xfId="38" applyNumberFormat="1" applyFont="1" applyBorder="1" applyAlignment="1">
      <alignment/>
    </xf>
    <xf numFmtId="3" fontId="10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74" fontId="4" fillId="0" borderId="17" xfId="38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34" xfId="0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21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3" fillId="0" borderId="24" xfId="38" applyNumberFormat="1" applyFont="1" applyBorder="1" applyAlignment="1">
      <alignment vertical="center"/>
    </xf>
    <xf numFmtId="174" fontId="4" fillId="0" borderId="24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66" fontId="4" fillId="0" borderId="37" xfId="38" applyNumberFormat="1" applyFont="1" applyBorder="1" applyAlignment="1">
      <alignment/>
    </xf>
    <xf numFmtId="167" fontId="0" fillId="0" borderId="28" xfId="0" applyNumberFormat="1" applyBorder="1" applyAlignment="1">
      <alignment/>
    </xf>
    <xf numFmtId="165" fontId="4" fillId="0" borderId="41" xfId="38" applyNumberFormat="1" applyFont="1" applyBorder="1" applyAlignment="1">
      <alignment horizontal="center"/>
    </xf>
    <xf numFmtId="165" fontId="4" fillId="0" borderId="40" xfId="38" applyNumberFormat="1" applyFont="1" applyBorder="1" applyAlignment="1">
      <alignment horizontal="center"/>
    </xf>
    <xf numFmtId="165" fontId="4" fillId="0" borderId="37" xfId="38" applyNumberFormat="1" applyFont="1" applyBorder="1" applyAlignment="1">
      <alignment horizontal="center"/>
    </xf>
    <xf numFmtId="174" fontId="0" fillId="0" borderId="47" xfId="38" applyNumberFormat="1" applyFont="1" applyBorder="1" applyAlignment="1">
      <alignment/>
    </xf>
    <xf numFmtId="174" fontId="6" fillId="0" borderId="37" xfId="38" applyNumberFormat="1" applyFont="1" applyFill="1" applyBorder="1" applyAlignment="1">
      <alignment/>
    </xf>
    <xf numFmtId="174" fontId="0" fillId="0" borderId="37" xfId="38" applyNumberFormat="1" applyFont="1" applyFill="1" applyBorder="1" applyAlignment="1">
      <alignment/>
    </xf>
    <xf numFmtId="174" fontId="0" fillId="0" borderId="37" xfId="38" applyNumberFormat="1" applyFont="1" applyFill="1" applyBorder="1" applyAlignment="1">
      <alignment/>
    </xf>
    <xf numFmtId="174" fontId="3" fillId="0" borderId="48" xfId="38" applyNumberFormat="1" applyFont="1" applyBorder="1" applyAlignment="1">
      <alignment vertical="center"/>
    </xf>
    <xf numFmtId="174" fontId="2" fillId="0" borderId="37" xfId="38" applyNumberFormat="1" applyFont="1" applyBorder="1" applyAlignment="1">
      <alignment vertical="center"/>
    </xf>
    <xf numFmtId="174" fontId="0" fillId="0" borderId="37" xfId="38" applyNumberFormat="1" applyFont="1" applyBorder="1" applyAlignment="1">
      <alignment vertical="center"/>
    </xf>
    <xf numFmtId="174" fontId="0" fillId="0" borderId="40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3" fontId="0" fillId="0" borderId="22" xfId="0" applyFont="1" applyBorder="1" applyAlignment="1">
      <alignment/>
    </xf>
    <xf numFmtId="3" fontId="12" fillId="0" borderId="34" xfId="0" applyFont="1" applyBorder="1" applyAlignment="1">
      <alignment horizontal="center"/>
    </xf>
    <xf numFmtId="174" fontId="11" fillId="0" borderId="4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35" xfId="38" applyNumberFormat="1" applyFont="1" applyBorder="1" applyAlignment="1">
      <alignment vertical="center"/>
    </xf>
    <xf numFmtId="4" fontId="8" fillId="0" borderId="31" xfId="38" applyNumberFormat="1" applyFont="1" applyBorder="1" applyAlignment="1">
      <alignment vertical="center"/>
    </xf>
    <xf numFmtId="174" fontId="0" fillId="0" borderId="45" xfId="38" applyNumberFormat="1" applyFont="1" applyBorder="1" applyAlignment="1">
      <alignment/>
    </xf>
    <xf numFmtId="174" fontId="6" fillId="0" borderId="49" xfId="38" applyNumberFormat="1" applyFont="1" applyBorder="1" applyAlignment="1">
      <alignment/>
    </xf>
    <xf numFmtId="174" fontId="0" fillId="0" borderId="50" xfId="38" applyNumberFormat="1" applyFont="1" applyBorder="1" applyAlignment="1">
      <alignment/>
    </xf>
    <xf numFmtId="174" fontId="4" fillId="0" borderId="49" xfId="38" applyNumberFormat="1" applyFont="1" applyBorder="1" applyAlignment="1">
      <alignment/>
    </xf>
    <xf numFmtId="174" fontId="4" fillId="0" borderId="51" xfId="38" applyNumberFormat="1" applyFont="1" applyBorder="1" applyAlignment="1">
      <alignment/>
    </xf>
    <xf numFmtId="174" fontId="2" fillId="0" borderId="51" xfId="38" applyNumberFormat="1" applyFont="1" applyBorder="1" applyAlignment="1">
      <alignment vertical="center"/>
    </xf>
    <xf numFmtId="174" fontId="3" fillId="0" borderId="52" xfId="38" applyNumberFormat="1" applyFont="1" applyBorder="1" applyAlignment="1">
      <alignment vertical="center"/>
    </xf>
    <xf numFmtId="174" fontId="8" fillId="0" borderId="0" xfId="38" applyNumberFormat="1" applyFont="1" applyBorder="1" applyAlignment="1">
      <alignment vertical="center"/>
    </xf>
    <xf numFmtId="174" fontId="0" fillId="0" borderId="0" xfId="38" applyNumberFormat="1" applyFont="1" applyBorder="1" applyAlignment="1">
      <alignment vertical="center"/>
    </xf>
    <xf numFmtId="174" fontId="0" fillId="0" borderId="44" xfId="38" applyNumberFormat="1" applyFont="1" applyBorder="1" applyAlignment="1">
      <alignment vertical="center"/>
    </xf>
    <xf numFmtId="166" fontId="0" fillId="0" borderId="0" xfId="38" applyNumberFormat="1" applyFont="1" applyFill="1" applyBorder="1" applyAlignment="1">
      <alignment/>
    </xf>
    <xf numFmtId="174" fontId="2" fillId="0" borderId="42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31" xfId="38" applyNumberFormat="1" applyFont="1" applyBorder="1" applyAlignment="1">
      <alignment vertical="center"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2" fillId="0" borderId="27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35" xfId="38" applyNumberFormat="1" applyFont="1" applyBorder="1" applyAlignment="1">
      <alignment vertical="center"/>
    </xf>
    <xf numFmtId="174" fontId="4" fillId="0" borderId="36" xfId="38" applyNumberFormat="1" applyFont="1" applyBorder="1" applyAlignment="1">
      <alignment vertical="center"/>
    </xf>
    <xf numFmtId="174" fontId="2" fillId="0" borderId="36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 vertical="center"/>
    </xf>
    <xf numFmtId="174" fontId="0" fillId="0" borderId="27" xfId="38" applyNumberFormat="1" applyFont="1" applyBorder="1" applyAlignment="1">
      <alignment vertical="center"/>
    </xf>
    <xf numFmtId="3" fontId="0" fillId="0" borderId="21" xfId="0" applyFill="1" applyBorder="1" applyAlignment="1">
      <alignment/>
    </xf>
    <xf numFmtId="4" fontId="4" fillId="0" borderId="13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6" fillId="0" borderId="13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4" fillId="0" borderId="13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3" fillId="0" borderId="53" xfId="38" applyNumberFormat="1" applyFont="1" applyBorder="1" applyAlignment="1">
      <alignment vertical="center"/>
    </xf>
    <xf numFmtId="4" fontId="4" fillId="0" borderId="53" xfId="38" applyNumberFormat="1" applyFont="1" applyBorder="1" applyAlignment="1">
      <alignment vertical="center"/>
    </xf>
    <xf numFmtId="4" fontId="2" fillId="0" borderId="53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13" xfId="38" applyNumberFormat="1" applyFont="1" applyBorder="1" applyAlignment="1">
      <alignment vertical="center"/>
    </xf>
    <xf numFmtId="4" fontId="8" fillId="0" borderId="44" xfId="38" applyNumberFormat="1" applyFont="1" applyBorder="1" applyAlignment="1">
      <alignment vertical="center"/>
    </xf>
    <xf numFmtId="3" fontId="5" fillId="0" borderId="28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26" xfId="38" applyNumberFormat="1" applyFont="1" applyBorder="1" applyAlignment="1">
      <alignment vertical="center"/>
    </xf>
    <xf numFmtId="174" fontId="0" fillId="0" borderId="37" xfId="38" applyNumberFormat="1" applyFont="1" applyBorder="1" applyAlignment="1">
      <alignment/>
    </xf>
    <xf numFmtId="174" fontId="0" fillId="0" borderId="48" xfId="38" applyNumberFormat="1" applyFont="1" applyBorder="1" applyAlignment="1">
      <alignment vertical="center"/>
    </xf>
    <xf numFmtId="174" fontId="3" fillId="0" borderId="41" xfId="38" applyNumberFormat="1" applyFont="1" applyBorder="1" applyAlignment="1">
      <alignment vertical="center"/>
    </xf>
    <xf numFmtId="174" fontId="3" fillId="0" borderId="37" xfId="38" applyNumberFormat="1" applyFont="1" applyBorder="1" applyAlignment="1">
      <alignment vertical="center"/>
    </xf>
    <xf numFmtId="174" fontId="3" fillId="0" borderId="40" xfId="38" applyNumberFormat="1" applyFont="1" applyBorder="1" applyAlignment="1">
      <alignment vertical="center"/>
    </xf>
    <xf numFmtId="165" fontId="4" fillId="0" borderId="25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74" fontId="2" fillId="0" borderId="23" xfId="38" applyNumberFormat="1" applyFont="1" applyBorder="1" applyAlignment="1">
      <alignment vertical="center"/>
    </xf>
    <xf numFmtId="174" fontId="0" fillId="0" borderId="22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0" fillId="0" borderId="22" xfId="38" applyNumberFormat="1" applyFont="1" applyFill="1" applyBorder="1" applyAlignment="1">
      <alignment/>
    </xf>
    <xf numFmtId="174" fontId="2" fillId="0" borderId="24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2" fillId="0" borderId="21" xfId="38" applyNumberFormat="1" applyFont="1" applyBorder="1" applyAlignment="1">
      <alignment vertical="center"/>
    </xf>
    <xf numFmtId="174" fontId="0" fillId="0" borderId="21" xfId="38" applyNumberFormat="1" applyFont="1" applyBorder="1" applyAlignment="1">
      <alignment vertical="center"/>
    </xf>
    <xf numFmtId="174" fontId="0" fillId="0" borderId="23" xfId="38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3" xfId="38" applyNumberFormat="1" applyFont="1" applyBorder="1" applyAlignment="1">
      <alignment vertical="center"/>
    </xf>
    <xf numFmtId="4" fontId="0" fillId="0" borderId="44" xfId="38" applyNumberFormat="1" applyFont="1" applyBorder="1" applyAlignment="1">
      <alignment vertical="center"/>
    </xf>
    <xf numFmtId="4" fontId="0" fillId="0" borderId="31" xfId="38" applyNumberFormat="1" applyFont="1" applyBorder="1" applyAlignment="1">
      <alignment vertical="center"/>
    </xf>
    <xf numFmtId="174" fontId="2" fillId="0" borderId="0" xfId="38" applyNumberFormat="1" applyFont="1" applyBorder="1" applyAlignment="1">
      <alignment vertical="center"/>
    </xf>
    <xf numFmtId="174" fontId="0" fillId="0" borderId="54" xfId="38" applyNumberFormat="1" applyFont="1" applyBorder="1" applyAlignment="1">
      <alignment vertical="center"/>
    </xf>
    <xf numFmtId="174" fontId="8" fillId="0" borderId="21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1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36" xfId="38" applyNumberFormat="1" applyFont="1" applyBorder="1" applyAlignment="1">
      <alignment vertical="center"/>
    </xf>
    <xf numFmtId="4" fontId="4" fillId="0" borderId="36" xfId="38" applyNumberFormat="1" applyFont="1" applyBorder="1" applyAlignment="1">
      <alignment vertical="center"/>
    </xf>
    <xf numFmtId="4" fontId="2" fillId="0" borderId="36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 vertical="center"/>
    </xf>
    <xf numFmtId="4" fontId="0" fillId="0" borderId="12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5" xfId="0" applyFont="1" applyBorder="1" applyAlignment="1">
      <alignment horizontal="center" vertical="center"/>
    </xf>
    <xf numFmtId="3" fontId="0" fillId="0" borderId="23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0"/>
  <sheetViews>
    <sheetView zoomScaleSheetLayoutView="69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5" sqref="G15"/>
    </sheetView>
  </sheetViews>
  <sheetFormatPr defaultColWidth="9.00390625" defaultRowHeight="12.75"/>
  <cols>
    <col min="1" max="1" width="51.00390625" style="0" customWidth="1"/>
    <col min="2" max="2" width="0.12890625" style="0" hidden="1" customWidth="1"/>
    <col min="3" max="3" width="15.375" style="0" customWidth="1"/>
    <col min="4" max="4" width="17.50390625" style="0" hidden="1" customWidth="1"/>
    <col min="5" max="5" width="12.00390625" style="0" hidden="1" customWidth="1"/>
    <col min="6" max="6" width="16.50390625" style="0" customWidth="1"/>
    <col min="7" max="7" width="12.50390625" style="0" customWidth="1"/>
    <col min="8" max="8" width="12.625" style="0" hidden="1" customWidth="1"/>
    <col min="9" max="9" width="16.375" style="0" customWidth="1"/>
    <col min="10" max="11" width="13.625" style="0" hidden="1" customWidth="1"/>
    <col min="12" max="12" width="17.125" style="0" hidden="1" customWidth="1"/>
    <col min="13" max="13" width="11.875" style="0" hidden="1" customWidth="1"/>
    <col min="14" max="14" width="13.50390625" style="0" hidden="1" customWidth="1"/>
    <col min="15" max="15" width="16.625" style="0" hidden="1" customWidth="1"/>
    <col min="16" max="16" width="13.375" style="0" hidden="1" customWidth="1"/>
    <col min="17" max="17" width="17.625" style="0" hidden="1" customWidth="1"/>
    <col min="19" max="19" width="15.125" style="0" customWidth="1"/>
  </cols>
  <sheetData>
    <row r="1" spans="3:17" ht="12.75">
      <c r="C1" s="1"/>
      <c r="D1" s="1"/>
      <c r="E1" s="1"/>
      <c r="F1" s="2"/>
      <c r="I1" s="2" t="s">
        <v>134</v>
      </c>
      <c r="L1" s="2"/>
      <c r="O1" s="2"/>
      <c r="Q1" s="2" t="s">
        <v>134</v>
      </c>
    </row>
    <row r="2" spans="3:6" ht="9.75" customHeight="1">
      <c r="C2" s="1"/>
      <c r="D2" s="1"/>
      <c r="E2" s="1"/>
      <c r="F2" s="2"/>
    </row>
    <row r="3" spans="1:17" ht="15">
      <c r="A3" s="326" t="s">
        <v>245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">
      <c r="A4" s="328" t="s">
        <v>282</v>
      </c>
      <c r="B4" s="32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3.5">
      <c r="A5" s="329" t="s">
        <v>0</v>
      </c>
      <c r="B5" s="329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12.75">
      <c r="A6" s="330" t="s">
        <v>1</v>
      </c>
      <c r="B6" s="33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3" ht="18" customHeight="1" thickBot="1">
      <c r="A7" s="3"/>
      <c r="B7" s="3"/>
      <c r="C7" s="4"/>
      <c r="D7" s="132"/>
      <c r="E7" s="4"/>
      <c r="F7" s="4"/>
      <c r="G7" s="62"/>
      <c r="J7" s="69"/>
      <c r="M7" s="62"/>
    </row>
    <row r="8" spans="1:17" ht="12.75">
      <c r="A8" s="331" t="s">
        <v>2</v>
      </c>
      <c r="B8" s="87" t="s">
        <v>231</v>
      </c>
      <c r="C8" s="288" t="s">
        <v>3</v>
      </c>
      <c r="D8" s="210" t="s">
        <v>4</v>
      </c>
      <c r="E8" s="210" t="s">
        <v>5</v>
      </c>
      <c r="F8" s="170" t="s">
        <v>6</v>
      </c>
      <c r="G8" s="17" t="s">
        <v>7</v>
      </c>
      <c r="H8" s="18" t="s">
        <v>5</v>
      </c>
      <c r="I8" s="19" t="s">
        <v>6</v>
      </c>
      <c r="J8" s="170" t="s">
        <v>8</v>
      </c>
      <c r="K8" s="18" t="s">
        <v>5</v>
      </c>
      <c r="L8" s="73" t="s">
        <v>6</v>
      </c>
      <c r="M8" s="17" t="s">
        <v>9</v>
      </c>
      <c r="N8" s="18" t="s">
        <v>5</v>
      </c>
      <c r="O8" s="19" t="s">
        <v>6</v>
      </c>
      <c r="P8" s="17" t="s">
        <v>159</v>
      </c>
      <c r="Q8" s="73" t="s">
        <v>6</v>
      </c>
    </row>
    <row r="9" spans="1:17" ht="13.5" thickBot="1">
      <c r="A9" s="332"/>
      <c r="B9" s="142" t="s">
        <v>174</v>
      </c>
      <c r="C9" s="289" t="s">
        <v>10</v>
      </c>
      <c r="D9" s="211" t="s">
        <v>11</v>
      </c>
      <c r="E9" s="211" t="s">
        <v>12</v>
      </c>
      <c r="F9" s="171" t="s">
        <v>13</v>
      </c>
      <c r="G9" s="58" t="s">
        <v>11</v>
      </c>
      <c r="H9" s="59" t="s">
        <v>12</v>
      </c>
      <c r="I9" s="60" t="s">
        <v>14</v>
      </c>
      <c r="J9" s="171" t="s">
        <v>11</v>
      </c>
      <c r="K9" s="59" t="s">
        <v>12</v>
      </c>
      <c r="L9" s="74" t="s">
        <v>15</v>
      </c>
      <c r="M9" s="58" t="s">
        <v>11</v>
      </c>
      <c r="N9" s="59" t="s">
        <v>12</v>
      </c>
      <c r="O9" s="60" t="s">
        <v>16</v>
      </c>
      <c r="P9" s="58" t="s">
        <v>11</v>
      </c>
      <c r="Q9" s="74" t="s">
        <v>160</v>
      </c>
    </row>
    <row r="10" spans="1:17" ht="15.75" customHeight="1">
      <c r="A10" s="56" t="s">
        <v>17</v>
      </c>
      <c r="B10" s="88"/>
      <c r="C10" s="290"/>
      <c r="D10" s="212"/>
      <c r="E10" s="212"/>
      <c r="F10" s="172"/>
      <c r="G10" s="29"/>
      <c r="H10" s="5"/>
      <c r="I10" s="57"/>
      <c r="J10" s="172"/>
      <c r="K10" s="5"/>
      <c r="L10" s="159"/>
      <c r="M10" s="29"/>
      <c r="N10" s="5"/>
      <c r="O10" s="57"/>
      <c r="P10" s="76"/>
      <c r="Q10" s="77"/>
    </row>
    <row r="11" spans="1:17" ht="12.75">
      <c r="A11" s="31" t="s">
        <v>221</v>
      </c>
      <c r="B11" s="89"/>
      <c r="C11" s="196">
        <f>C13+C14+C15+C16</f>
        <v>4637203.01</v>
      </c>
      <c r="D11" s="129">
        <f>D13+D14+D15+D16</f>
        <v>-93212.15</v>
      </c>
      <c r="E11" s="129">
        <f>E13+E14+E15</f>
        <v>0</v>
      </c>
      <c r="F11" s="140">
        <f>F13+F14+F15+F16</f>
        <v>4543990.859999999</v>
      </c>
      <c r="G11" s="111">
        <f>G13+G14+G15+G16</f>
        <v>814</v>
      </c>
      <c r="H11" s="112">
        <f aca="true" t="shared" si="0" ref="H11:Q11">H13+H14+H15+H16</f>
        <v>0</v>
      </c>
      <c r="I11" s="243">
        <f t="shared" si="0"/>
        <v>4544804.859999999</v>
      </c>
      <c r="J11" s="140">
        <f t="shared" si="0"/>
        <v>0</v>
      </c>
      <c r="K11" s="140">
        <f t="shared" si="0"/>
        <v>0</v>
      </c>
      <c r="L11" s="140">
        <f t="shared" si="0"/>
        <v>26787.85</v>
      </c>
      <c r="M11" s="140">
        <f t="shared" si="0"/>
        <v>0</v>
      </c>
      <c r="N11" s="140">
        <f t="shared" si="0"/>
        <v>0</v>
      </c>
      <c r="O11" s="140">
        <f t="shared" si="0"/>
        <v>26787.85</v>
      </c>
      <c r="P11" s="140">
        <f t="shared" si="0"/>
        <v>0</v>
      </c>
      <c r="Q11" s="140">
        <f t="shared" si="0"/>
        <v>26787.85</v>
      </c>
    </row>
    <row r="12" spans="1:17" ht="12.75">
      <c r="A12" s="32" t="s">
        <v>18</v>
      </c>
      <c r="B12" s="90"/>
      <c r="C12" s="196"/>
      <c r="D12" s="129"/>
      <c r="E12" s="129"/>
      <c r="F12" s="140"/>
      <c r="G12" s="20"/>
      <c r="H12" s="6"/>
      <c r="I12" s="243"/>
      <c r="J12" s="130"/>
      <c r="K12" s="6"/>
      <c r="L12" s="68"/>
      <c r="M12" s="20"/>
      <c r="N12" s="6"/>
      <c r="O12" s="21"/>
      <c r="P12" s="80"/>
      <c r="Q12" s="78"/>
    </row>
    <row r="13" spans="1:17" ht="12.75">
      <c r="A13" s="98" t="s">
        <v>228</v>
      </c>
      <c r="B13" s="90"/>
      <c r="C13" s="197">
        <v>4633763.01</v>
      </c>
      <c r="D13" s="146">
        <v>-150000</v>
      </c>
      <c r="E13" s="129"/>
      <c r="F13" s="134">
        <f>C13+D13+E13</f>
        <v>4483763.01</v>
      </c>
      <c r="G13" s="114">
        <f>747</f>
        <v>747</v>
      </c>
      <c r="H13" s="6"/>
      <c r="I13" s="244">
        <f>F13+G13+H13</f>
        <v>4484510.01</v>
      </c>
      <c r="J13" s="130"/>
      <c r="K13" s="6"/>
      <c r="L13" s="68"/>
      <c r="M13" s="20"/>
      <c r="N13" s="6"/>
      <c r="O13" s="21"/>
      <c r="P13" s="80"/>
      <c r="Q13" s="78"/>
    </row>
    <row r="14" spans="1:17" ht="12.75">
      <c r="A14" s="33" t="s">
        <v>19</v>
      </c>
      <c r="B14" s="91"/>
      <c r="C14" s="197"/>
      <c r="D14" s="215">
        <f>26787.85</f>
        <v>26787.85</v>
      </c>
      <c r="E14" s="146"/>
      <c r="F14" s="134">
        <f>C14+D14+E14</f>
        <v>26787.85</v>
      </c>
      <c r="G14" s="114"/>
      <c r="H14" s="6"/>
      <c r="I14" s="244">
        <f>F14+G14+H14</f>
        <v>26787.85</v>
      </c>
      <c r="J14" s="86"/>
      <c r="K14" s="6"/>
      <c r="L14" s="72">
        <f>I14+J14+K14</f>
        <v>26787.85</v>
      </c>
      <c r="M14" s="22"/>
      <c r="N14" s="6"/>
      <c r="O14" s="23">
        <f>L14+M14+N14</f>
        <v>26787.85</v>
      </c>
      <c r="P14" s="80"/>
      <c r="Q14" s="78">
        <f aca="true" t="shared" si="1" ref="Q14:Q77">O14+P14</f>
        <v>26787.85</v>
      </c>
    </row>
    <row r="15" spans="1:17" ht="12.75">
      <c r="A15" s="98" t="s">
        <v>229</v>
      </c>
      <c r="B15" s="91"/>
      <c r="C15" s="197">
        <v>3440</v>
      </c>
      <c r="D15" s="215"/>
      <c r="E15" s="146"/>
      <c r="F15" s="134">
        <f>C15+D15+E15</f>
        <v>3440</v>
      </c>
      <c r="G15" s="114">
        <f>67</f>
        <v>67</v>
      </c>
      <c r="H15" s="6"/>
      <c r="I15" s="244">
        <f>F15+G15+H15</f>
        <v>3507</v>
      </c>
      <c r="J15" s="86"/>
      <c r="K15" s="6"/>
      <c r="L15" s="72"/>
      <c r="M15" s="128"/>
      <c r="N15" s="6"/>
      <c r="O15" s="23"/>
      <c r="P15" s="139"/>
      <c r="Q15" s="78"/>
    </row>
    <row r="16" spans="1:17" ht="12.75">
      <c r="A16" s="98" t="s">
        <v>295</v>
      </c>
      <c r="B16" s="91"/>
      <c r="C16" s="197"/>
      <c r="D16" s="215">
        <f>30000</f>
        <v>30000</v>
      </c>
      <c r="E16" s="146"/>
      <c r="F16" s="134">
        <f>C16+D16+E16</f>
        <v>30000</v>
      </c>
      <c r="G16" s="114"/>
      <c r="H16" s="6"/>
      <c r="I16" s="244">
        <f>F16+G16+H16</f>
        <v>30000</v>
      </c>
      <c r="J16" s="86"/>
      <c r="K16" s="6"/>
      <c r="L16" s="86"/>
      <c r="M16" s="128"/>
      <c r="N16" s="208"/>
      <c r="O16" s="86"/>
      <c r="P16" s="139"/>
      <c r="Q16" s="78"/>
    </row>
    <row r="17" spans="1:17" ht="12.75">
      <c r="A17" s="31" t="s">
        <v>222</v>
      </c>
      <c r="B17" s="89"/>
      <c r="C17" s="196">
        <f aca="true" t="shared" si="2" ref="C17:Q17">SUM(C19:C25)+C32</f>
        <v>266083.59</v>
      </c>
      <c r="D17" s="129">
        <f t="shared" si="2"/>
        <v>2715.949999999997</v>
      </c>
      <c r="E17" s="129">
        <f t="shared" si="2"/>
        <v>0</v>
      </c>
      <c r="F17" s="140">
        <f t="shared" si="2"/>
        <v>268799.54</v>
      </c>
      <c r="G17" s="262">
        <f t="shared" si="2"/>
        <v>25399.82</v>
      </c>
      <c r="H17" s="112">
        <f t="shared" si="2"/>
        <v>0</v>
      </c>
      <c r="I17" s="243">
        <f t="shared" si="2"/>
        <v>294199.36</v>
      </c>
      <c r="J17" s="129">
        <f t="shared" si="2"/>
        <v>0</v>
      </c>
      <c r="K17" s="129">
        <f t="shared" si="2"/>
        <v>0</v>
      </c>
      <c r="L17" s="129">
        <f t="shared" si="2"/>
        <v>294199.36</v>
      </c>
      <c r="M17" s="129">
        <f t="shared" si="2"/>
        <v>0</v>
      </c>
      <c r="N17" s="129">
        <f t="shared" si="2"/>
        <v>0</v>
      </c>
      <c r="O17" s="129">
        <f t="shared" si="2"/>
        <v>294199.36</v>
      </c>
      <c r="P17" s="129">
        <f t="shared" si="2"/>
        <v>0</v>
      </c>
      <c r="Q17" s="129">
        <f t="shared" si="2"/>
        <v>294199.36</v>
      </c>
    </row>
    <row r="18" spans="1:17" ht="10.5" customHeight="1">
      <c r="A18" s="32" t="s">
        <v>20</v>
      </c>
      <c r="B18" s="90"/>
      <c r="C18" s="196"/>
      <c r="D18" s="129"/>
      <c r="E18" s="129"/>
      <c r="F18" s="140"/>
      <c r="G18" s="262"/>
      <c r="H18" s="6"/>
      <c r="I18" s="243"/>
      <c r="J18" s="130"/>
      <c r="K18" s="6"/>
      <c r="L18" s="68"/>
      <c r="M18" s="20"/>
      <c r="N18" s="6"/>
      <c r="O18" s="21"/>
      <c r="P18" s="80"/>
      <c r="Q18" s="78"/>
    </row>
    <row r="19" spans="1:17" ht="12.75">
      <c r="A19" s="33" t="s">
        <v>21</v>
      </c>
      <c r="B19" s="91"/>
      <c r="C19" s="197">
        <v>6000</v>
      </c>
      <c r="D19" s="146"/>
      <c r="E19" s="146"/>
      <c r="F19" s="134">
        <f>C19+D19+E19</f>
        <v>6000</v>
      </c>
      <c r="G19" s="263"/>
      <c r="H19" s="7"/>
      <c r="I19" s="244">
        <f>F19+G19+H19</f>
        <v>6000</v>
      </c>
      <c r="J19" s="86"/>
      <c r="K19" s="7"/>
      <c r="L19" s="72">
        <f>I19+J19+K19</f>
        <v>6000</v>
      </c>
      <c r="M19" s="22"/>
      <c r="N19" s="7"/>
      <c r="O19" s="23">
        <f>L19+M19+N19</f>
        <v>6000</v>
      </c>
      <c r="P19" s="80"/>
      <c r="Q19" s="78">
        <f t="shared" si="1"/>
        <v>6000</v>
      </c>
    </row>
    <row r="20" spans="1:17" ht="12.75">
      <c r="A20" s="98" t="s">
        <v>260</v>
      </c>
      <c r="B20" s="91"/>
      <c r="C20" s="197"/>
      <c r="D20" s="146">
        <f>213.18+5241.84+3126.66</f>
        <v>8581.68</v>
      </c>
      <c r="E20" s="146"/>
      <c r="F20" s="134">
        <f aca="true" t="shared" si="3" ref="F20:F32">C20+D20+E20</f>
        <v>8581.68</v>
      </c>
      <c r="G20" s="263">
        <f>14458.98+300+5932</f>
        <v>20690.98</v>
      </c>
      <c r="H20" s="7"/>
      <c r="I20" s="244">
        <f>F20+G20+H20</f>
        <v>29272.66</v>
      </c>
      <c r="J20" s="86"/>
      <c r="K20" s="7"/>
      <c r="L20" s="72">
        <f>I20+J20+K20</f>
        <v>29272.66</v>
      </c>
      <c r="M20" s="22"/>
      <c r="N20" s="7"/>
      <c r="O20" s="23">
        <f>L20+M20+N20</f>
        <v>29272.66</v>
      </c>
      <c r="P20" s="80"/>
      <c r="Q20" s="78">
        <f t="shared" si="1"/>
        <v>29272.66</v>
      </c>
    </row>
    <row r="21" spans="1:17" ht="12.75">
      <c r="A21" s="98" t="s">
        <v>266</v>
      </c>
      <c r="B21" s="91"/>
      <c r="C21" s="197">
        <v>30000</v>
      </c>
      <c r="D21" s="146">
        <f>-30000</f>
        <v>-30000</v>
      </c>
      <c r="E21" s="146"/>
      <c r="F21" s="134">
        <f t="shared" si="3"/>
        <v>0</v>
      </c>
      <c r="G21" s="263"/>
      <c r="H21" s="7"/>
      <c r="I21" s="244">
        <f>F21+G21+H21</f>
        <v>0</v>
      </c>
      <c r="J21" s="86"/>
      <c r="K21" s="7"/>
      <c r="L21" s="72">
        <f>I21+J21+K21</f>
        <v>0</v>
      </c>
      <c r="M21" s="22"/>
      <c r="N21" s="7"/>
      <c r="O21" s="23">
        <f>L21+M21+N21</f>
        <v>0</v>
      </c>
      <c r="P21" s="80"/>
      <c r="Q21" s="78">
        <f t="shared" si="1"/>
        <v>0</v>
      </c>
    </row>
    <row r="22" spans="1:17" ht="12.75">
      <c r="A22" s="34" t="s">
        <v>261</v>
      </c>
      <c r="B22" s="92"/>
      <c r="C22" s="197">
        <v>121834.08</v>
      </c>
      <c r="D22" s="146"/>
      <c r="E22" s="146"/>
      <c r="F22" s="134">
        <f t="shared" si="3"/>
        <v>121834.08</v>
      </c>
      <c r="G22" s="263"/>
      <c r="H22" s="7"/>
      <c r="I22" s="244">
        <f>F22+G22+H22</f>
        <v>121834.08</v>
      </c>
      <c r="J22" s="86"/>
      <c r="K22" s="7"/>
      <c r="L22" s="72">
        <f>I22+J22+K22</f>
        <v>121834.08</v>
      </c>
      <c r="M22" s="22"/>
      <c r="N22" s="7"/>
      <c r="O22" s="23">
        <f>L22+M22+N22</f>
        <v>121834.08</v>
      </c>
      <c r="P22" s="80"/>
      <c r="Q22" s="78">
        <f t="shared" si="1"/>
        <v>121834.08</v>
      </c>
    </row>
    <row r="23" spans="1:17" ht="12.75" hidden="1">
      <c r="A23" s="34" t="s">
        <v>262</v>
      </c>
      <c r="B23" s="92"/>
      <c r="C23" s="197"/>
      <c r="D23" s="146"/>
      <c r="E23" s="146"/>
      <c r="F23" s="134">
        <f t="shared" si="3"/>
        <v>0</v>
      </c>
      <c r="G23" s="263"/>
      <c r="H23" s="7"/>
      <c r="I23" s="244"/>
      <c r="J23" s="86"/>
      <c r="K23" s="7"/>
      <c r="L23" s="72"/>
      <c r="M23" s="22"/>
      <c r="N23" s="7"/>
      <c r="O23" s="23"/>
      <c r="P23" s="80"/>
      <c r="Q23" s="78"/>
    </row>
    <row r="24" spans="1:17" ht="12.75">
      <c r="A24" s="34" t="s">
        <v>263</v>
      </c>
      <c r="B24" s="92"/>
      <c r="C24" s="197"/>
      <c r="D24" s="146">
        <f>69.49+2718.44+50.49+432.1+127.5+46.95+16.23+160.66</f>
        <v>3621.859999999999</v>
      </c>
      <c r="E24" s="146"/>
      <c r="F24" s="134">
        <f t="shared" si="3"/>
        <v>3621.859999999999</v>
      </c>
      <c r="G24" s="263">
        <f>17.58+7.68+256.49+2092.13+484.9</f>
        <v>2858.78</v>
      </c>
      <c r="H24" s="7"/>
      <c r="I24" s="244">
        <f>F24+G24+H24</f>
        <v>6480.639999999999</v>
      </c>
      <c r="J24" s="86"/>
      <c r="K24" s="7"/>
      <c r="L24" s="72">
        <f>I24+J24+K24</f>
        <v>6480.639999999999</v>
      </c>
      <c r="M24" s="30"/>
      <c r="N24" s="7"/>
      <c r="O24" s="23">
        <f>L24+M24+N24</f>
        <v>6480.639999999999</v>
      </c>
      <c r="P24" s="80"/>
      <c r="Q24" s="78">
        <f t="shared" si="1"/>
        <v>6480.639999999999</v>
      </c>
    </row>
    <row r="25" spans="1:17" ht="12.75">
      <c r="A25" s="33" t="s">
        <v>22</v>
      </c>
      <c r="B25" s="91"/>
      <c r="C25" s="197">
        <f>SUM(C26:C31)</f>
        <v>108249.51000000001</v>
      </c>
      <c r="D25" s="146">
        <f>SUM(D26:D31)</f>
        <v>127.7</v>
      </c>
      <c r="E25" s="146">
        <f aca="true" t="shared" si="4" ref="E25:Q25">SUM(E26:E31)</f>
        <v>0</v>
      </c>
      <c r="F25" s="134">
        <f t="shared" si="4"/>
        <v>108377.20999999999</v>
      </c>
      <c r="G25" s="263">
        <f t="shared" si="4"/>
        <v>1826.4</v>
      </c>
      <c r="H25" s="113">
        <f t="shared" si="4"/>
        <v>0</v>
      </c>
      <c r="I25" s="244">
        <f t="shared" si="4"/>
        <v>110203.60999999999</v>
      </c>
      <c r="J25" s="134">
        <f t="shared" si="4"/>
        <v>0</v>
      </c>
      <c r="K25" s="113">
        <f t="shared" si="4"/>
        <v>0</v>
      </c>
      <c r="L25" s="146">
        <f t="shared" si="4"/>
        <v>110203.60999999999</v>
      </c>
      <c r="M25" s="114">
        <f t="shared" si="4"/>
        <v>0</v>
      </c>
      <c r="N25" s="114">
        <f t="shared" si="4"/>
        <v>0</v>
      </c>
      <c r="O25" s="114">
        <f t="shared" si="4"/>
        <v>110203.60999999999</v>
      </c>
      <c r="P25" s="114">
        <f t="shared" si="4"/>
        <v>0</v>
      </c>
      <c r="Q25" s="197">
        <f t="shared" si="4"/>
        <v>110203.60999999999</v>
      </c>
    </row>
    <row r="26" spans="1:17" ht="12.75">
      <c r="A26" s="33" t="s">
        <v>23</v>
      </c>
      <c r="B26" s="91"/>
      <c r="C26" s="197">
        <v>44302</v>
      </c>
      <c r="D26" s="146">
        <f>127.7</f>
        <v>127.7</v>
      </c>
      <c r="E26" s="146"/>
      <c r="F26" s="134">
        <f t="shared" si="3"/>
        <v>44429.7</v>
      </c>
      <c r="G26" s="263">
        <f>1397.7</f>
        <v>1397.7</v>
      </c>
      <c r="H26" s="7"/>
      <c r="I26" s="244">
        <f aca="true" t="shared" si="5" ref="I26:I32">F26+G26+H26</f>
        <v>45827.399999999994</v>
      </c>
      <c r="J26" s="86"/>
      <c r="K26" s="7"/>
      <c r="L26" s="72">
        <f aca="true" t="shared" si="6" ref="L26:L32">I26+J26+K26</f>
        <v>45827.399999999994</v>
      </c>
      <c r="M26" s="22"/>
      <c r="N26" s="7"/>
      <c r="O26" s="23">
        <f aca="true" t="shared" si="7" ref="O26:O32">L26+M26+N26</f>
        <v>45827.399999999994</v>
      </c>
      <c r="P26" s="80"/>
      <c r="Q26" s="78">
        <f t="shared" si="1"/>
        <v>45827.399999999994</v>
      </c>
    </row>
    <row r="27" spans="1:17" ht="12.75">
      <c r="A27" s="34" t="s">
        <v>146</v>
      </c>
      <c r="B27" s="92"/>
      <c r="C27" s="197">
        <v>899.66</v>
      </c>
      <c r="D27" s="146"/>
      <c r="E27" s="146"/>
      <c r="F27" s="134">
        <f t="shared" si="3"/>
        <v>899.66</v>
      </c>
      <c r="G27" s="263"/>
      <c r="H27" s="7"/>
      <c r="I27" s="244">
        <f t="shared" si="5"/>
        <v>899.66</v>
      </c>
      <c r="J27" s="86"/>
      <c r="K27" s="7"/>
      <c r="L27" s="72">
        <f t="shared" si="6"/>
        <v>899.66</v>
      </c>
      <c r="M27" s="22"/>
      <c r="N27" s="7"/>
      <c r="O27" s="23">
        <f t="shared" si="7"/>
        <v>899.66</v>
      </c>
      <c r="P27" s="80"/>
      <c r="Q27" s="78">
        <f t="shared" si="1"/>
        <v>899.66</v>
      </c>
    </row>
    <row r="28" spans="1:17" ht="12.75">
      <c r="A28" s="33" t="s">
        <v>24</v>
      </c>
      <c r="B28" s="91"/>
      <c r="C28" s="197">
        <v>23039</v>
      </c>
      <c r="D28" s="146"/>
      <c r="E28" s="146"/>
      <c r="F28" s="134">
        <f t="shared" si="3"/>
        <v>23039</v>
      </c>
      <c r="G28" s="263"/>
      <c r="H28" s="7"/>
      <c r="I28" s="244">
        <f t="shared" si="5"/>
        <v>23039</v>
      </c>
      <c r="J28" s="86"/>
      <c r="K28" s="7"/>
      <c r="L28" s="72">
        <f t="shared" si="6"/>
        <v>23039</v>
      </c>
      <c r="M28" s="22"/>
      <c r="N28" s="7"/>
      <c r="O28" s="23">
        <f t="shared" si="7"/>
        <v>23039</v>
      </c>
      <c r="P28" s="80"/>
      <c r="Q28" s="78">
        <f t="shared" si="1"/>
        <v>23039</v>
      </c>
    </row>
    <row r="29" spans="1:17" ht="12.75">
      <c r="A29" s="34" t="s">
        <v>147</v>
      </c>
      <c r="B29" s="92"/>
      <c r="C29" s="197">
        <v>9557.2</v>
      </c>
      <c r="D29" s="146"/>
      <c r="E29" s="146"/>
      <c r="F29" s="134">
        <f t="shared" si="3"/>
        <v>9557.2</v>
      </c>
      <c r="G29" s="263">
        <f>428.7</f>
        <v>428.7</v>
      </c>
      <c r="H29" s="7"/>
      <c r="I29" s="244">
        <f t="shared" si="5"/>
        <v>9985.900000000001</v>
      </c>
      <c r="J29" s="86"/>
      <c r="K29" s="7"/>
      <c r="L29" s="72">
        <f t="shared" si="6"/>
        <v>9985.900000000001</v>
      </c>
      <c r="M29" s="22"/>
      <c r="N29" s="7"/>
      <c r="O29" s="23">
        <f t="shared" si="7"/>
        <v>9985.900000000001</v>
      </c>
      <c r="P29" s="80"/>
      <c r="Q29" s="78">
        <f t="shared" si="1"/>
        <v>9985.900000000001</v>
      </c>
    </row>
    <row r="30" spans="1:17" ht="12.75">
      <c r="A30" s="34" t="s">
        <v>246</v>
      </c>
      <c r="B30" s="92"/>
      <c r="C30" s="197">
        <v>512.75</v>
      </c>
      <c r="D30" s="146"/>
      <c r="E30" s="146"/>
      <c r="F30" s="134">
        <f t="shared" si="3"/>
        <v>512.75</v>
      </c>
      <c r="G30" s="263"/>
      <c r="H30" s="7"/>
      <c r="I30" s="244">
        <f t="shared" si="5"/>
        <v>512.75</v>
      </c>
      <c r="J30" s="86"/>
      <c r="K30" s="7"/>
      <c r="L30" s="72">
        <f t="shared" si="6"/>
        <v>512.75</v>
      </c>
      <c r="M30" s="22"/>
      <c r="N30" s="7"/>
      <c r="O30" s="23">
        <f t="shared" si="7"/>
        <v>512.75</v>
      </c>
      <c r="P30" s="80"/>
      <c r="Q30" s="78">
        <f t="shared" si="1"/>
        <v>512.75</v>
      </c>
    </row>
    <row r="31" spans="1:17" ht="12.75">
      <c r="A31" s="34" t="s">
        <v>148</v>
      </c>
      <c r="B31" s="92"/>
      <c r="C31" s="197">
        <v>29938.9</v>
      </c>
      <c r="D31" s="146"/>
      <c r="E31" s="146"/>
      <c r="F31" s="134">
        <f t="shared" si="3"/>
        <v>29938.9</v>
      </c>
      <c r="G31" s="263"/>
      <c r="H31" s="7"/>
      <c r="I31" s="244">
        <f t="shared" si="5"/>
        <v>29938.9</v>
      </c>
      <c r="J31" s="86"/>
      <c r="K31" s="7"/>
      <c r="L31" s="72">
        <f t="shared" si="6"/>
        <v>29938.9</v>
      </c>
      <c r="M31" s="22"/>
      <c r="N31" s="7"/>
      <c r="O31" s="23">
        <f t="shared" si="7"/>
        <v>29938.9</v>
      </c>
      <c r="P31" s="80"/>
      <c r="Q31" s="78">
        <f>O31+P31</f>
        <v>29938.9</v>
      </c>
    </row>
    <row r="32" spans="1:17" ht="12.75">
      <c r="A32" s="34" t="s">
        <v>190</v>
      </c>
      <c r="B32" s="92"/>
      <c r="C32" s="197"/>
      <c r="D32" s="283">
        <f>725.52+16001.9+1847.46+821.71+940.71+47.41</f>
        <v>20384.709999999995</v>
      </c>
      <c r="E32" s="146"/>
      <c r="F32" s="134">
        <f t="shared" si="3"/>
        <v>20384.709999999995</v>
      </c>
      <c r="G32" s="281">
        <f>23.66</f>
        <v>23.66</v>
      </c>
      <c r="H32" s="187"/>
      <c r="I32" s="244">
        <f t="shared" si="5"/>
        <v>20408.369999999995</v>
      </c>
      <c r="J32" s="198"/>
      <c r="K32" s="187"/>
      <c r="L32" s="72">
        <f t="shared" si="6"/>
        <v>20408.369999999995</v>
      </c>
      <c r="M32" s="198"/>
      <c r="N32" s="198"/>
      <c r="O32" s="23">
        <f t="shared" si="7"/>
        <v>20408.369999999995</v>
      </c>
      <c r="P32" s="198"/>
      <c r="Q32" s="78">
        <f>O32+P32</f>
        <v>20408.369999999995</v>
      </c>
    </row>
    <row r="33" spans="1:17" ht="12.75" hidden="1">
      <c r="A33" s="35" t="s">
        <v>223</v>
      </c>
      <c r="B33" s="93"/>
      <c r="C33" s="199">
        <f>SUM(C35:C39)</f>
        <v>0</v>
      </c>
      <c r="D33" s="147">
        <f aca="true" t="shared" si="8" ref="D33:Q33">SUM(D35:D39)</f>
        <v>0</v>
      </c>
      <c r="E33" s="147">
        <f t="shared" si="8"/>
        <v>0</v>
      </c>
      <c r="F33" s="131">
        <f t="shared" si="8"/>
        <v>0</v>
      </c>
      <c r="G33" s="267">
        <f t="shared" si="8"/>
        <v>0</v>
      </c>
      <c r="H33" s="116">
        <f t="shared" si="8"/>
        <v>0</v>
      </c>
      <c r="I33" s="226">
        <f t="shared" si="8"/>
        <v>0</v>
      </c>
      <c r="J33" s="131">
        <f t="shared" si="8"/>
        <v>0</v>
      </c>
      <c r="K33" s="116">
        <f t="shared" si="8"/>
        <v>0</v>
      </c>
      <c r="L33" s="147">
        <f t="shared" si="8"/>
        <v>0</v>
      </c>
      <c r="M33" s="115">
        <f t="shared" si="8"/>
        <v>0</v>
      </c>
      <c r="N33" s="115">
        <f t="shared" si="8"/>
        <v>0</v>
      </c>
      <c r="O33" s="115">
        <f t="shared" si="8"/>
        <v>0</v>
      </c>
      <c r="P33" s="115">
        <f t="shared" si="8"/>
        <v>0</v>
      </c>
      <c r="Q33" s="199">
        <f t="shared" si="8"/>
        <v>0</v>
      </c>
    </row>
    <row r="34" spans="1:17" ht="11.25" customHeight="1" hidden="1">
      <c r="A34" s="32" t="s">
        <v>20</v>
      </c>
      <c r="B34" s="90"/>
      <c r="C34" s="197"/>
      <c r="D34" s="146"/>
      <c r="E34" s="146"/>
      <c r="F34" s="134"/>
      <c r="G34" s="263"/>
      <c r="H34" s="7"/>
      <c r="I34" s="244"/>
      <c r="J34" s="86"/>
      <c r="K34" s="7"/>
      <c r="L34" s="72"/>
      <c r="M34" s="22"/>
      <c r="N34" s="7"/>
      <c r="O34" s="23"/>
      <c r="P34" s="80"/>
      <c r="Q34" s="78"/>
    </row>
    <row r="35" spans="1:17" ht="12.75" hidden="1">
      <c r="A35" s="98" t="s">
        <v>109</v>
      </c>
      <c r="B35" s="91"/>
      <c r="C35" s="197"/>
      <c r="D35" s="146"/>
      <c r="E35" s="146"/>
      <c r="F35" s="134">
        <f>C35+D35+E35</f>
        <v>0</v>
      </c>
      <c r="G35" s="263"/>
      <c r="H35" s="7"/>
      <c r="I35" s="244">
        <f>F35+G35+H35</f>
        <v>0</v>
      </c>
      <c r="J35" s="86"/>
      <c r="K35" s="7"/>
      <c r="L35" s="72">
        <f>I35+J35+K35</f>
        <v>0</v>
      </c>
      <c r="M35" s="22"/>
      <c r="N35" s="7"/>
      <c r="O35" s="23">
        <f>L35+M35+N35</f>
        <v>0</v>
      </c>
      <c r="P35" s="80"/>
      <c r="Q35" s="78">
        <f t="shared" si="1"/>
        <v>0</v>
      </c>
    </row>
    <row r="36" spans="1:17" ht="12.75" hidden="1">
      <c r="A36" s="34" t="s">
        <v>104</v>
      </c>
      <c r="B36" s="92"/>
      <c r="C36" s="197"/>
      <c r="D36" s="146"/>
      <c r="E36" s="146"/>
      <c r="F36" s="134">
        <f>C36+D36+E36</f>
        <v>0</v>
      </c>
      <c r="G36" s="263"/>
      <c r="H36" s="7"/>
      <c r="I36" s="244">
        <f>F36+G36+H36</f>
        <v>0</v>
      </c>
      <c r="J36" s="239"/>
      <c r="K36" s="7"/>
      <c r="L36" s="72">
        <f>I36+J36+K36</f>
        <v>0</v>
      </c>
      <c r="M36" s="30"/>
      <c r="N36" s="7"/>
      <c r="O36" s="23">
        <f>L36+M36+N36</f>
        <v>0</v>
      </c>
      <c r="P36" s="80"/>
      <c r="Q36" s="78">
        <f t="shared" si="1"/>
        <v>0</v>
      </c>
    </row>
    <row r="37" spans="1:17" ht="12.75" hidden="1">
      <c r="A37" s="34" t="s">
        <v>107</v>
      </c>
      <c r="B37" s="92"/>
      <c r="C37" s="197"/>
      <c r="D37" s="146"/>
      <c r="E37" s="146"/>
      <c r="F37" s="134">
        <f>C37+D37+E37</f>
        <v>0</v>
      </c>
      <c r="G37" s="263"/>
      <c r="H37" s="7"/>
      <c r="I37" s="244"/>
      <c r="J37" s="239"/>
      <c r="K37" s="7"/>
      <c r="L37" s="72"/>
      <c r="M37" s="30"/>
      <c r="N37" s="7"/>
      <c r="O37" s="23"/>
      <c r="P37" s="80"/>
      <c r="Q37" s="78"/>
    </row>
    <row r="38" spans="1:17" ht="12.75" hidden="1">
      <c r="A38" s="34" t="s">
        <v>114</v>
      </c>
      <c r="B38" s="92"/>
      <c r="C38" s="197"/>
      <c r="D38" s="146"/>
      <c r="E38" s="146"/>
      <c r="F38" s="134">
        <f>C38+D38+E38</f>
        <v>0</v>
      </c>
      <c r="G38" s="263"/>
      <c r="H38" s="7"/>
      <c r="I38" s="244">
        <f>F38+G38+H38</f>
        <v>0</v>
      </c>
      <c r="J38" s="239"/>
      <c r="K38" s="7"/>
      <c r="L38" s="72">
        <f>I38+J38+K38</f>
        <v>0</v>
      </c>
      <c r="M38" s="30"/>
      <c r="N38" s="7"/>
      <c r="O38" s="23">
        <f>L38+M38+N38</f>
        <v>0</v>
      </c>
      <c r="P38" s="80"/>
      <c r="Q38" s="78">
        <f t="shared" si="1"/>
        <v>0</v>
      </c>
    </row>
    <row r="39" spans="1:17" ht="12.75" hidden="1">
      <c r="A39" s="98" t="s">
        <v>247</v>
      </c>
      <c r="B39" s="91"/>
      <c r="C39" s="197">
        <v>0</v>
      </c>
      <c r="D39" s="146"/>
      <c r="E39" s="146"/>
      <c r="F39" s="134">
        <f>C39+D39+E39</f>
        <v>0</v>
      </c>
      <c r="G39" s="263"/>
      <c r="H39" s="7"/>
      <c r="I39" s="244">
        <f>F39+G39+H39</f>
        <v>0</v>
      </c>
      <c r="J39" s="86"/>
      <c r="K39" s="7"/>
      <c r="L39" s="72">
        <f>I39+J39+K39</f>
        <v>0</v>
      </c>
      <c r="M39" s="22"/>
      <c r="N39" s="7"/>
      <c r="O39" s="23">
        <f>L39+M39+N39</f>
        <v>0</v>
      </c>
      <c r="P39" s="80"/>
      <c r="Q39" s="78">
        <f t="shared" si="1"/>
        <v>0</v>
      </c>
    </row>
    <row r="40" spans="1:17" ht="12.75">
      <c r="A40" s="35" t="s">
        <v>224</v>
      </c>
      <c r="B40" s="91"/>
      <c r="C40" s="197"/>
      <c r="D40" s="146"/>
      <c r="E40" s="146"/>
      <c r="F40" s="134"/>
      <c r="G40" s="263"/>
      <c r="H40" s="7"/>
      <c r="I40" s="244"/>
      <c r="J40" s="86"/>
      <c r="K40" s="7"/>
      <c r="L40" s="72"/>
      <c r="M40" s="22"/>
      <c r="N40" s="7"/>
      <c r="O40" s="23"/>
      <c r="P40" s="80"/>
      <c r="Q40" s="78"/>
    </row>
    <row r="41" spans="1:17" ht="12.75">
      <c r="A41" s="31" t="s">
        <v>25</v>
      </c>
      <c r="B41" s="89"/>
      <c r="C41" s="196">
        <f>SUM(C43:C62)</f>
        <v>101226.4</v>
      </c>
      <c r="D41" s="129">
        <f aca="true" t="shared" si="9" ref="D41:Q41">SUM(D43:D62)</f>
        <v>9465761.450000001</v>
      </c>
      <c r="E41" s="129">
        <f t="shared" si="9"/>
        <v>0</v>
      </c>
      <c r="F41" s="140">
        <f t="shared" si="9"/>
        <v>9566987.850000001</v>
      </c>
      <c r="G41" s="262">
        <f t="shared" si="9"/>
        <v>196171.99999999997</v>
      </c>
      <c r="H41" s="112">
        <f t="shared" si="9"/>
        <v>0</v>
      </c>
      <c r="I41" s="243">
        <f t="shared" si="9"/>
        <v>9763159.850000001</v>
      </c>
      <c r="J41" s="129">
        <f t="shared" si="9"/>
        <v>0</v>
      </c>
      <c r="K41" s="129">
        <f t="shared" si="9"/>
        <v>0</v>
      </c>
      <c r="L41" s="129">
        <f t="shared" si="9"/>
        <v>9763159.850000001</v>
      </c>
      <c r="M41" s="129">
        <f t="shared" si="9"/>
        <v>0</v>
      </c>
      <c r="N41" s="129">
        <f t="shared" si="9"/>
        <v>0</v>
      </c>
      <c r="O41" s="129">
        <f t="shared" si="9"/>
        <v>9763159.850000001</v>
      </c>
      <c r="P41" s="129">
        <f t="shared" si="9"/>
        <v>0</v>
      </c>
      <c r="Q41" s="129">
        <f t="shared" si="9"/>
        <v>9763159.850000001</v>
      </c>
    </row>
    <row r="42" spans="1:17" ht="10.5" customHeight="1">
      <c r="A42" s="36" t="s">
        <v>26</v>
      </c>
      <c r="B42" s="94"/>
      <c r="C42" s="197"/>
      <c r="D42" s="146"/>
      <c r="E42" s="146"/>
      <c r="F42" s="134"/>
      <c r="G42" s="263"/>
      <c r="H42" s="7"/>
      <c r="I42" s="244"/>
      <c r="J42" s="86"/>
      <c r="K42" s="7"/>
      <c r="L42" s="72"/>
      <c r="M42" s="22"/>
      <c r="N42" s="7"/>
      <c r="O42" s="23"/>
      <c r="P42" s="80"/>
      <c r="Q42" s="78"/>
    </row>
    <row r="43" spans="1:17" ht="12.75">
      <c r="A43" s="34" t="s">
        <v>27</v>
      </c>
      <c r="B43" s="92"/>
      <c r="C43" s="197">
        <v>100976.4</v>
      </c>
      <c r="D43" s="146"/>
      <c r="E43" s="146"/>
      <c r="F43" s="134">
        <f aca="true" t="shared" si="10" ref="F43:F62">C43+D43+E43</f>
        <v>100976.4</v>
      </c>
      <c r="G43" s="263"/>
      <c r="H43" s="7"/>
      <c r="I43" s="244">
        <f>F43+G43+H43</f>
        <v>100976.4</v>
      </c>
      <c r="J43" s="86"/>
      <c r="K43" s="7"/>
      <c r="L43" s="72">
        <f>I43+J43+K43</f>
        <v>100976.4</v>
      </c>
      <c r="M43" s="22"/>
      <c r="N43" s="7"/>
      <c r="O43" s="23">
        <f>L43+M43+N43</f>
        <v>100976.4</v>
      </c>
      <c r="P43" s="80"/>
      <c r="Q43" s="78">
        <f t="shared" si="1"/>
        <v>100976.4</v>
      </c>
    </row>
    <row r="44" spans="1:17" ht="12.75">
      <c r="A44" s="34" t="s">
        <v>28</v>
      </c>
      <c r="B44" s="92"/>
      <c r="C44" s="197"/>
      <c r="D44" s="146">
        <f>65.31+3.5+59.04+89.73+48+59.26+24+22.5+24+15</f>
        <v>410.34</v>
      </c>
      <c r="E44" s="146"/>
      <c r="F44" s="134">
        <f t="shared" si="10"/>
        <v>410.34</v>
      </c>
      <c r="G44" s="263">
        <f>45.68+40.61+12+32.99+10000+53.3+6+19+12+3.5+14+23.59+126.55+48+39.36+39+12+20.44+44.11+23.01+150+30+6+68+38.81</f>
        <v>10907.95</v>
      </c>
      <c r="H44" s="7"/>
      <c r="I44" s="244">
        <f aca="true" t="shared" si="11" ref="I44:I62">F44+G44+H44</f>
        <v>11318.29</v>
      </c>
      <c r="J44" s="86"/>
      <c r="K44" s="7"/>
      <c r="L44" s="72">
        <f aca="true" t="shared" si="12" ref="L44:L62">I44+J44+K44</f>
        <v>11318.29</v>
      </c>
      <c r="M44" s="22"/>
      <c r="N44" s="7"/>
      <c r="O44" s="23">
        <f aca="true" t="shared" si="13" ref="O44:O62">L44+M44+N44</f>
        <v>11318.29</v>
      </c>
      <c r="P44" s="80"/>
      <c r="Q44" s="78">
        <f t="shared" si="1"/>
        <v>11318.29</v>
      </c>
    </row>
    <row r="45" spans="1:17" ht="12.75">
      <c r="A45" s="34" t="s">
        <v>29</v>
      </c>
      <c r="B45" s="92"/>
      <c r="C45" s="197"/>
      <c r="D45" s="146">
        <f>100779.32+10991.83+8106896.7+4982.3+1658.34+1744.74</f>
        <v>8227053.23</v>
      </c>
      <c r="E45" s="146"/>
      <c r="F45" s="134">
        <f t="shared" si="10"/>
        <v>8227053.23</v>
      </c>
      <c r="G45" s="263">
        <f>6566.9+2996+3355.18+7600+953.09+1490.9+1598.95+735+91445.3+93.4+1500+2070+1805</f>
        <v>122209.72</v>
      </c>
      <c r="H45" s="7"/>
      <c r="I45" s="244">
        <f t="shared" si="11"/>
        <v>8349262.95</v>
      </c>
      <c r="J45" s="86"/>
      <c r="K45" s="7"/>
      <c r="L45" s="72">
        <f t="shared" si="12"/>
        <v>8349262.95</v>
      </c>
      <c r="M45" s="22"/>
      <c r="N45" s="7"/>
      <c r="O45" s="23">
        <f t="shared" si="13"/>
        <v>8349262.95</v>
      </c>
      <c r="P45" s="80"/>
      <c r="Q45" s="78">
        <f t="shared" si="1"/>
        <v>8349262.95</v>
      </c>
    </row>
    <row r="46" spans="1:17" ht="12.75">
      <c r="A46" s="34" t="s">
        <v>30</v>
      </c>
      <c r="B46" s="92"/>
      <c r="C46" s="197"/>
      <c r="D46" s="146">
        <f>1738.53+960818.68+2217.64+7000</f>
        <v>971774.8500000001</v>
      </c>
      <c r="E46" s="146"/>
      <c r="F46" s="134">
        <f t="shared" si="10"/>
        <v>971774.8500000001</v>
      </c>
      <c r="G46" s="263">
        <f>638.93+9217.43+3267.11+3408.25+1664.94+234.94+15728.88+887.92+1323.92</f>
        <v>36372.31999999999</v>
      </c>
      <c r="H46" s="7"/>
      <c r="I46" s="244">
        <f t="shared" si="11"/>
        <v>1008147.17</v>
      </c>
      <c r="J46" s="86"/>
      <c r="K46" s="7"/>
      <c r="L46" s="72">
        <f t="shared" si="12"/>
        <v>1008147.17</v>
      </c>
      <c r="M46" s="22"/>
      <c r="N46" s="7"/>
      <c r="O46" s="23">
        <f t="shared" si="13"/>
        <v>1008147.17</v>
      </c>
      <c r="P46" s="80"/>
      <c r="Q46" s="78">
        <f t="shared" si="1"/>
        <v>1008147.17</v>
      </c>
    </row>
    <row r="47" spans="1:17" ht="12.75">
      <c r="A47" s="34" t="s">
        <v>31</v>
      </c>
      <c r="B47" s="92"/>
      <c r="C47" s="197"/>
      <c r="D47" s="146">
        <f>558.14+13.91</f>
        <v>572.05</v>
      </c>
      <c r="E47" s="146"/>
      <c r="F47" s="134">
        <f t="shared" si="10"/>
        <v>572.05</v>
      </c>
      <c r="G47" s="263">
        <f>5454.12+50.82+564.59+993.63+1090.57</f>
        <v>8153.73</v>
      </c>
      <c r="H47" s="7"/>
      <c r="I47" s="244">
        <f t="shared" si="11"/>
        <v>8725.779999999999</v>
      </c>
      <c r="J47" s="86"/>
      <c r="K47" s="7"/>
      <c r="L47" s="72">
        <f t="shared" si="12"/>
        <v>8725.779999999999</v>
      </c>
      <c r="M47" s="22"/>
      <c r="N47" s="7"/>
      <c r="O47" s="23">
        <f t="shared" si="13"/>
        <v>8725.779999999999</v>
      </c>
      <c r="P47" s="80"/>
      <c r="Q47" s="78">
        <f t="shared" si="1"/>
        <v>8725.779999999999</v>
      </c>
    </row>
    <row r="48" spans="1:17" ht="12.75">
      <c r="A48" s="34" t="s">
        <v>32</v>
      </c>
      <c r="B48" s="92"/>
      <c r="C48" s="197"/>
      <c r="D48" s="146"/>
      <c r="E48" s="146"/>
      <c r="F48" s="134">
        <f t="shared" si="10"/>
        <v>0</v>
      </c>
      <c r="G48" s="263">
        <f>306+490.3+108+110+167+65</f>
        <v>1246.3</v>
      </c>
      <c r="H48" s="7"/>
      <c r="I48" s="244">
        <f t="shared" si="11"/>
        <v>1246.3</v>
      </c>
      <c r="J48" s="86"/>
      <c r="K48" s="7"/>
      <c r="L48" s="72">
        <f t="shared" si="12"/>
        <v>1246.3</v>
      </c>
      <c r="M48" s="22"/>
      <c r="N48" s="7"/>
      <c r="O48" s="23">
        <f t="shared" si="13"/>
        <v>1246.3</v>
      </c>
      <c r="P48" s="80"/>
      <c r="Q48" s="78">
        <f t="shared" si="1"/>
        <v>1246.3</v>
      </c>
    </row>
    <row r="49" spans="1:17" ht="12.75">
      <c r="A49" s="34" t="s">
        <v>33</v>
      </c>
      <c r="B49" s="92"/>
      <c r="C49" s="197"/>
      <c r="D49" s="146"/>
      <c r="E49" s="146"/>
      <c r="F49" s="134">
        <f t="shared" si="10"/>
        <v>0</v>
      </c>
      <c r="G49" s="263">
        <f>2000+5154.15+3197.37+3341.47</f>
        <v>13692.99</v>
      </c>
      <c r="H49" s="7"/>
      <c r="I49" s="244">
        <f t="shared" si="11"/>
        <v>13692.99</v>
      </c>
      <c r="J49" s="86"/>
      <c r="K49" s="7"/>
      <c r="L49" s="72">
        <f t="shared" si="12"/>
        <v>13692.99</v>
      </c>
      <c r="M49" s="22"/>
      <c r="N49" s="7"/>
      <c r="O49" s="23">
        <f t="shared" si="13"/>
        <v>13692.99</v>
      </c>
      <c r="P49" s="80"/>
      <c r="Q49" s="78">
        <f t="shared" si="1"/>
        <v>13692.99</v>
      </c>
    </row>
    <row r="50" spans="1:17" ht="12.75">
      <c r="A50" s="34" t="s">
        <v>34</v>
      </c>
      <c r="B50" s="92"/>
      <c r="C50" s="197"/>
      <c r="D50" s="146">
        <f>1645+1275</f>
        <v>2920</v>
      </c>
      <c r="E50" s="146"/>
      <c r="F50" s="134">
        <f t="shared" si="10"/>
        <v>2920</v>
      </c>
      <c r="G50" s="263"/>
      <c r="H50" s="7"/>
      <c r="I50" s="244">
        <f t="shared" si="11"/>
        <v>2920</v>
      </c>
      <c r="J50" s="86"/>
      <c r="K50" s="7"/>
      <c r="L50" s="72">
        <f t="shared" si="12"/>
        <v>2920</v>
      </c>
      <c r="M50" s="22"/>
      <c r="N50" s="7"/>
      <c r="O50" s="23">
        <f t="shared" si="13"/>
        <v>2920</v>
      </c>
      <c r="P50" s="80"/>
      <c r="Q50" s="78">
        <f t="shared" si="1"/>
        <v>2920</v>
      </c>
    </row>
    <row r="51" spans="1:17" ht="12.75">
      <c r="A51" s="34" t="s">
        <v>139</v>
      </c>
      <c r="B51" s="92"/>
      <c r="C51" s="197"/>
      <c r="D51" s="146">
        <f>223545.15</f>
        <v>223545.15</v>
      </c>
      <c r="E51" s="146"/>
      <c r="F51" s="134">
        <f t="shared" si="10"/>
        <v>223545.15</v>
      </c>
      <c r="G51" s="263">
        <f>1560</f>
        <v>1560</v>
      </c>
      <c r="H51" s="7"/>
      <c r="I51" s="244">
        <f t="shared" si="11"/>
        <v>225105.15</v>
      </c>
      <c r="J51" s="86"/>
      <c r="K51" s="7"/>
      <c r="L51" s="72">
        <f t="shared" si="12"/>
        <v>225105.15</v>
      </c>
      <c r="M51" s="22"/>
      <c r="N51" s="7"/>
      <c r="O51" s="23">
        <f t="shared" si="13"/>
        <v>225105.15</v>
      </c>
      <c r="P51" s="80"/>
      <c r="Q51" s="78">
        <f t="shared" si="1"/>
        <v>225105.15</v>
      </c>
    </row>
    <row r="52" spans="1:17" ht="12.75">
      <c r="A52" s="34" t="s">
        <v>152</v>
      </c>
      <c r="B52" s="92"/>
      <c r="C52" s="197"/>
      <c r="D52" s="146">
        <f>4049.47</f>
        <v>4049.47</v>
      </c>
      <c r="E52" s="146"/>
      <c r="F52" s="134">
        <f t="shared" si="10"/>
        <v>4049.47</v>
      </c>
      <c r="G52" s="263"/>
      <c r="H52" s="7"/>
      <c r="I52" s="244">
        <f t="shared" si="11"/>
        <v>4049.47</v>
      </c>
      <c r="J52" s="86"/>
      <c r="K52" s="7"/>
      <c r="L52" s="72">
        <f t="shared" si="12"/>
        <v>4049.47</v>
      </c>
      <c r="M52" s="22"/>
      <c r="N52" s="7"/>
      <c r="O52" s="23">
        <f t="shared" si="13"/>
        <v>4049.47</v>
      </c>
      <c r="P52" s="80"/>
      <c r="Q52" s="78">
        <f t="shared" si="1"/>
        <v>4049.47</v>
      </c>
    </row>
    <row r="53" spans="1:17" ht="12.75">
      <c r="A53" s="34" t="s">
        <v>35</v>
      </c>
      <c r="B53" s="92"/>
      <c r="C53" s="197"/>
      <c r="D53" s="146">
        <f>405.5</f>
        <v>405.5</v>
      </c>
      <c r="E53" s="146"/>
      <c r="F53" s="134">
        <f t="shared" si="10"/>
        <v>405.5</v>
      </c>
      <c r="G53" s="263"/>
      <c r="H53" s="7"/>
      <c r="I53" s="244">
        <f t="shared" si="11"/>
        <v>405.5</v>
      </c>
      <c r="J53" s="86"/>
      <c r="K53" s="7"/>
      <c r="L53" s="72">
        <f t="shared" si="12"/>
        <v>405.5</v>
      </c>
      <c r="M53" s="22"/>
      <c r="N53" s="7"/>
      <c r="O53" s="23">
        <f t="shared" si="13"/>
        <v>405.5</v>
      </c>
      <c r="P53" s="85"/>
      <c r="Q53" s="78">
        <f t="shared" si="1"/>
        <v>405.5</v>
      </c>
    </row>
    <row r="54" spans="1:17" ht="12.75">
      <c r="A54" s="34" t="s">
        <v>36</v>
      </c>
      <c r="B54" s="92"/>
      <c r="C54" s="197"/>
      <c r="D54" s="146"/>
      <c r="E54" s="146"/>
      <c r="F54" s="134">
        <f t="shared" si="10"/>
        <v>0</v>
      </c>
      <c r="G54" s="263">
        <f>500+284+381</f>
        <v>1165</v>
      </c>
      <c r="H54" s="7"/>
      <c r="I54" s="244">
        <f t="shared" si="11"/>
        <v>1165</v>
      </c>
      <c r="J54" s="239"/>
      <c r="K54" s="7"/>
      <c r="L54" s="72">
        <f t="shared" si="12"/>
        <v>1165</v>
      </c>
      <c r="M54" s="22"/>
      <c r="N54" s="7"/>
      <c r="O54" s="23">
        <f t="shared" si="13"/>
        <v>1165</v>
      </c>
      <c r="P54" s="80"/>
      <c r="Q54" s="78">
        <f t="shared" si="1"/>
        <v>1165</v>
      </c>
    </row>
    <row r="55" spans="1:17" ht="12.75" hidden="1">
      <c r="A55" s="34" t="s">
        <v>199</v>
      </c>
      <c r="B55" s="92"/>
      <c r="C55" s="197"/>
      <c r="D55" s="146"/>
      <c r="E55" s="146"/>
      <c r="F55" s="134">
        <f t="shared" si="10"/>
        <v>0</v>
      </c>
      <c r="G55" s="263"/>
      <c r="H55" s="7"/>
      <c r="I55" s="244">
        <f t="shared" si="11"/>
        <v>0</v>
      </c>
      <c r="J55" s="239"/>
      <c r="K55" s="7"/>
      <c r="L55" s="72"/>
      <c r="M55" s="22"/>
      <c r="N55" s="7"/>
      <c r="O55" s="23"/>
      <c r="P55" s="80"/>
      <c r="Q55" s="78"/>
    </row>
    <row r="56" spans="1:17" ht="12.75" hidden="1">
      <c r="A56" s="34" t="s">
        <v>153</v>
      </c>
      <c r="B56" s="92"/>
      <c r="C56" s="197"/>
      <c r="D56" s="146"/>
      <c r="E56" s="146"/>
      <c r="F56" s="134">
        <f t="shared" si="10"/>
        <v>0</v>
      </c>
      <c r="G56" s="263"/>
      <c r="H56" s="7"/>
      <c r="I56" s="244">
        <f t="shared" si="11"/>
        <v>0</v>
      </c>
      <c r="J56" s="239"/>
      <c r="K56" s="7"/>
      <c r="L56" s="72"/>
      <c r="M56" s="22"/>
      <c r="N56" s="7"/>
      <c r="O56" s="23">
        <f t="shared" si="13"/>
        <v>0</v>
      </c>
      <c r="P56" s="80"/>
      <c r="Q56" s="78">
        <f t="shared" si="1"/>
        <v>0</v>
      </c>
    </row>
    <row r="57" spans="1:17" ht="12.75" hidden="1">
      <c r="A57" s="34" t="s">
        <v>37</v>
      </c>
      <c r="B57" s="92"/>
      <c r="C57" s="197"/>
      <c r="D57" s="146"/>
      <c r="E57" s="146"/>
      <c r="F57" s="134">
        <f t="shared" si="10"/>
        <v>0</v>
      </c>
      <c r="G57" s="263"/>
      <c r="H57" s="7"/>
      <c r="I57" s="244">
        <f t="shared" si="11"/>
        <v>0</v>
      </c>
      <c r="J57" s="86"/>
      <c r="K57" s="7"/>
      <c r="L57" s="72">
        <f t="shared" si="12"/>
        <v>0</v>
      </c>
      <c r="M57" s="22"/>
      <c r="N57" s="7"/>
      <c r="O57" s="23">
        <f t="shared" si="13"/>
        <v>0</v>
      </c>
      <c r="P57" s="80"/>
      <c r="Q57" s="78">
        <f t="shared" si="1"/>
        <v>0</v>
      </c>
    </row>
    <row r="58" spans="1:17" ht="12.75" hidden="1">
      <c r="A58" s="34" t="s">
        <v>44</v>
      </c>
      <c r="B58" s="92"/>
      <c r="C58" s="197"/>
      <c r="D58" s="146"/>
      <c r="E58" s="146"/>
      <c r="F58" s="134">
        <f t="shared" si="10"/>
        <v>0</v>
      </c>
      <c r="G58" s="263"/>
      <c r="H58" s="7"/>
      <c r="I58" s="244">
        <f t="shared" si="11"/>
        <v>0</v>
      </c>
      <c r="J58" s="86"/>
      <c r="K58" s="7"/>
      <c r="L58" s="72">
        <f t="shared" si="12"/>
        <v>0</v>
      </c>
      <c r="M58" s="22"/>
      <c r="N58" s="7"/>
      <c r="O58" s="23">
        <f t="shared" si="13"/>
        <v>0</v>
      </c>
      <c r="P58" s="80"/>
      <c r="Q58" s="78">
        <f t="shared" si="1"/>
        <v>0</v>
      </c>
    </row>
    <row r="59" spans="1:17" ht="12.75" hidden="1">
      <c r="A59" s="34" t="s">
        <v>38</v>
      </c>
      <c r="B59" s="92"/>
      <c r="C59" s="197"/>
      <c r="D59" s="146"/>
      <c r="E59" s="146"/>
      <c r="F59" s="134">
        <f t="shared" si="10"/>
        <v>0</v>
      </c>
      <c r="G59" s="263"/>
      <c r="H59" s="7"/>
      <c r="I59" s="244">
        <f t="shared" si="11"/>
        <v>0</v>
      </c>
      <c r="J59" s="86"/>
      <c r="K59" s="7"/>
      <c r="L59" s="72">
        <f t="shared" si="12"/>
        <v>0</v>
      </c>
      <c r="M59" s="22"/>
      <c r="N59" s="7"/>
      <c r="O59" s="23">
        <f t="shared" si="13"/>
        <v>0</v>
      </c>
      <c r="P59" s="80"/>
      <c r="Q59" s="78">
        <f t="shared" si="1"/>
        <v>0</v>
      </c>
    </row>
    <row r="60" spans="1:17" ht="12.75">
      <c r="A60" s="34" t="s">
        <v>39</v>
      </c>
      <c r="B60" s="92"/>
      <c r="C60" s="197"/>
      <c r="D60" s="146">
        <f>236.9+159.54+232.42</f>
        <v>628.86</v>
      </c>
      <c r="E60" s="146"/>
      <c r="F60" s="134">
        <f t="shared" si="10"/>
        <v>628.86</v>
      </c>
      <c r="G60" s="263">
        <f>863.99</f>
        <v>863.99</v>
      </c>
      <c r="H60" s="7"/>
      <c r="I60" s="244">
        <f t="shared" si="11"/>
        <v>1492.85</v>
      </c>
      <c r="J60" s="86"/>
      <c r="K60" s="7"/>
      <c r="L60" s="72">
        <f t="shared" si="12"/>
        <v>1492.85</v>
      </c>
      <c r="M60" s="22"/>
      <c r="N60" s="7"/>
      <c r="O60" s="23">
        <f t="shared" si="13"/>
        <v>1492.85</v>
      </c>
      <c r="P60" s="80"/>
      <c r="Q60" s="78">
        <f t="shared" si="1"/>
        <v>1492.85</v>
      </c>
    </row>
    <row r="61" spans="1:17" ht="12.75">
      <c r="A61" s="34" t="s">
        <v>40</v>
      </c>
      <c r="B61" s="92"/>
      <c r="C61" s="197">
        <v>250</v>
      </c>
      <c r="D61" s="146"/>
      <c r="E61" s="146"/>
      <c r="F61" s="134">
        <f t="shared" si="10"/>
        <v>250</v>
      </c>
      <c r="G61" s="263"/>
      <c r="H61" s="7"/>
      <c r="I61" s="244">
        <f t="shared" si="11"/>
        <v>250</v>
      </c>
      <c r="J61" s="86"/>
      <c r="K61" s="7"/>
      <c r="L61" s="72">
        <f t="shared" si="12"/>
        <v>250</v>
      </c>
      <c r="M61" s="22"/>
      <c r="N61" s="7"/>
      <c r="O61" s="23">
        <f t="shared" si="13"/>
        <v>250</v>
      </c>
      <c r="P61" s="80"/>
      <c r="Q61" s="78">
        <f t="shared" si="1"/>
        <v>250</v>
      </c>
    </row>
    <row r="62" spans="1:17" ht="12.75">
      <c r="A62" s="34" t="s">
        <v>157</v>
      </c>
      <c r="B62" s="92"/>
      <c r="C62" s="197"/>
      <c r="D62" s="146">
        <f>34402</f>
        <v>34402</v>
      </c>
      <c r="E62" s="146"/>
      <c r="F62" s="134">
        <f t="shared" si="10"/>
        <v>34402</v>
      </c>
      <c r="G62" s="263"/>
      <c r="H62" s="7"/>
      <c r="I62" s="244">
        <f t="shared" si="11"/>
        <v>34402</v>
      </c>
      <c r="J62" s="86"/>
      <c r="K62" s="7"/>
      <c r="L62" s="72">
        <f t="shared" si="12"/>
        <v>34402</v>
      </c>
      <c r="M62" s="22"/>
      <c r="N62" s="7"/>
      <c r="O62" s="23">
        <f t="shared" si="13"/>
        <v>34402</v>
      </c>
      <c r="P62" s="80"/>
      <c r="Q62" s="78">
        <f t="shared" si="1"/>
        <v>34402</v>
      </c>
    </row>
    <row r="63" spans="1:17" ht="12.75">
      <c r="A63" s="31" t="s">
        <v>41</v>
      </c>
      <c r="B63" s="89"/>
      <c r="C63" s="196">
        <f>SUM(C65:C79)</f>
        <v>0</v>
      </c>
      <c r="D63" s="129">
        <f aca="true" t="shared" si="14" ref="D63:Q63">SUM(D65:D79)</f>
        <v>353486.87</v>
      </c>
      <c r="E63" s="129">
        <f t="shared" si="14"/>
        <v>0</v>
      </c>
      <c r="F63" s="140">
        <f t="shared" si="14"/>
        <v>353486.87</v>
      </c>
      <c r="G63" s="262">
        <f t="shared" si="14"/>
        <v>169916.27</v>
      </c>
      <c r="H63" s="112">
        <f t="shared" si="14"/>
        <v>0</v>
      </c>
      <c r="I63" s="243">
        <f t="shared" si="14"/>
        <v>523403.14</v>
      </c>
      <c r="J63" s="129">
        <f t="shared" si="14"/>
        <v>0</v>
      </c>
      <c r="K63" s="129">
        <f t="shared" si="14"/>
        <v>0</v>
      </c>
      <c r="L63" s="129">
        <f t="shared" si="14"/>
        <v>454274.56</v>
      </c>
      <c r="M63" s="129">
        <f t="shared" si="14"/>
        <v>0</v>
      </c>
      <c r="N63" s="129">
        <f t="shared" si="14"/>
        <v>0</v>
      </c>
      <c r="O63" s="129">
        <f t="shared" si="14"/>
        <v>454274.56</v>
      </c>
      <c r="P63" s="129">
        <f t="shared" si="14"/>
        <v>0</v>
      </c>
      <c r="Q63" s="129">
        <f t="shared" si="14"/>
        <v>454274.56</v>
      </c>
    </row>
    <row r="64" spans="1:17" ht="12.75">
      <c r="A64" s="36" t="s">
        <v>26</v>
      </c>
      <c r="B64" s="94"/>
      <c r="C64" s="197"/>
      <c r="D64" s="146"/>
      <c r="E64" s="146"/>
      <c r="F64" s="134"/>
      <c r="G64" s="263"/>
      <c r="H64" s="7"/>
      <c r="I64" s="244"/>
      <c r="J64" s="86"/>
      <c r="K64" s="7"/>
      <c r="L64" s="72"/>
      <c r="M64" s="22"/>
      <c r="N64" s="7"/>
      <c r="O64" s="23"/>
      <c r="P64" s="80"/>
      <c r="Q64" s="78"/>
    </row>
    <row r="65" spans="1:17" ht="12.75" hidden="1">
      <c r="A65" s="34" t="s">
        <v>29</v>
      </c>
      <c r="B65" s="92"/>
      <c r="C65" s="197"/>
      <c r="D65" s="146"/>
      <c r="E65" s="146"/>
      <c r="F65" s="134">
        <f aca="true" t="shared" si="15" ref="F65:F79">C65+D65+E65</f>
        <v>0</v>
      </c>
      <c r="G65" s="263"/>
      <c r="H65" s="7"/>
      <c r="I65" s="244">
        <f>F65+G65+H65</f>
        <v>0</v>
      </c>
      <c r="J65" s="86"/>
      <c r="K65" s="7"/>
      <c r="L65" s="72">
        <f>I65+J65+K65</f>
        <v>0</v>
      </c>
      <c r="M65" s="22"/>
      <c r="N65" s="7"/>
      <c r="O65" s="23">
        <f>L65+M65+N65</f>
        <v>0</v>
      </c>
      <c r="P65" s="80"/>
      <c r="Q65" s="78">
        <f t="shared" si="1"/>
        <v>0</v>
      </c>
    </row>
    <row r="66" spans="1:17" ht="12.75" hidden="1">
      <c r="A66" s="38" t="s">
        <v>30</v>
      </c>
      <c r="B66" s="95"/>
      <c r="C66" s="197"/>
      <c r="D66" s="146"/>
      <c r="E66" s="146"/>
      <c r="F66" s="134">
        <f t="shared" si="15"/>
        <v>0</v>
      </c>
      <c r="G66" s="263"/>
      <c r="H66" s="7"/>
      <c r="I66" s="244">
        <f aca="true" t="shared" si="16" ref="I66:I79">F66+G66+H66</f>
        <v>0</v>
      </c>
      <c r="J66" s="86"/>
      <c r="K66" s="7"/>
      <c r="L66" s="72">
        <f aca="true" t="shared" si="17" ref="L66:L79">I66+J66+K66</f>
        <v>0</v>
      </c>
      <c r="M66" s="22"/>
      <c r="N66" s="7"/>
      <c r="O66" s="23">
        <f aca="true" t="shared" si="18" ref="O66:O79">L66+M66+N66</f>
        <v>0</v>
      </c>
      <c r="P66" s="80"/>
      <c r="Q66" s="78">
        <f t="shared" si="1"/>
        <v>0</v>
      </c>
    </row>
    <row r="67" spans="1:17" ht="12.75" hidden="1">
      <c r="A67" s="38" t="s">
        <v>28</v>
      </c>
      <c r="B67" s="95"/>
      <c r="C67" s="197"/>
      <c r="D67" s="146"/>
      <c r="E67" s="146"/>
      <c r="F67" s="134">
        <f t="shared" si="15"/>
        <v>0</v>
      </c>
      <c r="G67" s="263"/>
      <c r="H67" s="7"/>
      <c r="I67" s="244">
        <f t="shared" si="16"/>
        <v>0</v>
      </c>
      <c r="J67" s="86"/>
      <c r="K67" s="7"/>
      <c r="L67" s="72">
        <f t="shared" si="17"/>
        <v>0</v>
      </c>
      <c r="M67" s="22"/>
      <c r="N67" s="7"/>
      <c r="O67" s="23">
        <f t="shared" si="18"/>
        <v>0</v>
      </c>
      <c r="P67" s="80"/>
      <c r="Q67" s="78">
        <f t="shared" si="1"/>
        <v>0</v>
      </c>
    </row>
    <row r="68" spans="1:17" ht="12.75">
      <c r="A68" s="38" t="s">
        <v>42</v>
      </c>
      <c r="B68" s="95"/>
      <c r="C68" s="197"/>
      <c r="D68" s="146"/>
      <c r="E68" s="146"/>
      <c r="F68" s="134">
        <f t="shared" si="15"/>
        <v>0</v>
      </c>
      <c r="G68" s="263">
        <f>41783.61</f>
        <v>41783.61</v>
      </c>
      <c r="H68" s="7"/>
      <c r="I68" s="244">
        <f t="shared" si="16"/>
        <v>41783.61</v>
      </c>
      <c r="J68" s="86"/>
      <c r="K68" s="7"/>
      <c r="L68" s="72">
        <f t="shared" si="17"/>
        <v>41783.61</v>
      </c>
      <c r="M68" s="22"/>
      <c r="N68" s="7"/>
      <c r="O68" s="23">
        <f t="shared" si="18"/>
        <v>41783.61</v>
      </c>
      <c r="P68" s="80"/>
      <c r="Q68" s="78">
        <f t="shared" si="1"/>
        <v>41783.61</v>
      </c>
    </row>
    <row r="69" spans="1:17" ht="12.75">
      <c r="A69" s="34" t="s">
        <v>31</v>
      </c>
      <c r="B69" s="92"/>
      <c r="C69" s="197"/>
      <c r="D69" s="146">
        <f>2568.52+19217.2</f>
        <v>21785.72</v>
      </c>
      <c r="E69" s="146"/>
      <c r="F69" s="134">
        <f t="shared" si="15"/>
        <v>21785.72</v>
      </c>
      <c r="G69" s="263">
        <f>24911.74+16108.22+67.54+2580.64+2469.43+6380.52+22697.25</f>
        <v>75215.34</v>
      </c>
      <c r="H69" s="7"/>
      <c r="I69" s="244">
        <f t="shared" si="16"/>
        <v>97001.06</v>
      </c>
      <c r="J69" s="86"/>
      <c r="K69" s="7"/>
      <c r="L69" s="72">
        <f t="shared" si="17"/>
        <v>97001.06</v>
      </c>
      <c r="M69" s="22"/>
      <c r="N69" s="7"/>
      <c r="O69" s="23">
        <f t="shared" si="18"/>
        <v>97001.06</v>
      </c>
      <c r="P69" s="80"/>
      <c r="Q69" s="78">
        <f t="shared" si="1"/>
        <v>97001.06</v>
      </c>
    </row>
    <row r="70" spans="1:17" ht="12.75">
      <c r="A70" s="34" t="s">
        <v>32</v>
      </c>
      <c r="B70" s="92"/>
      <c r="C70" s="197"/>
      <c r="D70" s="146"/>
      <c r="E70" s="146"/>
      <c r="F70" s="134">
        <f t="shared" si="15"/>
        <v>0</v>
      </c>
      <c r="G70" s="263">
        <f>93</f>
        <v>93</v>
      </c>
      <c r="H70" s="7"/>
      <c r="I70" s="244">
        <f t="shared" si="16"/>
        <v>93</v>
      </c>
      <c r="J70" s="86"/>
      <c r="K70" s="7"/>
      <c r="L70" s="72"/>
      <c r="M70" s="22"/>
      <c r="N70" s="7"/>
      <c r="O70" s="23"/>
      <c r="P70" s="80"/>
      <c r="Q70" s="78"/>
    </row>
    <row r="71" spans="1:17" ht="12.75" hidden="1">
      <c r="A71" s="34" t="s">
        <v>216</v>
      </c>
      <c r="B71" s="92"/>
      <c r="C71" s="197"/>
      <c r="D71" s="146"/>
      <c r="E71" s="146"/>
      <c r="F71" s="134">
        <f t="shared" si="15"/>
        <v>0</v>
      </c>
      <c r="G71" s="263"/>
      <c r="H71" s="7"/>
      <c r="I71" s="244">
        <f t="shared" si="16"/>
        <v>0</v>
      </c>
      <c r="J71" s="86"/>
      <c r="K71" s="7"/>
      <c r="L71" s="72"/>
      <c r="M71" s="22"/>
      <c r="N71" s="7"/>
      <c r="O71" s="23"/>
      <c r="P71" s="80"/>
      <c r="Q71" s="78"/>
    </row>
    <row r="72" spans="1:17" ht="12.75">
      <c r="A72" s="34" t="s">
        <v>152</v>
      </c>
      <c r="B72" s="92"/>
      <c r="C72" s="197"/>
      <c r="D72" s="146">
        <f>99736.84</f>
        <v>99736.84</v>
      </c>
      <c r="E72" s="146"/>
      <c r="F72" s="134">
        <f t="shared" si="15"/>
        <v>99736.84</v>
      </c>
      <c r="G72" s="263"/>
      <c r="H72" s="7"/>
      <c r="I72" s="244">
        <f t="shared" si="16"/>
        <v>99736.84</v>
      </c>
      <c r="J72" s="86"/>
      <c r="K72" s="7"/>
      <c r="L72" s="72">
        <f t="shared" si="17"/>
        <v>99736.84</v>
      </c>
      <c r="M72" s="22"/>
      <c r="N72" s="7"/>
      <c r="O72" s="23">
        <f t="shared" si="18"/>
        <v>99736.84</v>
      </c>
      <c r="P72" s="80"/>
      <c r="Q72" s="78">
        <f t="shared" si="1"/>
        <v>99736.84</v>
      </c>
    </row>
    <row r="73" spans="1:17" ht="12.75" hidden="1">
      <c r="A73" s="34" t="s">
        <v>153</v>
      </c>
      <c r="B73" s="92"/>
      <c r="C73" s="197"/>
      <c r="D73" s="146"/>
      <c r="E73" s="146"/>
      <c r="F73" s="134">
        <f t="shared" si="15"/>
        <v>0</v>
      </c>
      <c r="G73" s="263"/>
      <c r="H73" s="7"/>
      <c r="I73" s="244">
        <f t="shared" si="16"/>
        <v>0</v>
      </c>
      <c r="J73" s="86"/>
      <c r="K73" s="7"/>
      <c r="L73" s="72">
        <f t="shared" si="17"/>
        <v>0</v>
      </c>
      <c r="M73" s="22"/>
      <c r="N73" s="7"/>
      <c r="O73" s="23">
        <f t="shared" si="18"/>
        <v>0</v>
      </c>
      <c r="P73" s="80"/>
      <c r="Q73" s="78">
        <f t="shared" si="1"/>
        <v>0</v>
      </c>
    </row>
    <row r="74" spans="1:17" ht="12.75">
      <c r="A74" s="34" t="s">
        <v>43</v>
      </c>
      <c r="B74" s="92"/>
      <c r="C74" s="197"/>
      <c r="D74" s="146">
        <f>183880</f>
        <v>183880</v>
      </c>
      <c r="E74" s="146"/>
      <c r="F74" s="134">
        <f t="shared" si="15"/>
        <v>183880</v>
      </c>
      <c r="G74" s="263">
        <f>8953.48</f>
        <v>8953.48</v>
      </c>
      <c r="H74" s="7"/>
      <c r="I74" s="244">
        <f t="shared" si="16"/>
        <v>192833.48</v>
      </c>
      <c r="J74" s="86"/>
      <c r="K74" s="7"/>
      <c r="L74" s="72">
        <f t="shared" si="17"/>
        <v>192833.48</v>
      </c>
      <c r="M74" s="22"/>
      <c r="N74" s="7"/>
      <c r="O74" s="23">
        <f t="shared" si="18"/>
        <v>192833.48</v>
      </c>
      <c r="P74" s="80"/>
      <c r="Q74" s="78">
        <f t="shared" si="1"/>
        <v>192833.48</v>
      </c>
    </row>
    <row r="75" spans="1:17" ht="12.75" hidden="1">
      <c r="A75" s="34" t="s">
        <v>44</v>
      </c>
      <c r="B75" s="92"/>
      <c r="C75" s="197"/>
      <c r="D75" s="146"/>
      <c r="E75" s="146"/>
      <c r="F75" s="134">
        <f t="shared" si="15"/>
        <v>0</v>
      </c>
      <c r="G75" s="263"/>
      <c r="H75" s="7"/>
      <c r="I75" s="244">
        <f t="shared" si="16"/>
        <v>0</v>
      </c>
      <c r="J75" s="86"/>
      <c r="K75" s="7"/>
      <c r="L75" s="72">
        <f t="shared" si="17"/>
        <v>0</v>
      </c>
      <c r="M75" s="22"/>
      <c r="N75" s="7"/>
      <c r="O75" s="23">
        <f t="shared" si="18"/>
        <v>0</v>
      </c>
      <c r="P75" s="80"/>
      <c r="Q75" s="78">
        <f t="shared" si="1"/>
        <v>0</v>
      </c>
    </row>
    <row r="76" spans="1:17" ht="12.75" hidden="1">
      <c r="A76" s="34" t="s">
        <v>45</v>
      </c>
      <c r="B76" s="92"/>
      <c r="C76" s="197"/>
      <c r="D76" s="146"/>
      <c r="E76" s="146"/>
      <c r="F76" s="134">
        <f t="shared" si="15"/>
        <v>0</v>
      </c>
      <c r="G76" s="263"/>
      <c r="H76" s="7"/>
      <c r="I76" s="244">
        <f t="shared" si="16"/>
        <v>0</v>
      </c>
      <c r="J76" s="86"/>
      <c r="K76" s="7"/>
      <c r="L76" s="72">
        <f t="shared" si="17"/>
        <v>0</v>
      </c>
      <c r="M76" s="22"/>
      <c r="N76" s="7"/>
      <c r="O76" s="23">
        <f t="shared" si="18"/>
        <v>0</v>
      </c>
      <c r="P76" s="80"/>
      <c r="Q76" s="78">
        <f t="shared" si="1"/>
        <v>0</v>
      </c>
    </row>
    <row r="77" spans="1:17" ht="12.75">
      <c r="A77" s="34" t="s">
        <v>35</v>
      </c>
      <c r="B77" s="92"/>
      <c r="C77" s="197"/>
      <c r="D77" s="146">
        <f>22919.57</f>
        <v>22919.57</v>
      </c>
      <c r="E77" s="146"/>
      <c r="F77" s="134">
        <f t="shared" si="15"/>
        <v>22919.57</v>
      </c>
      <c r="G77" s="263"/>
      <c r="H77" s="7"/>
      <c r="I77" s="244">
        <f t="shared" si="16"/>
        <v>22919.57</v>
      </c>
      <c r="J77" s="86"/>
      <c r="K77" s="7"/>
      <c r="L77" s="72">
        <f t="shared" si="17"/>
        <v>22919.57</v>
      </c>
      <c r="M77" s="22"/>
      <c r="N77" s="7"/>
      <c r="O77" s="23">
        <f t="shared" si="18"/>
        <v>22919.57</v>
      </c>
      <c r="P77" s="85"/>
      <c r="Q77" s="78">
        <f t="shared" si="1"/>
        <v>22919.57</v>
      </c>
    </row>
    <row r="78" spans="1:17" ht="12.75">
      <c r="A78" s="34" t="s">
        <v>39</v>
      </c>
      <c r="B78" s="92"/>
      <c r="C78" s="197"/>
      <c r="D78" s="146">
        <f>25164.74</f>
        <v>25164.74</v>
      </c>
      <c r="E78" s="146"/>
      <c r="F78" s="134">
        <f t="shared" si="15"/>
        <v>25164.74</v>
      </c>
      <c r="G78" s="263">
        <f>43870.84</f>
        <v>43870.84</v>
      </c>
      <c r="H78" s="7"/>
      <c r="I78" s="244">
        <f t="shared" si="16"/>
        <v>69035.58</v>
      </c>
      <c r="J78" s="86"/>
      <c r="K78" s="7"/>
      <c r="L78" s="72"/>
      <c r="M78" s="22"/>
      <c r="N78" s="7"/>
      <c r="O78" s="23"/>
      <c r="P78" s="85"/>
      <c r="Q78" s="78"/>
    </row>
    <row r="79" spans="1:17" ht="12.75" hidden="1">
      <c r="A79" s="34" t="s">
        <v>157</v>
      </c>
      <c r="B79" s="92"/>
      <c r="C79" s="197"/>
      <c r="D79" s="146"/>
      <c r="E79" s="146"/>
      <c r="F79" s="134">
        <f t="shared" si="15"/>
        <v>0</v>
      </c>
      <c r="G79" s="263"/>
      <c r="H79" s="7"/>
      <c r="I79" s="244">
        <f t="shared" si="16"/>
        <v>0</v>
      </c>
      <c r="J79" s="86"/>
      <c r="K79" s="7"/>
      <c r="L79" s="72">
        <f t="shared" si="17"/>
        <v>0</v>
      </c>
      <c r="M79" s="22"/>
      <c r="N79" s="7"/>
      <c r="O79" s="23">
        <f t="shared" si="18"/>
        <v>0</v>
      </c>
      <c r="P79" s="80"/>
      <c r="Q79" s="78">
        <f aca="true" t="shared" si="19" ref="Q79:Q135">O79+P79</f>
        <v>0</v>
      </c>
    </row>
    <row r="80" spans="1:17" ht="15.75" thickBot="1">
      <c r="A80" s="39" t="s">
        <v>46</v>
      </c>
      <c r="B80" s="96"/>
      <c r="C80" s="291">
        <f>C11+C17+C41+C63+C33</f>
        <v>5004513</v>
      </c>
      <c r="D80" s="148">
        <f>D11+D17+D41+D63+D33</f>
        <v>9728752.120000001</v>
      </c>
      <c r="E80" s="148">
        <f>E11+E17+E41+E63+E33</f>
        <v>0</v>
      </c>
      <c r="F80" s="174">
        <f>F11+F17+F41+F63+F33</f>
        <v>14733265.12</v>
      </c>
      <c r="G80" s="264">
        <f aca="true" t="shared" si="20" ref="G80:Q80">G11+G17+G41+G63+G33</f>
        <v>392302.08999999997</v>
      </c>
      <c r="H80" s="117">
        <f t="shared" si="20"/>
        <v>0</v>
      </c>
      <c r="I80" s="245">
        <f t="shared" si="20"/>
        <v>15125567.21</v>
      </c>
      <c r="J80" s="162">
        <f t="shared" si="20"/>
        <v>0</v>
      </c>
      <c r="K80" s="162">
        <f t="shared" si="20"/>
        <v>0</v>
      </c>
      <c r="L80" s="162">
        <f t="shared" si="20"/>
        <v>10538421.620000003</v>
      </c>
      <c r="M80" s="162">
        <f t="shared" si="20"/>
        <v>0</v>
      </c>
      <c r="N80" s="162">
        <f t="shared" si="20"/>
        <v>0</v>
      </c>
      <c r="O80" s="162">
        <f t="shared" si="20"/>
        <v>10538421.620000003</v>
      </c>
      <c r="P80" s="162">
        <f t="shared" si="20"/>
        <v>0</v>
      </c>
      <c r="Q80" s="162">
        <f t="shared" si="20"/>
        <v>10538421.620000003</v>
      </c>
    </row>
    <row r="81" spans="1:17" ht="15" customHeight="1">
      <c r="A81" s="31" t="s">
        <v>47</v>
      </c>
      <c r="B81" s="89"/>
      <c r="C81" s="196"/>
      <c r="D81" s="146"/>
      <c r="E81" s="146"/>
      <c r="F81" s="134"/>
      <c r="G81" s="263"/>
      <c r="H81" s="7"/>
      <c r="I81" s="244"/>
      <c r="J81" s="86"/>
      <c r="K81" s="7"/>
      <c r="L81" s="72"/>
      <c r="M81" s="22"/>
      <c r="N81" s="7"/>
      <c r="O81" s="23"/>
      <c r="P81" s="80"/>
      <c r="Q81" s="78"/>
    </row>
    <row r="82" spans="1:17" ht="12.75">
      <c r="A82" s="31" t="s">
        <v>63</v>
      </c>
      <c r="B82" s="101"/>
      <c r="C82" s="196">
        <f>C83+C92</f>
        <v>103319</v>
      </c>
      <c r="D82" s="129">
        <f>D83+D92</f>
        <v>65537.51000000001</v>
      </c>
      <c r="E82" s="129">
        <f>E83+E92</f>
        <v>0</v>
      </c>
      <c r="F82" s="140">
        <f>F83+F92</f>
        <v>168856.51</v>
      </c>
      <c r="G82" s="262">
        <f aca="true" t="shared" si="21" ref="G82:Q82">G83+G92</f>
        <v>24187.95</v>
      </c>
      <c r="H82" s="112">
        <f t="shared" si="21"/>
        <v>0</v>
      </c>
      <c r="I82" s="243">
        <f t="shared" si="21"/>
        <v>193044.46</v>
      </c>
      <c r="J82" s="153">
        <f t="shared" si="21"/>
        <v>0</v>
      </c>
      <c r="K82" s="153">
        <f t="shared" si="21"/>
        <v>0</v>
      </c>
      <c r="L82" s="153">
        <f t="shared" si="21"/>
        <v>92226.46</v>
      </c>
      <c r="M82" s="153">
        <f t="shared" si="21"/>
        <v>0</v>
      </c>
      <c r="N82" s="153">
        <f t="shared" si="21"/>
        <v>0</v>
      </c>
      <c r="O82" s="153">
        <f t="shared" si="21"/>
        <v>92226.46</v>
      </c>
      <c r="P82" s="153">
        <f t="shared" si="21"/>
        <v>0</v>
      </c>
      <c r="Q82" s="153">
        <f t="shared" si="21"/>
        <v>92226.46</v>
      </c>
    </row>
    <row r="83" spans="1:17" ht="12.75">
      <c r="A83" s="40" t="s">
        <v>49</v>
      </c>
      <c r="B83" s="101"/>
      <c r="C83" s="200">
        <f>SUM(C85:C90)</f>
        <v>71319</v>
      </c>
      <c r="D83" s="149">
        <f>SUM(D85:D90)</f>
        <v>5253.35</v>
      </c>
      <c r="E83" s="149">
        <f>SUM(E85:E90)</f>
        <v>0</v>
      </c>
      <c r="F83" s="175">
        <f>SUM(F85:F90)</f>
        <v>76572.34999999999</v>
      </c>
      <c r="G83" s="265">
        <f aca="true" t="shared" si="22" ref="G83:Q83">SUM(G85:G90)</f>
        <v>14187.95</v>
      </c>
      <c r="H83" s="119">
        <f t="shared" si="22"/>
        <v>0</v>
      </c>
      <c r="I83" s="246">
        <f t="shared" si="22"/>
        <v>90760.29999999999</v>
      </c>
      <c r="J83" s="163">
        <f t="shared" si="22"/>
        <v>0</v>
      </c>
      <c r="K83" s="163">
        <f t="shared" si="22"/>
        <v>0</v>
      </c>
      <c r="L83" s="163">
        <f t="shared" si="22"/>
        <v>15942.300000000001</v>
      </c>
      <c r="M83" s="163">
        <f t="shared" si="22"/>
        <v>0</v>
      </c>
      <c r="N83" s="163">
        <f t="shared" si="22"/>
        <v>0</v>
      </c>
      <c r="O83" s="163">
        <f t="shared" si="22"/>
        <v>15942.300000000001</v>
      </c>
      <c r="P83" s="163">
        <f t="shared" si="22"/>
        <v>0</v>
      </c>
      <c r="Q83" s="163">
        <f t="shared" si="22"/>
        <v>15942.300000000001</v>
      </c>
    </row>
    <row r="84" spans="1:17" ht="12.75">
      <c r="A84" s="36" t="s">
        <v>26</v>
      </c>
      <c r="B84" s="97"/>
      <c r="C84" s="197"/>
      <c r="D84" s="146"/>
      <c r="E84" s="146"/>
      <c r="F84" s="140"/>
      <c r="G84" s="263"/>
      <c r="H84" s="7"/>
      <c r="I84" s="243"/>
      <c r="J84" s="86"/>
      <c r="K84" s="7"/>
      <c r="L84" s="68"/>
      <c r="M84" s="22"/>
      <c r="N84" s="7"/>
      <c r="O84" s="21"/>
      <c r="P84" s="80"/>
      <c r="Q84" s="78"/>
    </row>
    <row r="85" spans="1:17" ht="12.75">
      <c r="A85" s="34" t="s">
        <v>51</v>
      </c>
      <c r="B85" s="97"/>
      <c r="C85" s="197">
        <v>9931</v>
      </c>
      <c r="D85" s="146"/>
      <c r="E85" s="146"/>
      <c r="F85" s="134">
        <f aca="true" t="shared" si="23" ref="F85:F91">C85+D85+E85</f>
        <v>9931</v>
      </c>
      <c r="G85" s="263"/>
      <c r="H85" s="7"/>
      <c r="I85" s="244">
        <f aca="true" t="shared" si="24" ref="I85:I91">F85+G85+H85</f>
        <v>9931</v>
      </c>
      <c r="J85" s="86"/>
      <c r="K85" s="7"/>
      <c r="L85" s="72">
        <f aca="true" t="shared" si="25" ref="L85:L91">I85+J85+K85</f>
        <v>9931</v>
      </c>
      <c r="M85" s="22"/>
      <c r="N85" s="7"/>
      <c r="O85" s="23">
        <f aca="true" t="shared" si="26" ref="O85:O91">L85+M85+N85</f>
        <v>9931</v>
      </c>
      <c r="P85" s="80"/>
      <c r="Q85" s="78">
        <f t="shared" si="19"/>
        <v>9931</v>
      </c>
    </row>
    <row r="86" spans="1:17" ht="12.75" hidden="1">
      <c r="A86" s="34" t="s">
        <v>65</v>
      </c>
      <c r="B86" s="97"/>
      <c r="C86" s="197"/>
      <c r="D86" s="146"/>
      <c r="E86" s="146"/>
      <c r="F86" s="134">
        <f t="shared" si="23"/>
        <v>0</v>
      </c>
      <c r="G86" s="263"/>
      <c r="H86" s="7"/>
      <c r="I86" s="244">
        <f t="shared" si="24"/>
        <v>0</v>
      </c>
      <c r="J86" s="86"/>
      <c r="K86" s="7"/>
      <c r="L86" s="72">
        <f t="shared" si="25"/>
        <v>0</v>
      </c>
      <c r="M86" s="22"/>
      <c r="N86" s="7"/>
      <c r="O86" s="23">
        <f t="shared" si="26"/>
        <v>0</v>
      </c>
      <c r="P86" s="80"/>
      <c r="Q86" s="78">
        <f t="shared" si="19"/>
        <v>0</v>
      </c>
    </row>
    <row r="87" spans="1:17" ht="12.75">
      <c r="A87" s="38" t="s">
        <v>206</v>
      </c>
      <c r="B87" s="97"/>
      <c r="C87" s="197">
        <v>61388</v>
      </c>
      <c r="D87" s="146"/>
      <c r="E87" s="146"/>
      <c r="F87" s="160">
        <f t="shared" si="23"/>
        <v>61388</v>
      </c>
      <c r="G87" s="263">
        <f>13430</f>
        <v>13430</v>
      </c>
      <c r="H87" s="7"/>
      <c r="I87" s="244">
        <f t="shared" si="24"/>
        <v>74818</v>
      </c>
      <c r="J87" s="86"/>
      <c r="K87" s="7"/>
      <c r="L87" s="72"/>
      <c r="M87" s="22"/>
      <c r="N87" s="7"/>
      <c r="O87" s="23"/>
      <c r="P87" s="80"/>
      <c r="Q87" s="78"/>
    </row>
    <row r="88" spans="1:17" ht="12.75">
      <c r="A88" s="34" t="s">
        <v>66</v>
      </c>
      <c r="B88" s="97">
        <v>98278</v>
      </c>
      <c r="C88" s="197"/>
      <c r="D88" s="146">
        <f>65.31+3.5+59.04+89.73+48+59.26+24+22.5+24</f>
        <v>395.34</v>
      </c>
      <c r="E88" s="146"/>
      <c r="F88" s="134">
        <f t="shared" si="23"/>
        <v>395.34</v>
      </c>
      <c r="G88" s="263">
        <f>45.68+40.61+12+32.99+53.3+6+19+12+3.5+14+23.59+126.55+48+39.36+39+12+20.44+44.11+23.01+30+6+68+38.81</f>
        <v>757.95</v>
      </c>
      <c r="H88" s="7"/>
      <c r="I88" s="244">
        <f t="shared" si="24"/>
        <v>1153.29</v>
      </c>
      <c r="J88" s="86"/>
      <c r="K88" s="7"/>
      <c r="L88" s="72">
        <f t="shared" si="25"/>
        <v>1153.29</v>
      </c>
      <c r="M88" s="22"/>
      <c r="N88" s="7"/>
      <c r="O88" s="23">
        <f t="shared" si="26"/>
        <v>1153.29</v>
      </c>
      <c r="P88" s="80"/>
      <c r="Q88" s="78">
        <f t="shared" si="19"/>
        <v>1153.29</v>
      </c>
    </row>
    <row r="89" spans="1:17" ht="12.75" hidden="1">
      <c r="A89" s="34" t="s">
        <v>77</v>
      </c>
      <c r="B89" s="97"/>
      <c r="C89" s="197"/>
      <c r="D89" s="146"/>
      <c r="E89" s="146"/>
      <c r="F89" s="134">
        <f t="shared" si="23"/>
        <v>0</v>
      </c>
      <c r="G89" s="263"/>
      <c r="H89" s="7"/>
      <c r="I89" s="244">
        <f t="shared" si="24"/>
        <v>0</v>
      </c>
      <c r="J89" s="86"/>
      <c r="K89" s="7"/>
      <c r="L89" s="72">
        <f t="shared" si="25"/>
        <v>0</v>
      </c>
      <c r="M89" s="22"/>
      <c r="N89" s="7"/>
      <c r="O89" s="23">
        <f t="shared" si="26"/>
        <v>0</v>
      </c>
      <c r="P89" s="80"/>
      <c r="Q89" s="78">
        <f t="shared" si="19"/>
        <v>0</v>
      </c>
    </row>
    <row r="90" spans="1:17" ht="12.75">
      <c r="A90" s="42" t="s">
        <v>67</v>
      </c>
      <c r="B90" s="100"/>
      <c r="C90" s="292"/>
      <c r="D90" s="213">
        <f>3124.33+1733.68</f>
        <v>4858.01</v>
      </c>
      <c r="E90" s="213"/>
      <c r="F90" s="229">
        <f t="shared" si="23"/>
        <v>4858.01</v>
      </c>
      <c r="G90" s="268"/>
      <c r="H90" s="10"/>
      <c r="I90" s="248">
        <f t="shared" si="24"/>
        <v>4858.01</v>
      </c>
      <c r="J90" s="86"/>
      <c r="K90" s="7"/>
      <c r="L90" s="72">
        <f t="shared" si="25"/>
        <v>4858.01</v>
      </c>
      <c r="M90" s="22"/>
      <c r="N90" s="7"/>
      <c r="O90" s="23">
        <f t="shared" si="26"/>
        <v>4858.01</v>
      </c>
      <c r="P90" s="80"/>
      <c r="Q90" s="78">
        <f t="shared" si="19"/>
        <v>4858.01</v>
      </c>
    </row>
    <row r="91" spans="1:17" ht="12.75" hidden="1">
      <c r="A91" s="33" t="s">
        <v>68</v>
      </c>
      <c r="B91" s="97"/>
      <c r="C91" s="197"/>
      <c r="D91" s="146">
        <f>3124.33+1733.68</f>
        <v>4858.01</v>
      </c>
      <c r="E91" s="146"/>
      <c r="F91" s="134">
        <f t="shared" si="23"/>
        <v>4858.01</v>
      </c>
      <c r="G91" s="263"/>
      <c r="H91" s="7"/>
      <c r="I91" s="244">
        <f t="shared" si="24"/>
        <v>4858.01</v>
      </c>
      <c r="J91" s="86"/>
      <c r="K91" s="7"/>
      <c r="L91" s="72">
        <f t="shared" si="25"/>
        <v>4858.01</v>
      </c>
      <c r="M91" s="22"/>
      <c r="N91" s="7"/>
      <c r="O91" s="23">
        <f t="shared" si="26"/>
        <v>4858.01</v>
      </c>
      <c r="P91" s="80"/>
      <c r="Q91" s="78">
        <f t="shared" si="19"/>
        <v>4858.01</v>
      </c>
    </row>
    <row r="92" spans="1:17" ht="12.75">
      <c r="A92" s="41" t="s">
        <v>54</v>
      </c>
      <c r="B92" s="101"/>
      <c r="C92" s="201">
        <f>SUM(C94:C100)</f>
        <v>32000</v>
      </c>
      <c r="D92" s="150">
        <f aca="true" t="shared" si="27" ref="D92:Q92">SUM(D94:D100)</f>
        <v>60284.16</v>
      </c>
      <c r="E92" s="150">
        <f t="shared" si="27"/>
        <v>0</v>
      </c>
      <c r="F92" s="176">
        <f t="shared" si="27"/>
        <v>92284.16</v>
      </c>
      <c r="G92" s="266">
        <f t="shared" si="27"/>
        <v>10000</v>
      </c>
      <c r="H92" s="121">
        <f t="shared" si="27"/>
        <v>0</v>
      </c>
      <c r="I92" s="247">
        <f t="shared" si="27"/>
        <v>102284.16</v>
      </c>
      <c r="J92" s="164">
        <f t="shared" si="27"/>
        <v>0</v>
      </c>
      <c r="K92" s="164">
        <f t="shared" si="27"/>
        <v>0</v>
      </c>
      <c r="L92" s="164">
        <f t="shared" si="27"/>
        <v>76284.16</v>
      </c>
      <c r="M92" s="164">
        <f t="shared" si="27"/>
        <v>0</v>
      </c>
      <c r="N92" s="164">
        <f t="shared" si="27"/>
        <v>0</v>
      </c>
      <c r="O92" s="164">
        <f t="shared" si="27"/>
        <v>76284.16</v>
      </c>
      <c r="P92" s="164">
        <f t="shared" si="27"/>
        <v>0</v>
      </c>
      <c r="Q92" s="164">
        <f t="shared" si="27"/>
        <v>76284.16</v>
      </c>
    </row>
    <row r="93" spans="1:17" ht="12.75">
      <c r="A93" s="32" t="s">
        <v>26</v>
      </c>
      <c r="B93" s="97"/>
      <c r="C93" s="199"/>
      <c r="D93" s="147"/>
      <c r="E93" s="147"/>
      <c r="F93" s="131"/>
      <c r="G93" s="267"/>
      <c r="H93" s="8"/>
      <c r="I93" s="226"/>
      <c r="J93" s="173"/>
      <c r="K93" s="8"/>
      <c r="L93" s="28"/>
      <c r="M93" s="24"/>
      <c r="N93" s="8"/>
      <c r="O93" s="25"/>
      <c r="P93" s="80"/>
      <c r="Q93" s="78"/>
    </row>
    <row r="94" spans="1:17" ht="12.75">
      <c r="A94" s="98" t="s">
        <v>296</v>
      </c>
      <c r="B94" s="97"/>
      <c r="C94" s="197"/>
      <c r="D94" s="146">
        <f>24251.16+5500</f>
        <v>29751.16</v>
      </c>
      <c r="E94" s="146"/>
      <c r="F94" s="134">
        <f aca="true" t="shared" si="28" ref="F94:F101">C94+D94+E94</f>
        <v>29751.16</v>
      </c>
      <c r="G94" s="263">
        <f>10000</f>
        <v>10000</v>
      </c>
      <c r="H94" s="7"/>
      <c r="I94" s="244">
        <f aca="true" t="shared" si="29" ref="I94:I101">F94+G94+H94</f>
        <v>39751.16</v>
      </c>
      <c r="J94" s="86"/>
      <c r="K94" s="7"/>
      <c r="L94" s="72">
        <f>I94+J94+K94</f>
        <v>39751.16</v>
      </c>
      <c r="M94" s="22"/>
      <c r="N94" s="7"/>
      <c r="O94" s="23">
        <f>L94+M94+N94</f>
        <v>39751.16</v>
      </c>
      <c r="P94" s="80"/>
      <c r="Q94" s="78">
        <f t="shared" si="19"/>
        <v>39751.16</v>
      </c>
    </row>
    <row r="95" spans="1:17" ht="12.75">
      <c r="A95" s="38" t="s">
        <v>242</v>
      </c>
      <c r="B95" s="97"/>
      <c r="C95" s="197"/>
      <c r="D95" s="146">
        <f>20000+4000</f>
        <v>24000</v>
      </c>
      <c r="E95" s="146"/>
      <c r="F95" s="134">
        <f t="shared" si="28"/>
        <v>24000</v>
      </c>
      <c r="G95" s="263"/>
      <c r="H95" s="7"/>
      <c r="I95" s="244">
        <f t="shared" si="29"/>
        <v>24000</v>
      </c>
      <c r="J95" s="86"/>
      <c r="K95" s="7"/>
      <c r="L95" s="72"/>
      <c r="M95" s="22"/>
      <c r="N95" s="7"/>
      <c r="O95" s="23"/>
      <c r="P95" s="80"/>
      <c r="Q95" s="78"/>
    </row>
    <row r="96" spans="1:17" ht="12.75" hidden="1">
      <c r="A96" s="33" t="s">
        <v>55</v>
      </c>
      <c r="B96" s="97"/>
      <c r="C96" s="197"/>
      <c r="D96" s="146"/>
      <c r="E96" s="146"/>
      <c r="F96" s="134">
        <f t="shared" si="28"/>
        <v>0</v>
      </c>
      <c r="G96" s="263"/>
      <c r="H96" s="7"/>
      <c r="I96" s="244">
        <f t="shared" si="29"/>
        <v>0</v>
      </c>
      <c r="J96" s="86"/>
      <c r="K96" s="7"/>
      <c r="L96" s="72"/>
      <c r="M96" s="22"/>
      <c r="N96" s="7"/>
      <c r="O96" s="23"/>
      <c r="P96" s="80"/>
      <c r="Q96" s="78"/>
    </row>
    <row r="97" spans="1:17" ht="12.75" hidden="1">
      <c r="A97" s="34" t="s">
        <v>204</v>
      </c>
      <c r="B97" s="97"/>
      <c r="C97" s="197"/>
      <c r="D97" s="146"/>
      <c r="E97" s="146"/>
      <c r="F97" s="134">
        <f t="shared" si="28"/>
        <v>0</v>
      </c>
      <c r="G97" s="263"/>
      <c r="H97" s="7"/>
      <c r="I97" s="244">
        <f t="shared" si="29"/>
        <v>0</v>
      </c>
      <c r="J97" s="86"/>
      <c r="K97" s="7"/>
      <c r="L97" s="72"/>
      <c r="M97" s="22"/>
      <c r="N97" s="7"/>
      <c r="O97" s="23"/>
      <c r="P97" s="80"/>
      <c r="Q97" s="78"/>
    </row>
    <row r="98" spans="1:17" ht="12.75" hidden="1">
      <c r="A98" s="34" t="s">
        <v>77</v>
      </c>
      <c r="B98" s="97"/>
      <c r="C98" s="197"/>
      <c r="D98" s="146"/>
      <c r="E98" s="146"/>
      <c r="F98" s="134">
        <f t="shared" si="28"/>
        <v>0</v>
      </c>
      <c r="G98" s="263"/>
      <c r="H98" s="7"/>
      <c r="I98" s="244">
        <f t="shared" si="29"/>
        <v>0</v>
      </c>
      <c r="J98" s="86"/>
      <c r="K98" s="7"/>
      <c r="L98" s="72">
        <f>I98+J98+K98</f>
        <v>0</v>
      </c>
      <c r="M98" s="22"/>
      <c r="N98" s="7"/>
      <c r="O98" s="23">
        <f>L98+M98+N98</f>
        <v>0</v>
      </c>
      <c r="P98" s="80"/>
      <c r="Q98" s="78">
        <f t="shared" si="19"/>
        <v>0</v>
      </c>
    </row>
    <row r="99" spans="1:17" ht="12.75">
      <c r="A99" s="34" t="s">
        <v>248</v>
      </c>
      <c r="B99" s="97"/>
      <c r="C99" s="197">
        <v>2000</v>
      </c>
      <c r="D99" s="146"/>
      <c r="E99" s="146"/>
      <c r="F99" s="134">
        <f t="shared" si="28"/>
        <v>2000</v>
      </c>
      <c r="G99" s="263"/>
      <c r="H99" s="7"/>
      <c r="I99" s="244">
        <f t="shared" si="29"/>
        <v>2000</v>
      </c>
      <c r="J99" s="86"/>
      <c r="K99" s="7"/>
      <c r="L99" s="72"/>
      <c r="M99" s="22"/>
      <c r="N99" s="7"/>
      <c r="O99" s="23"/>
      <c r="P99" s="80"/>
      <c r="Q99" s="78"/>
    </row>
    <row r="100" spans="1:17" ht="12.75">
      <c r="A100" s="42" t="s">
        <v>67</v>
      </c>
      <c r="B100" s="100"/>
      <c r="C100" s="292">
        <v>30000</v>
      </c>
      <c r="D100" s="213">
        <f>-3124.33+9657.33</f>
        <v>6533</v>
      </c>
      <c r="E100" s="213"/>
      <c r="F100" s="229">
        <f t="shared" si="28"/>
        <v>36533</v>
      </c>
      <c r="G100" s="268"/>
      <c r="H100" s="10"/>
      <c r="I100" s="248">
        <f t="shared" si="29"/>
        <v>36533</v>
      </c>
      <c r="J100" s="86"/>
      <c r="K100" s="7"/>
      <c r="L100" s="72">
        <f>I100+J100+K100</f>
        <v>36533</v>
      </c>
      <c r="M100" s="22"/>
      <c r="N100" s="7"/>
      <c r="O100" s="23">
        <f>L100+M100+N100</f>
        <v>36533</v>
      </c>
      <c r="P100" s="80"/>
      <c r="Q100" s="78">
        <f t="shared" si="19"/>
        <v>36533</v>
      </c>
    </row>
    <row r="101" spans="1:17" ht="12.75" hidden="1">
      <c r="A101" s="42" t="s">
        <v>70</v>
      </c>
      <c r="B101" s="100"/>
      <c r="C101" s="292"/>
      <c r="D101" s="213"/>
      <c r="E101" s="213"/>
      <c r="F101" s="229">
        <f t="shared" si="28"/>
        <v>0</v>
      </c>
      <c r="G101" s="268"/>
      <c r="H101" s="10"/>
      <c r="I101" s="248">
        <f t="shared" si="29"/>
        <v>0</v>
      </c>
      <c r="J101" s="177"/>
      <c r="K101" s="10"/>
      <c r="L101" s="71">
        <f>I101+J101+K101</f>
        <v>0</v>
      </c>
      <c r="M101" s="26"/>
      <c r="N101" s="10"/>
      <c r="O101" s="27">
        <f>L101+M101+N101</f>
        <v>0</v>
      </c>
      <c r="P101" s="83"/>
      <c r="Q101" s="84">
        <f t="shared" si="19"/>
        <v>0</v>
      </c>
    </row>
    <row r="102" spans="1:17" ht="12.75">
      <c r="A102" s="35" t="s">
        <v>71</v>
      </c>
      <c r="B102" s="101"/>
      <c r="C102" s="199">
        <f aca="true" t="shared" si="30" ref="C102:H102">C103+C110</f>
        <v>17757</v>
      </c>
      <c r="D102" s="147">
        <f t="shared" si="30"/>
        <v>0</v>
      </c>
      <c r="E102" s="147">
        <f t="shared" si="30"/>
        <v>0</v>
      </c>
      <c r="F102" s="131">
        <f t="shared" si="30"/>
        <v>17757</v>
      </c>
      <c r="G102" s="267">
        <f t="shared" si="30"/>
        <v>2996</v>
      </c>
      <c r="H102" s="116">
        <f t="shared" si="30"/>
        <v>0</v>
      </c>
      <c r="I102" s="226">
        <f aca="true" t="shared" si="31" ref="I102:Q102">I103+I110</f>
        <v>20753</v>
      </c>
      <c r="J102" s="147">
        <f t="shared" si="31"/>
        <v>0</v>
      </c>
      <c r="K102" s="116">
        <f t="shared" si="31"/>
        <v>0</v>
      </c>
      <c r="L102" s="116">
        <f t="shared" si="31"/>
        <v>20089</v>
      </c>
      <c r="M102" s="116">
        <f t="shared" si="31"/>
        <v>0</v>
      </c>
      <c r="N102" s="116">
        <f t="shared" si="31"/>
        <v>0</v>
      </c>
      <c r="O102" s="116">
        <f t="shared" si="31"/>
        <v>20089</v>
      </c>
      <c r="P102" s="116">
        <f t="shared" si="31"/>
        <v>0</v>
      </c>
      <c r="Q102" s="116">
        <f t="shared" si="31"/>
        <v>20089</v>
      </c>
    </row>
    <row r="103" spans="1:17" ht="12.75">
      <c r="A103" s="40" t="s">
        <v>49</v>
      </c>
      <c r="B103" s="101"/>
      <c r="C103" s="200">
        <f aca="true" t="shared" si="32" ref="C103:H103">SUM(C105:C109)</f>
        <v>17757</v>
      </c>
      <c r="D103" s="149">
        <f t="shared" si="32"/>
        <v>0</v>
      </c>
      <c r="E103" s="149">
        <f t="shared" si="32"/>
        <v>0</v>
      </c>
      <c r="F103" s="175">
        <f t="shared" si="32"/>
        <v>17757</v>
      </c>
      <c r="G103" s="265">
        <f t="shared" si="32"/>
        <v>2996</v>
      </c>
      <c r="H103" s="119">
        <f t="shared" si="32"/>
        <v>0</v>
      </c>
      <c r="I103" s="246">
        <f aca="true" t="shared" si="33" ref="I103:Q103">SUM(I105:I109)</f>
        <v>20753</v>
      </c>
      <c r="J103" s="149">
        <f t="shared" si="33"/>
        <v>0</v>
      </c>
      <c r="K103" s="119">
        <f t="shared" si="33"/>
        <v>0</v>
      </c>
      <c r="L103" s="119">
        <f t="shared" si="33"/>
        <v>20089</v>
      </c>
      <c r="M103" s="119">
        <f t="shared" si="33"/>
        <v>0</v>
      </c>
      <c r="N103" s="119">
        <f t="shared" si="33"/>
        <v>0</v>
      </c>
      <c r="O103" s="119">
        <f t="shared" si="33"/>
        <v>20089</v>
      </c>
      <c r="P103" s="119">
        <f t="shared" si="33"/>
        <v>0</v>
      </c>
      <c r="Q103" s="119">
        <f t="shared" si="33"/>
        <v>20089</v>
      </c>
    </row>
    <row r="104" spans="1:17" ht="12.75">
      <c r="A104" s="36" t="s">
        <v>26</v>
      </c>
      <c r="B104" s="97"/>
      <c r="C104" s="197"/>
      <c r="D104" s="146"/>
      <c r="E104" s="146"/>
      <c r="F104" s="140"/>
      <c r="G104" s="263"/>
      <c r="H104" s="7"/>
      <c r="I104" s="243"/>
      <c r="J104" s="86"/>
      <c r="K104" s="7"/>
      <c r="L104" s="68"/>
      <c r="M104" s="22"/>
      <c r="N104" s="7"/>
      <c r="O104" s="21"/>
      <c r="P104" s="80"/>
      <c r="Q104" s="78"/>
    </row>
    <row r="105" spans="1:17" ht="12.75">
      <c r="A105" s="34" t="s">
        <v>51</v>
      </c>
      <c r="B105" s="97"/>
      <c r="C105" s="197">
        <v>17093</v>
      </c>
      <c r="D105" s="146"/>
      <c r="E105" s="146"/>
      <c r="F105" s="134">
        <f>C105+D105+E105</f>
        <v>17093</v>
      </c>
      <c r="G105" s="263"/>
      <c r="H105" s="7"/>
      <c r="I105" s="244">
        <f>SUM(F105:H105)</f>
        <v>17093</v>
      </c>
      <c r="J105" s="86"/>
      <c r="K105" s="7"/>
      <c r="L105" s="72">
        <f>I105+J105+K105</f>
        <v>17093</v>
      </c>
      <c r="M105" s="22"/>
      <c r="N105" s="7"/>
      <c r="O105" s="23">
        <f>L105+M105+N105</f>
        <v>17093</v>
      </c>
      <c r="P105" s="80"/>
      <c r="Q105" s="78">
        <f t="shared" si="19"/>
        <v>17093</v>
      </c>
    </row>
    <row r="106" spans="1:17" ht="12.75">
      <c r="A106" s="261" t="s">
        <v>78</v>
      </c>
      <c r="B106" s="97">
        <v>1245</v>
      </c>
      <c r="C106" s="197">
        <v>664</v>
      </c>
      <c r="D106" s="146"/>
      <c r="E106" s="146"/>
      <c r="F106" s="134">
        <f>C106+D106+E106</f>
        <v>664</v>
      </c>
      <c r="G106" s="263"/>
      <c r="H106" s="7"/>
      <c r="I106" s="244">
        <f>SUM(F106:H106)</f>
        <v>664</v>
      </c>
      <c r="J106" s="86"/>
      <c r="K106" s="7"/>
      <c r="L106" s="72"/>
      <c r="M106" s="22"/>
      <c r="N106" s="7"/>
      <c r="O106" s="23"/>
      <c r="P106" s="80"/>
      <c r="Q106" s="78"/>
    </row>
    <row r="107" spans="1:17" ht="12.75">
      <c r="A107" s="45" t="s">
        <v>72</v>
      </c>
      <c r="B107" s="100">
        <v>33166</v>
      </c>
      <c r="C107" s="292"/>
      <c r="D107" s="213"/>
      <c r="E107" s="213"/>
      <c r="F107" s="229">
        <f>C107+D107+E107</f>
        <v>0</v>
      </c>
      <c r="G107" s="268">
        <f>2996</f>
        <v>2996</v>
      </c>
      <c r="H107" s="10"/>
      <c r="I107" s="248">
        <f>SUM(F107:H107)</f>
        <v>2996</v>
      </c>
      <c r="J107" s="86"/>
      <c r="K107" s="7"/>
      <c r="L107" s="72">
        <f>I107+J107+K107</f>
        <v>2996</v>
      </c>
      <c r="M107" s="22"/>
      <c r="N107" s="7"/>
      <c r="O107" s="23">
        <f>L107+M107+N107</f>
        <v>2996</v>
      </c>
      <c r="P107" s="80"/>
      <c r="Q107" s="78">
        <f t="shared" si="19"/>
        <v>2996</v>
      </c>
    </row>
    <row r="108" spans="1:17" ht="12.75" hidden="1">
      <c r="A108" s="45" t="s">
        <v>279</v>
      </c>
      <c r="B108" s="100">
        <v>33064</v>
      </c>
      <c r="C108" s="292"/>
      <c r="D108" s="213"/>
      <c r="E108" s="213"/>
      <c r="F108" s="229">
        <f>C108+D108+E108</f>
        <v>0</v>
      </c>
      <c r="G108" s="263"/>
      <c r="H108" s="7"/>
      <c r="I108" s="244"/>
      <c r="J108" s="86"/>
      <c r="K108" s="7"/>
      <c r="L108" s="72"/>
      <c r="M108" s="22"/>
      <c r="N108" s="7"/>
      <c r="O108" s="23"/>
      <c r="P108" s="80"/>
      <c r="Q108" s="78"/>
    </row>
    <row r="109" spans="1:17" ht="12.75" hidden="1">
      <c r="A109" s="38" t="s">
        <v>65</v>
      </c>
      <c r="B109" s="97"/>
      <c r="C109" s="197"/>
      <c r="D109" s="146"/>
      <c r="E109" s="146"/>
      <c r="F109" s="134">
        <f>C109+D109+E109</f>
        <v>0</v>
      </c>
      <c r="G109" s="263"/>
      <c r="H109" s="7"/>
      <c r="I109" s="244">
        <f>SUM(F109:H109)</f>
        <v>0</v>
      </c>
      <c r="J109" s="86"/>
      <c r="K109" s="7"/>
      <c r="L109" s="72">
        <f>I109+J109+K109</f>
        <v>0</v>
      </c>
      <c r="M109" s="22"/>
      <c r="N109" s="7"/>
      <c r="O109" s="23">
        <f>L109+M109+N109</f>
        <v>0</v>
      </c>
      <c r="P109" s="80"/>
      <c r="Q109" s="78">
        <f t="shared" si="19"/>
        <v>0</v>
      </c>
    </row>
    <row r="110" spans="1:17" ht="12.75" hidden="1">
      <c r="A110" s="40" t="s">
        <v>54</v>
      </c>
      <c r="B110" s="101"/>
      <c r="C110" s="200">
        <f>C112</f>
        <v>0</v>
      </c>
      <c r="D110" s="149">
        <f aca="true" t="shared" si="34" ref="D110:Q110">D112</f>
        <v>0</v>
      </c>
      <c r="E110" s="149">
        <f t="shared" si="34"/>
        <v>0</v>
      </c>
      <c r="F110" s="175">
        <f t="shared" si="34"/>
        <v>0</v>
      </c>
      <c r="G110" s="265">
        <f t="shared" si="34"/>
        <v>0</v>
      </c>
      <c r="H110" s="119">
        <f t="shared" si="34"/>
        <v>0</v>
      </c>
      <c r="I110" s="246">
        <f t="shared" si="34"/>
        <v>0</v>
      </c>
      <c r="J110" s="175">
        <f t="shared" si="34"/>
        <v>0</v>
      </c>
      <c r="K110" s="119">
        <f t="shared" si="34"/>
        <v>0</v>
      </c>
      <c r="L110" s="149">
        <f t="shared" si="34"/>
        <v>0</v>
      </c>
      <c r="M110" s="118">
        <f t="shared" si="34"/>
        <v>0</v>
      </c>
      <c r="N110" s="118">
        <f t="shared" si="34"/>
        <v>0</v>
      </c>
      <c r="O110" s="118">
        <f t="shared" si="34"/>
        <v>0</v>
      </c>
      <c r="P110" s="118">
        <f t="shared" si="34"/>
        <v>0</v>
      </c>
      <c r="Q110" s="200">
        <f t="shared" si="34"/>
        <v>0</v>
      </c>
    </row>
    <row r="111" spans="1:17" ht="12.75" hidden="1">
      <c r="A111" s="36" t="s">
        <v>26</v>
      </c>
      <c r="B111" s="97"/>
      <c r="C111" s="197"/>
      <c r="D111" s="146"/>
      <c r="E111" s="146"/>
      <c r="F111" s="140"/>
      <c r="G111" s="263"/>
      <c r="H111" s="7"/>
      <c r="I111" s="243"/>
      <c r="J111" s="86"/>
      <c r="K111" s="7"/>
      <c r="L111" s="68"/>
      <c r="M111" s="22"/>
      <c r="N111" s="7"/>
      <c r="O111" s="21"/>
      <c r="P111" s="80"/>
      <c r="Q111" s="78"/>
    </row>
    <row r="112" spans="1:17" ht="12.75" hidden="1">
      <c r="A112" s="37" t="s">
        <v>163</v>
      </c>
      <c r="B112" s="100"/>
      <c r="C112" s="292"/>
      <c r="D112" s="213"/>
      <c r="E112" s="213"/>
      <c r="F112" s="229">
        <f>C112+D112+E112</f>
        <v>0</v>
      </c>
      <c r="G112" s="268"/>
      <c r="H112" s="10"/>
      <c r="I112" s="249"/>
      <c r="J112" s="177"/>
      <c r="K112" s="10"/>
      <c r="L112" s="71">
        <f>I112+J112+K112</f>
        <v>0</v>
      </c>
      <c r="M112" s="26"/>
      <c r="N112" s="10"/>
      <c r="O112" s="27">
        <f>L112+M112+N112</f>
        <v>0</v>
      </c>
      <c r="P112" s="83"/>
      <c r="Q112" s="84">
        <f t="shared" si="19"/>
        <v>0</v>
      </c>
    </row>
    <row r="113" spans="1:17" ht="12.75">
      <c r="A113" s="31" t="s">
        <v>73</v>
      </c>
      <c r="B113" s="101"/>
      <c r="C113" s="196">
        <f aca="true" t="shared" si="35" ref="C113:H113">C114+C126</f>
        <v>1419650</v>
      </c>
      <c r="D113" s="129">
        <f t="shared" si="35"/>
        <v>285470.35</v>
      </c>
      <c r="E113" s="129">
        <f t="shared" si="35"/>
        <v>0</v>
      </c>
      <c r="F113" s="140">
        <f t="shared" si="35"/>
        <v>1705120.35</v>
      </c>
      <c r="G113" s="262">
        <f t="shared" si="35"/>
        <v>42092.13</v>
      </c>
      <c r="H113" s="112">
        <f t="shared" si="35"/>
        <v>0</v>
      </c>
      <c r="I113" s="243">
        <f aca="true" t="shared" si="36" ref="I113:Q113">I114+I126</f>
        <v>1747212.48</v>
      </c>
      <c r="J113" s="129">
        <f t="shared" si="36"/>
        <v>0</v>
      </c>
      <c r="K113" s="112">
        <f t="shared" si="36"/>
        <v>0</v>
      </c>
      <c r="L113" s="112">
        <f t="shared" si="36"/>
        <v>1747212.48</v>
      </c>
      <c r="M113" s="112">
        <f t="shared" si="36"/>
        <v>0</v>
      </c>
      <c r="N113" s="112">
        <f t="shared" si="36"/>
        <v>0</v>
      </c>
      <c r="O113" s="112">
        <f t="shared" si="36"/>
        <v>1747212.48</v>
      </c>
      <c r="P113" s="112">
        <f t="shared" si="36"/>
        <v>0</v>
      </c>
      <c r="Q113" s="112">
        <f t="shared" si="36"/>
        <v>1747212.48</v>
      </c>
    </row>
    <row r="114" spans="1:17" ht="12.75">
      <c r="A114" s="40" t="s">
        <v>49</v>
      </c>
      <c r="B114" s="101"/>
      <c r="C114" s="200">
        <f aca="true" t="shared" si="37" ref="C114:H114">SUM(C117:C125)</f>
        <v>1417150</v>
      </c>
      <c r="D114" s="149">
        <f t="shared" si="37"/>
        <v>285470.35</v>
      </c>
      <c r="E114" s="149">
        <f t="shared" si="37"/>
        <v>0</v>
      </c>
      <c r="F114" s="175">
        <f t="shared" si="37"/>
        <v>1702620.35</v>
      </c>
      <c r="G114" s="265">
        <f t="shared" si="37"/>
        <v>42092.13</v>
      </c>
      <c r="H114" s="119">
        <f t="shared" si="37"/>
        <v>0</v>
      </c>
      <c r="I114" s="246">
        <f aca="true" t="shared" si="38" ref="I114:Q114">SUM(I117:I125)</f>
        <v>1744712.48</v>
      </c>
      <c r="J114" s="149">
        <f t="shared" si="38"/>
        <v>0</v>
      </c>
      <c r="K114" s="119">
        <f t="shared" si="38"/>
        <v>0</v>
      </c>
      <c r="L114" s="119">
        <f t="shared" si="38"/>
        <v>1744712.48</v>
      </c>
      <c r="M114" s="119">
        <f t="shared" si="38"/>
        <v>0</v>
      </c>
      <c r="N114" s="119">
        <f t="shared" si="38"/>
        <v>0</v>
      </c>
      <c r="O114" s="119">
        <f t="shared" si="38"/>
        <v>1744712.48</v>
      </c>
      <c r="P114" s="119">
        <f t="shared" si="38"/>
        <v>0</v>
      </c>
      <c r="Q114" s="119">
        <f t="shared" si="38"/>
        <v>1744712.48</v>
      </c>
    </row>
    <row r="115" spans="1:17" ht="12.75">
      <c r="A115" s="36" t="s">
        <v>26</v>
      </c>
      <c r="B115" s="97"/>
      <c r="C115" s="197"/>
      <c r="D115" s="146"/>
      <c r="E115" s="146"/>
      <c r="F115" s="140"/>
      <c r="G115" s="263"/>
      <c r="H115" s="7"/>
      <c r="I115" s="243"/>
      <c r="J115" s="86"/>
      <c r="K115" s="7"/>
      <c r="L115" s="68"/>
      <c r="M115" s="22"/>
      <c r="N115" s="7"/>
      <c r="O115" s="21"/>
      <c r="P115" s="80"/>
      <c r="Q115" s="78"/>
    </row>
    <row r="116" spans="1:17" ht="12.75">
      <c r="A116" s="38" t="s">
        <v>327</v>
      </c>
      <c r="B116" s="97"/>
      <c r="C116" s="197">
        <f>C117+C118</f>
        <v>882300</v>
      </c>
      <c r="D116" s="146">
        <f>D117+D118</f>
        <v>39230.06</v>
      </c>
      <c r="E116" s="146">
        <f>E117+E118</f>
        <v>0</v>
      </c>
      <c r="F116" s="134">
        <f>F117+F118</f>
        <v>921530.06</v>
      </c>
      <c r="G116" s="114">
        <f>G117+G118</f>
        <v>42092.13</v>
      </c>
      <c r="H116" s="7"/>
      <c r="I116" s="244">
        <f>I117+I118</f>
        <v>963622.19</v>
      </c>
      <c r="J116" s="86"/>
      <c r="K116" s="7"/>
      <c r="L116" s="72">
        <f>L117+L118</f>
        <v>963622.19</v>
      </c>
      <c r="M116" s="22"/>
      <c r="N116" s="7"/>
      <c r="O116" s="23">
        <f>O117+O118</f>
        <v>963622.19</v>
      </c>
      <c r="P116" s="80"/>
      <c r="Q116" s="78">
        <f t="shared" si="19"/>
        <v>963622.19</v>
      </c>
    </row>
    <row r="117" spans="1:19" ht="12.75">
      <c r="A117" s="38" t="s">
        <v>328</v>
      </c>
      <c r="B117" s="97"/>
      <c r="C117" s="197">
        <v>417000</v>
      </c>
      <c r="D117" s="215">
        <f>-1621.14+582.5+50.49</f>
        <v>-988.1500000000001</v>
      </c>
      <c r="E117" s="146"/>
      <c r="F117" s="134">
        <f aca="true" t="shared" si="39" ref="F117:F125">C117+D117+E117</f>
        <v>416011.85</v>
      </c>
      <c r="G117" s="263">
        <f>822.13+40000</f>
        <v>40822.13</v>
      </c>
      <c r="H117" s="11"/>
      <c r="I117" s="244">
        <f aca="true" t="shared" si="40" ref="I117:I125">F117+G117+H117</f>
        <v>456833.98</v>
      </c>
      <c r="J117" s="86"/>
      <c r="K117" s="7"/>
      <c r="L117" s="72">
        <f aca="true" t="shared" si="41" ref="L117:L125">I117+J117+K117</f>
        <v>456833.98</v>
      </c>
      <c r="M117" s="22"/>
      <c r="N117" s="7"/>
      <c r="O117" s="23">
        <f aca="true" t="shared" si="42" ref="O117:O125">L117+M117+N117</f>
        <v>456833.98</v>
      </c>
      <c r="P117" s="80"/>
      <c r="Q117" s="78">
        <f t="shared" si="19"/>
        <v>456833.98</v>
      </c>
      <c r="S117" s="194"/>
    </row>
    <row r="118" spans="1:17" ht="12.75">
      <c r="A118" s="34" t="s">
        <v>329</v>
      </c>
      <c r="B118" s="97"/>
      <c r="C118" s="197">
        <v>465300</v>
      </c>
      <c r="D118" s="146">
        <f>5577+34402+239.21</f>
        <v>40218.21</v>
      </c>
      <c r="E118" s="146"/>
      <c r="F118" s="134">
        <f t="shared" si="39"/>
        <v>505518.21</v>
      </c>
      <c r="G118" s="263">
        <f>1270</f>
        <v>1270</v>
      </c>
      <c r="H118" s="11"/>
      <c r="I118" s="244">
        <f t="shared" si="40"/>
        <v>506788.21</v>
      </c>
      <c r="J118" s="86"/>
      <c r="K118" s="7"/>
      <c r="L118" s="72">
        <f t="shared" si="41"/>
        <v>506788.21</v>
      </c>
      <c r="M118" s="22"/>
      <c r="N118" s="7"/>
      <c r="O118" s="23">
        <f t="shared" si="42"/>
        <v>506788.21</v>
      </c>
      <c r="P118" s="80"/>
      <c r="Q118" s="78">
        <f t="shared" si="19"/>
        <v>506788.21</v>
      </c>
    </row>
    <row r="119" spans="1:17" ht="12.75">
      <c r="A119" s="38" t="s">
        <v>74</v>
      </c>
      <c r="B119" s="97"/>
      <c r="C119" s="197">
        <v>28000</v>
      </c>
      <c r="D119" s="146"/>
      <c r="E119" s="146"/>
      <c r="F119" s="134">
        <f t="shared" si="39"/>
        <v>28000</v>
      </c>
      <c r="G119" s="263"/>
      <c r="H119" s="7"/>
      <c r="I119" s="244">
        <f t="shared" si="40"/>
        <v>28000</v>
      </c>
      <c r="J119" s="86"/>
      <c r="K119" s="7"/>
      <c r="L119" s="72">
        <f t="shared" si="41"/>
        <v>28000</v>
      </c>
      <c r="M119" s="22"/>
      <c r="N119" s="7"/>
      <c r="O119" s="23">
        <f t="shared" si="42"/>
        <v>28000</v>
      </c>
      <c r="P119" s="80"/>
      <c r="Q119" s="78">
        <f t="shared" si="19"/>
        <v>28000</v>
      </c>
    </row>
    <row r="120" spans="1:17" ht="12.75" hidden="1">
      <c r="A120" s="34" t="s">
        <v>75</v>
      </c>
      <c r="B120" s="97"/>
      <c r="C120" s="197"/>
      <c r="D120" s="146"/>
      <c r="E120" s="146"/>
      <c r="F120" s="134">
        <f t="shared" si="39"/>
        <v>0</v>
      </c>
      <c r="G120" s="263"/>
      <c r="H120" s="7"/>
      <c r="I120" s="244">
        <f t="shared" si="40"/>
        <v>0</v>
      </c>
      <c r="J120" s="86"/>
      <c r="K120" s="7"/>
      <c r="L120" s="72">
        <f t="shared" si="41"/>
        <v>0</v>
      </c>
      <c r="M120" s="22"/>
      <c r="N120" s="7"/>
      <c r="O120" s="23">
        <f t="shared" si="42"/>
        <v>0</v>
      </c>
      <c r="P120" s="80"/>
      <c r="Q120" s="78">
        <f t="shared" si="19"/>
        <v>0</v>
      </c>
    </row>
    <row r="121" spans="1:17" ht="12.75">
      <c r="A121" s="34" t="s">
        <v>65</v>
      </c>
      <c r="B121" s="97"/>
      <c r="C121" s="197"/>
      <c r="D121" s="146">
        <f>1621.14</f>
        <v>1621.14</v>
      </c>
      <c r="E121" s="146"/>
      <c r="F121" s="134">
        <f t="shared" si="39"/>
        <v>1621.14</v>
      </c>
      <c r="G121" s="263"/>
      <c r="H121" s="7"/>
      <c r="I121" s="244">
        <f t="shared" si="40"/>
        <v>1621.14</v>
      </c>
      <c r="J121" s="86"/>
      <c r="K121" s="7"/>
      <c r="L121" s="72">
        <f t="shared" si="41"/>
        <v>1621.14</v>
      </c>
      <c r="M121" s="22"/>
      <c r="N121" s="7"/>
      <c r="O121" s="23">
        <f t="shared" si="42"/>
        <v>1621.14</v>
      </c>
      <c r="P121" s="80"/>
      <c r="Q121" s="78">
        <f t="shared" si="19"/>
        <v>1621.14</v>
      </c>
    </row>
    <row r="122" spans="1:17" ht="12.75" hidden="1">
      <c r="A122" s="34" t="s">
        <v>76</v>
      </c>
      <c r="B122" s="97">
        <v>91252</v>
      </c>
      <c r="C122" s="197"/>
      <c r="D122" s="146"/>
      <c r="E122" s="146"/>
      <c r="F122" s="134">
        <f t="shared" si="39"/>
        <v>0</v>
      </c>
      <c r="G122" s="263"/>
      <c r="H122" s="7"/>
      <c r="I122" s="244">
        <f t="shared" si="40"/>
        <v>0</v>
      </c>
      <c r="J122" s="86"/>
      <c r="K122" s="7"/>
      <c r="L122" s="72">
        <f t="shared" si="41"/>
        <v>0</v>
      </c>
      <c r="M122" s="22"/>
      <c r="N122" s="7"/>
      <c r="O122" s="23">
        <f t="shared" si="42"/>
        <v>0</v>
      </c>
      <c r="P122" s="80"/>
      <c r="Q122" s="78">
        <f t="shared" si="19"/>
        <v>0</v>
      </c>
    </row>
    <row r="123" spans="1:17" ht="12.75">
      <c r="A123" s="34" t="s">
        <v>140</v>
      </c>
      <c r="B123" s="97">
        <v>27355</v>
      </c>
      <c r="C123" s="197"/>
      <c r="D123" s="146">
        <f>223545.15</f>
        <v>223545.15</v>
      </c>
      <c r="E123" s="146"/>
      <c r="F123" s="134">
        <f t="shared" si="39"/>
        <v>223545.15</v>
      </c>
      <c r="G123" s="263"/>
      <c r="H123" s="7"/>
      <c r="I123" s="244">
        <f t="shared" si="40"/>
        <v>223545.15</v>
      </c>
      <c r="J123" s="86"/>
      <c r="K123" s="7"/>
      <c r="L123" s="72">
        <f t="shared" si="41"/>
        <v>223545.15</v>
      </c>
      <c r="M123" s="22"/>
      <c r="N123" s="7"/>
      <c r="O123" s="23">
        <f t="shared" si="42"/>
        <v>223545.15</v>
      </c>
      <c r="P123" s="80"/>
      <c r="Q123" s="78">
        <f t="shared" si="19"/>
        <v>223545.15</v>
      </c>
    </row>
    <row r="124" spans="1:17" ht="12.75">
      <c r="A124" s="34" t="s">
        <v>51</v>
      </c>
      <c r="B124" s="97"/>
      <c r="C124" s="197">
        <v>506850</v>
      </c>
      <c r="D124" s="146">
        <f>20641.9+432.1</f>
        <v>21074</v>
      </c>
      <c r="E124" s="146"/>
      <c r="F124" s="134">
        <f t="shared" si="39"/>
        <v>527924</v>
      </c>
      <c r="G124" s="263"/>
      <c r="H124" s="7"/>
      <c r="I124" s="244">
        <f t="shared" si="40"/>
        <v>527924</v>
      </c>
      <c r="J124" s="86"/>
      <c r="K124" s="7"/>
      <c r="L124" s="72">
        <f t="shared" si="41"/>
        <v>527924</v>
      </c>
      <c r="M124" s="22"/>
      <c r="N124" s="7"/>
      <c r="O124" s="23">
        <f t="shared" si="42"/>
        <v>527924</v>
      </c>
      <c r="P124" s="80"/>
      <c r="Q124" s="78">
        <f t="shared" si="19"/>
        <v>527924</v>
      </c>
    </row>
    <row r="125" spans="1:17" ht="12" customHeight="1" hidden="1">
      <c r="A125" s="34" t="s">
        <v>77</v>
      </c>
      <c r="B125" s="97"/>
      <c r="C125" s="197"/>
      <c r="D125" s="146"/>
      <c r="E125" s="146"/>
      <c r="F125" s="134">
        <f t="shared" si="39"/>
        <v>0</v>
      </c>
      <c r="G125" s="263"/>
      <c r="H125" s="7"/>
      <c r="I125" s="244">
        <f t="shared" si="40"/>
        <v>0</v>
      </c>
      <c r="J125" s="86"/>
      <c r="K125" s="7"/>
      <c r="L125" s="72">
        <f t="shared" si="41"/>
        <v>0</v>
      </c>
      <c r="M125" s="22"/>
      <c r="N125" s="7"/>
      <c r="O125" s="23">
        <f t="shared" si="42"/>
        <v>0</v>
      </c>
      <c r="P125" s="80"/>
      <c r="Q125" s="78">
        <f t="shared" si="19"/>
        <v>0</v>
      </c>
    </row>
    <row r="126" spans="1:17" ht="12.75">
      <c r="A126" s="41" t="s">
        <v>54</v>
      </c>
      <c r="B126" s="101"/>
      <c r="C126" s="201">
        <f>SUM(C128:C130)</f>
        <v>2500</v>
      </c>
      <c r="D126" s="150">
        <f aca="true" t="shared" si="43" ref="D126:Q126">SUM(D128:D130)</f>
        <v>0</v>
      </c>
      <c r="E126" s="150">
        <f t="shared" si="43"/>
        <v>0</v>
      </c>
      <c r="F126" s="176">
        <f t="shared" si="43"/>
        <v>2500</v>
      </c>
      <c r="G126" s="266">
        <f t="shared" si="43"/>
        <v>0</v>
      </c>
      <c r="H126" s="121">
        <f t="shared" si="43"/>
        <v>0</v>
      </c>
      <c r="I126" s="247">
        <f t="shared" si="43"/>
        <v>2500</v>
      </c>
      <c r="J126" s="164">
        <f t="shared" si="43"/>
        <v>0</v>
      </c>
      <c r="K126" s="164">
        <f t="shared" si="43"/>
        <v>0</v>
      </c>
      <c r="L126" s="164">
        <f t="shared" si="43"/>
        <v>2500</v>
      </c>
      <c r="M126" s="164">
        <f t="shared" si="43"/>
        <v>0</v>
      </c>
      <c r="N126" s="164">
        <f t="shared" si="43"/>
        <v>0</v>
      </c>
      <c r="O126" s="164">
        <f t="shared" si="43"/>
        <v>2500</v>
      </c>
      <c r="P126" s="164">
        <f t="shared" si="43"/>
        <v>0</v>
      </c>
      <c r="Q126" s="164">
        <f t="shared" si="43"/>
        <v>2500</v>
      </c>
    </row>
    <row r="127" spans="1:17" ht="12.75">
      <c r="A127" s="32" t="s">
        <v>26</v>
      </c>
      <c r="B127" s="97"/>
      <c r="C127" s="199"/>
      <c r="D127" s="147"/>
      <c r="E127" s="147"/>
      <c r="F127" s="131"/>
      <c r="G127" s="267"/>
      <c r="H127" s="8"/>
      <c r="I127" s="226"/>
      <c r="J127" s="173"/>
      <c r="K127" s="8"/>
      <c r="L127" s="28"/>
      <c r="M127" s="24"/>
      <c r="N127" s="8"/>
      <c r="O127" s="25"/>
      <c r="P127" s="80"/>
      <c r="Q127" s="78"/>
    </row>
    <row r="128" spans="1:17" ht="12.75" hidden="1">
      <c r="A128" s="42" t="s">
        <v>55</v>
      </c>
      <c r="B128" s="100"/>
      <c r="C128" s="292"/>
      <c r="D128" s="213"/>
      <c r="E128" s="213"/>
      <c r="F128" s="229">
        <f>C128+D128+E128</f>
        <v>0</v>
      </c>
      <c r="G128" s="263"/>
      <c r="H128" s="7"/>
      <c r="I128" s="244">
        <f>F128+G128+H128</f>
        <v>0</v>
      </c>
      <c r="J128" s="86"/>
      <c r="K128" s="7"/>
      <c r="L128" s="72">
        <f>I128+J128+K128</f>
        <v>0</v>
      </c>
      <c r="M128" s="22"/>
      <c r="N128" s="7"/>
      <c r="O128" s="23">
        <f>L128+M128+N128</f>
        <v>0</v>
      </c>
      <c r="P128" s="80"/>
      <c r="Q128" s="78">
        <f t="shared" si="19"/>
        <v>0</v>
      </c>
    </row>
    <row r="129" spans="1:17" ht="12.75">
      <c r="A129" s="37" t="s">
        <v>85</v>
      </c>
      <c r="B129" s="100"/>
      <c r="C129" s="292">
        <v>2500</v>
      </c>
      <c r="D129" s="213"/>
      <c r="E129" s="213"/>
      <c r="F129" s="229">
        <f>C129+D129+E129</f>
        <v>2500</v>
      </c>
      <c r="G129" s="268"/>
      <c r="H129" s="10"/>
      <c r="I129" s="248">
        <f>F129+G129+H129</f>
        <v>2500</v>
      </c>
      <c r="J129" s="86"/>
      <c r="K129" s="7"/>
      <c r="L129" s="72">
        <f>I129+J129+K129</f>
        <v>2500</v>
      </c>
      <c r="M129" s="22"/>
      <c r="N129" s="7"/>
      <c r="O129" s="23">
        <f>L129+M129+N129</f>
        <v>2500</v>
      </c>
      <c r="P129" s="80"/>
      <c r="Q129" s="78">
        <f t="shared" si="19"/>
        <v>2500</v>
      </c>
    </row>
    <row r="130" spans="1:17" ht="12.75" hidden="1">
      <c r="A130" s="37" t="s">
        <v>78</v>
      </c>
      <c r="B130" s="100"/>
      <c r="C130" s="292"/>
      <c r="D130" s="213"/>
      <c r="E130" s="213"/>
      <c r="F130" s="229">
        <f>C130+D130+E130</f>
        <v>0</v>
      </c>
      <c r="G130" s="268"/>
      <c r="H130" s="10"/>
      <c r="I130" s="248">
        <f>F130+G130+H130</f>
        <v>0</v>
      </c>
      <c r="J130" s="177"/>
      <c r="K130" s="10"/>
      <c r="L130" s="71">
        <f>I130+J130+K130</f>
        <v>0</v>
      </c>
      <c r="M130" s="26"/>
      <c r="N130" s="10"/>
      <c r="O130" s="27">
        <f>L130+M130+N130</f>
        <v>0</v>
      </c>
      <c r="P130" s="83"/>
      <c r="Q130" s="84">
        <f t="shared" si="19"/>
        <v>0</v>
      </c>
    </row>
    <row r="131" spans="1:17" ht="12.75">
      <c r="A131" s="35" t="s">
        <v>79</v>
      </c>
      <c r="B131" s="101"/>
      <c r="C131" s="199">
        <f>C132+C137</f>
        <v>64210</v>
      </c>
      <c r="D131" s="147">
        <f>D132+D137</f>
        <v>26046.79</v>
      </c>
      <c r="E131" s="147">
        <f>E132+E137</f>
        <v>0</v>
      </c>
      <c r="F131" s="131">
        <f>F132+F137</f>
        <v>90256.79</v>
      </c>
      <c r="G131" s="267">
        <f aca="true" t="shared" si="44" ref="G131:Q131">G132+G137</f>
        <v>1251.29</v>
      </c>
      <c r="H131" s="116">
        <f t="shared" si="44"/>
        <v>0</v>
      </c>
      <c r="I131" s="226">
        <f t="shared" si="44"/>
        <v>91508.07999999999</v>
      </c>
      <c r="J131" s="161">
        <f t="shared" si="44"/>
        <v>0</v>
      </c>
      <c r="K131" s="161">
        <f t="shared" si="44"/>
        <v>0</v>
      </c>
      <c r="L131" s="161">
        <f t="shared" si="44"/>
        <v>91508.07999999999</v>
      </c>
      <c r="M131" s="161">
        <f t="shared" si="44"/>
        <v>0</v>
      </c>
      <c r="N131" s="161">
        <f t="shared" si="44"/>
        <v>0</v>
      </c>
      <c r="O131" s="161">
        <f t="shared" si="44"/>
        <v>91508.07999999999</v>
      </c>
      <c r="P131" s="161">
        <f t="shared" si="44"/>
        <v>0</v>
      </c>
      <c r="Q131" s="161">
        <f t="shared" si="44"/>
        <v>91508.07999999999</v>
      </c>
    </row>
    <row r="132" spans="1:17" ht="12.75">
      <c r="A132" s="40" t="s">
        <v>49</v>
      </c>
      <c r="B132" s="101"/>
      <c r="C132" s="200">
        <f>SUM(C134:C136)</f>
        <v>47210</v>
      </c>
      <c r="D132" s="149">
        <f>SUM(D134:D136)</f>
        <v>11526.31</v>
      </c>
      <c r="E132" s="149">
        <f>SUM(E134:E136)</f>
        <v>0</v>
      </c>
      <c r="F132" s="175">
        <f>SUM(F134:F136)</f>
        <v>58736.31</v>
      </c>
      <c r="G132" s="265">
        <f aca="true" t="shared" si="45" ref="G132:Q132">SUM(G134:G136)</f>
        <v>0</v>
      </c>
      <c r="H132" s="119">
        <f t="shared" si="45"/>
        <v>0</v>
      </c>
      <c r="I132" s="246">
        <f t="shared" si="45"/>
        <v>58736.31</v>
      </c>
      <c r="J132" s="163">
        <f t="shared" si="45"/>
        <v>0</v>
      </c>
      <c r="K132" s="163">
        <f t="shared" si="45"/>
        <v>0</v>
      </c>
      <c r="L132" s="163">
        <f t="shared" si="45"/>
        <v>58736.31</v>
      </c>
      <c r="M132" s="163">
        <f t="shared" si="45"/>
        <v>0</v>
      </c>
      <c r="N132" s="163">
        <f t="shared" si="45"/>
        <v>0</v>
      </c>
      <c r="O132" s="163">
        <f t="shared" si="45"/>
        <v>58736.31</v>
      </c>
      <c r="P132" s="163">
        <f t="shared" si="45"/>
        <v>0</v>
      </c>
      <c r="Q132" s="163">
        <f t="shared" si="45"/>
        <v>58736.31</v>
      </c>
    </row>
    <row r="133" spans="1:17" ht="12.75">
      <c r="A133" s="36" t="s">
        <v>26</v>
      </c>
      <c r="B133" s="97"/>
      <c r="C133" s="197"/>
      <c r="D133" s="146"/>
      <c r="E133" s="146"/>
      <c r="F133" s="140"/>
      <c r="G133" s="263"/>
      <c r="H133" s="7"/>
      <c r="I133" s="243"/>
      <c r="J133" s="86"/>
      <c r="K133" s="7"/>
      <c r="L133" s="68"/>
      <c r="M133" s="22"/>
      <c r="N133" s="7"/>
      <c r="O133" s="21"/>
      <c r="P133" s="80"/>
      <c r="Q133" s="78"/>
    </row>
    <row r="134" spans="1:17" ht="12.75">
      <c r="A134" s="34" t="s">
        <v>51</v>
      </c>
      <c r="B134" s="97"/>
      <c r="C134" s="197">
        <v>23210</v>
      </c>
      <c r="D134" s="146">
        <f>10326.31</f>
        <v>10326.31</v>
      </c>
      <c r="E134" s="146"/>
      <c r="F134" s="134">
        <f>C134+D134+E134</f>
        <v>33536.31</v>
      </c>
      <c r="G134" s="263"/>
      <c r="H134" s="7"/>
      <c r="I134" s="244">
        <f>F134+G134+H134</f>
        <v>33536.31</v>
      </c>
      <c r="J134" s="86"/>
      <c r="K134" s="7"/>
      <c r="L134" s="72">
        <f>I134+J134+K134</f>
        <v>33536.31</v>
      </c>
      <c r="M134" s="22"/>
      <c r="N134" s="7"/>
      <c r="O134" s="23">
        <f>L134+M134+N134</f>
        <v>33536.31</v>
      </c>
      <c r="P134" s="80"/>
      <c r="Q134" s="78">
        <f t="shared" si="19"/>
        <v>33536.31</v>
      </c>
    </row>
    <row r="135" spans="1:17" ht="12.75" hidden="1">
      <c r="A135" s="34" t="s">
        <v>78</v>
      </c>
      <c r="B135" s="97"/>
      <c r="C135" s="197"/>
      <c r="D135" s="146"/>
      <c r="E135" s="146"/>
      <c r="F135" s="134">
        <f>C135+D135+E135</f>
        <v>0</v>
      </c>
      <c r="G135" s="263"/>
      <c r="H135" s="7"/>
      <c r="I135" s="244"/>
      <c r="J135" s="86"/>
      <c r="K135" s="7"/>
      <c r="L135" s="72"/>
      <c r="M135" s="22"/>
      <c r="N135" s="7"/>
      <c r="O135" s="23">
        <f>L135+M135+N135</f>
        <v>0</v>
      </c>
      <c r="P135" s="80"/>
      <c r="Q135" s="78">
        <f t="shared" si="19"/>
        <v>0</v>
      </c>
    </row>
    <row r="136" spans="1:17" ht="12.75">
      <c r="A136" s="34" t="s">
        <v>80</v>
      </c>
      <c r="B136" s="97"/>
      <c r="C136" s="197">
        <v>24000</v>
      </c>
      <c r="D136" s="146">
        <f>1200</f>
        <v>1200</v>
      </c>
      <c r="E136" s="146"/>
      <c r="F136" s="134">
        <f>C136+D136+E136</f>
        <v>25200</v>
      </c>
      <c r="G136" s="263"/>
      <c r="H136" s="7"/>
      <c r="I136" s="244">
        <f>F136+G136+H136</f>
        <v>25200</v>
      </c>
      <c r="J136" s="86"/>
      <c r="K136" s="7"/>
      <c r="L136" s="72">
        <f>I136+J136+K136</f>
        <v>25200</v>
      </c>
      <c r="M136" s="22"/>
      <c r="N136" s="7"/>
      <c r="O136" s="23">
        <f>L136+M136+N136</f>
        <v>25200</v>
      </c>
      <c r="P136" s="80"/>
      <c r="Q136" s="78">
        <f>O136+P136</f>
        <v>25200</v>
      </c>
    </row>
    <row r="137" spans="1:17" ht="12.75">
      <c r="A137" s="41" t="s">
        <v>54</v>
      </c>
      <c r="B137" s="101"/>
      <c r="C137" s="201">
        <f>SUM(C139:C142)</f>
        <v>17000</v>
      </c>
      <c r="D137" s="150">
        <f aca="true" t="shared" si="46" ref="D137:Q137">SUM(D139:D142)</f>
        <v>14520.48</v>
      </c>
      <c r="E137" s="150">
        <f t="shared" si="46"/>
        <v>0</v>
      </c>
      <c r="F137" s="176">
        <f t="shared" si="46"/>
        <v>31520.48</v>
      </c>
      <c r="G137" s="266">
        <f t="shared" si="46"/>
        <v>1251.29</v>
      </c>
      <c r="H137" s="121">
        <f t="shared" si="46"/>
        <v>0</v>
      </c>
      <c r="I137" s="247">
        <f t="shared" si="46"/>
        <v>32771.77</v>
      </c>
      <c r="J137" s="164">
        <f t="shared" si="46"/>
        <v>0</v>
      </c>
      <c r="K137" s="164">
        <f t="shared" si="46"/>
        <v>0</v>
      </c>
      <c r="L137" s="164">
        <f t="shared" si="46"/>
        <v>32771.77</v>
      </c>
      <c r="M137" s="164">
        <f t="shared" si="46"/>
        <v>0</v>
      </c>
      <c r="N137" s="164">
        <f t="shared" si="46"/>
        <v>0</v>
      </c>
      <c r="O137" s="164">
        <f t="shared" si="46"/>
        <v>32771.77</v>
      </c>
      <c r="P137" s="164">
        <f t="shared" si="46"/>
        <v>0</v>
      </c>
      <c r="Q137" s="164">
        <f t="shared" si="46"/>
        <v>32771.77</v>
      </c>
    </row>
    <row r="138" spans="1:17" ht="12.75">
      <c r="A138" s="32" t="s">
        <v>26</v>
      </c>
      <c r="B138" s="97"/>
      <c r="C138" s="199"/>
      <c r="D138" s="147"/>
      <c r="E138" s="147"/>
      <c r="F138" s="131"/>
      <c r="G138" s="267"/>
      <c r="H138" s="8"/>
      <c r="I138" s="226"/>
      <c r="J138" s="173"/>
      <c r="K138" s="8"/>
      <c r="L138" s="28"/>
      <c r="M138" s="24"/>
      <c r="N138" s="8"/>
      <c r="O138" s="25"/>
      <c r="P138" s="80"/>
      <c r="Q138" s="78"/>
    </row>
    <row r="139" spans="1:17" ht="12.75" hidden="1">
      <c r="A139" s="34" t="s">
        <v>161</v>
      </c>
      <c r="B139" s="97">
        <v>98861</v>
      </c>
      <c r="C139" s="197"/>
      <c r="D139" s="146"/>
      <c r="E139" s="146"/>
      <c r="F139" s="134">
        <f>C139+D139+E139</f>
        <v>0</v>
      </c>
      <c r="G139" s="267"/>
      <c r="H139" s="8"/>
      <c r="I139" s="244"/>
      <c r="J139" s="173"/>
      <c r="K139" s="8"/>
      <c r="L139" s="72"/>
      <c r="M139" s="24"/>
      <c r="N139" s="8"/>
      <c r="O139" s="23">
        <f>L139+M139+N139</f>
        <v>0</v>
      </c>
      <c r="P139" s="80"/>
      <c r="Q139" s="78">
        <f>O139+P139</f>
        <v>0</v>
      </c>
    </row>
    <row r="140" spans="1:17" ht="12.75" hidden="1">
      <c r="A140" s="34" t="s">
        <v>217</v>
      </c>
      <c r="B140" s="97">
        <v>7938</v>
      </c>
      <c r="C140" s="197"/>
      <c r="D140" s="146"/>
      <c r="E140" s="146"/>
      <c r="F140" s="134">
        <f>C140+D140+E140</f>
        <v>0</v>
      </c>
      <c r="G140" s="267"/>
      <c r="H140" s="8"/>
      <c r="I140" s="244"/>
      <c r="J140" s="173"/>
      <c r="K140" s="8"/>
      <c r="L140" s="72"/>
      <c r="M140" s="24"/>
      <c r="N140" s="8"/>
      <c r="O140" s="23"/>
      <c r="P140" s="80"/>
      <c r="Q140" s="78"/>
    </row>
    <row r="141" spans="1:17" ht="12.75" hidden="1">
      <c r="A141" s="34" t="s">
        <v>244</v>
      </c>
      <c r="B141" s="97"/>
      <c r="C141" s="197"/>
      <c r="D141" s="146"/>
      <c r="E141" s="146"/>
      <c r="F141" s="134">
        <f>C141+D141+E141</f>
        <v>0</v>
      </c>
      <c r="G141" s="267"/>
      <c r="H141" s="8"/>
      <c r="I141" s="244"/>
      <c r="J141" s="173"/>
      <c r="K141" s="8"/>
      <c r="L141" s="72"/>
      <c r="M141" s="24"/>
      <c r="N141" s="8"/>
      <c r="O141" s="23"/>
      <c r="P141" s="80"/>
      <c r="Q141" s="78"/>
    </row>
    <row r="142" spans="1:17" ht="12.75">
      <c r="A142" s="45" t="s">
        <v>55</v>
      </c>
      <c r="B142" s="100"/>
      <c r="C142" s="292">
        <v>17000</v>
      </c>
      <c r="D142" s="213">
        <f>14520.48</f>
        <v>14520.48</v>
      </c>
      <c r="E142" s="213"/>
      <c r="F142" s="229">
        <f>C142+D142+E142</f>
        <v>31520.48</v>
      </c>
      <c r="G142" s="268">
        <f>1251.29</f>
        <v>1251.29</v>
      </c>
      <c r="H142" s="10"/>
      <c r="I142" s="248">
        <f>F142+G142+H142</f>
        <v>32771.77</v>
      </c>
      <c r="J142" s="177"/>
      <c r="K142" s="10"/>
      <c r="L142" s="71">
        <f>I142+J142+K142</f>
        <v>32771.77</v>
      </c>
      <c r="M142" s="26"/>
      <c r="N142" s="10"/>
      <c r="O142" s="27">
        <f>L142+M142+N142</f>
        <v>32771.77</v>
      </c>
      <c r="P142" s="83"/>
      <c r="Q142" s="84">
        <f>O142+P142</f>
        <v>32771.77</v>
      </c>
    </row>
    <row r="143" spans="1:17" ht="12.75">
      <c r="A143" s="31" t="s">
        <v>265</v>
      </c>
      <c r="B143" s="101"/>
      <c r="C143" s="196">
        <f>C144+C164</f>
        <v>4910.1</v>
      </c>
      <c r="D143" s="129">
        <f>D144+D164</f>
        <v>239884.70999999996</v>
      </c>
      <c r="E143" s="129">
        <f>E144+E164</f>
        <v>0</v>
      </c>
      <c r="F143" s="140">
        <f>F144+F164</f>
        <v>244794.81</v>
      </c>
      <c r="G143" s="262">
        <f aca="true" t="shared" si="47" ref="G143:Q143">G144+G164</f>
        <v>-2715.88</v>
      </c>
      <c r="H143" s="112">
        <f t="shared" si="47"/>
        <v>0</v>
      </c>
      <c r="I143" s="243">
        <f t="shared" si="47"/>
        <v>242078.93</v>
      </c>
      <c r="J143" s="153">
        <f t="shared" si="47"/>
        <v>0</v>
      </c>
      <c r="K143" s="153">
        <f t="shared" si="47"/>
        <v>0</v>
      </c>
      <c r="L143" s="153">
        <f t="shared" si="47"/>
        <v>3710.7</v>
      </c>
      <c r="M143" s="153">
        <f t="shared" si="47"/>
        <v>0</v>
      </c>
      <c r="N143" s="153">
        <f t="shared" si="47"/>
        <v>0</v>
      </c>
      <c r="O143" s="153">
        <f t="shared" si="47"/>
        <v>3710.7</v>
      </c>
      <c r="P143" s="153">
        <f t="shared" si="47"/>
        <v>0</v>
      </c>
      <c r="Q143" s="153">
        <f t="shared" si="47"/>
        <v>3710.7</v>
      </c>
    </row>
    <row r="144" spans="1:17" ht="12.75">
      <c r="A144" s="40" t="s">
        <v>49</v>
      </c>
      <c r="B144" s="101"/>
      <c r="C144" s="200">
        <f>SUM(C146:C163)</f>
        <v>4910.1</v>
      </c>
      <c r="D144" s="149">
        <f>SUM(D146:D163)</f>
        <v>40411.03999999999</v>
      </c>
      <c r="E144" s="149">
        <f>SUM(E146:E163)</f>
        <v>0</v>
      </c>
      <c r="F144" s="175">
        <f>SUM(F146:F163)</f>
        <v>45321.14</v>
      </c>
      <c r="G144" s="265">
        <f aca="true" t="shared" si="48" ref="G144:Q144">SUM(G146:G163)</f>
        <v>-2715.88</v>
      </c>
      <c r="H144" s="119">
        <f t="shared" si="48"/>
        <v>0</v>
      </c>
      <c r="I144" s="246">
        <f t="shared" si="48"/>
        <v>42605.26</v>
      </c>
      <c r="J144" s="163">
        <f t="shared" si="48"/>
        <v>0</v>
      </c>
      <c r="K144" s="163">
        <f t="shared" si="48"/>
        <v>0</v>
      </c>
      <c r="L144" s="163">
        <f t="shared" si="48"/>
        <v>3710.7</v>
      </c>
      <c r="M144" s="163">
        <f t="shared" si="48"/>
        <v>0</v>
      </c>
      <c r="N144" s="163">
        <f t="shared" si="48"/>
        <v>0</v>
      </c>
      <c r="O144" s="163">
        <f t="shared" si="48"/>
        <v>3710.7</v>
      </c>
      <c r="P144" s="163">
        <f t="shared" si="48"/>
        <v>0</v>
      </c>
      <c r="Q144" s="163">
        <f t="shared" si="48"/>
        <v>3710.7</v>
      </c>
    </row>
    <row r="145" spans="1:17" ht="12.75">
      <c r="A145" s="32" t="s">
        <v>26</v>
      </c>
      <c r="B145" s="97"/>
      <c r="C145" s="199"/>
      <c r="D145" s="147"/>
      <c r="E145" s="147"/>
      <c r="F145" s="131"/>
      <c r="G145" s="267"/>
      <c r="H145" s="8"/>
      <c r="I145" s="226"/>
      <c r="J145" s="173"/>
      <c r="K145" s="8"/>
      <c r="L145" s="28"/>
      <c r="M145" s="24"/>
      <c r="N145" s="8"/>
      <c r="O145" s="25"/>
      <c r="P145" s="80"/>
      <c r="Q145" s="78"/>
    </row>
    <row r="146" spans="1:17" ht="12.75">
      <c r="A146" s="34" t="s">
        <v>51</v>
      </c>
      <c r="B146" s="97"/>
      <c r="C146" s="197">
        <v>3350.7</v>
      </c>
      <c r="D146" s="146">
        <f>360</f>
        <v>360</v>
      </c>
      <c r="E146" s="146"/>
      <c r="F146" s="134">
        <f aca="true" t="shared" si="49" ref="F146:F163">C146+D146+E146</f>
        <v>3710.7</v>
      </c>
      <c r="G146" s="263"/>
      <c r="H146" s="7"/>
      <c r="I146" s="244">
        <f>F146+G146+H146</f>
        <v>3710.7</v>
      </c>
      <c r="J146" s="239"/>
      <c r="K146" s="7"/>
      <c r="L146" s="72">
        <f>I146+J146+K146</f>
        <v>3710.7</v>
      </c>
      <c r="M146" s="30"/>
      <c r="N146" s="7"/>
      <c r="O146" s="23">
        <f>L146+M146+N146</f>
        <v>3710.7</v>
      </c>
      <c r="P146" s="80"/>
      <c r="Q146" s="78">
        <f>O146+P146</f>
        <v>3710.7</v>
      </c>
    </row>
    <row r="147" spans="1:17" ht="12.75" hidden="1">
      <c r="A147" s="98" t="s">
        <v>298</v>
      </c>
      <c r="B147" s="97">
        <v>2042</v>
      </c>
      <c r="C147" s="197"/>
      <c r="D147" s="146"/>
      <c r="E147" s="146"/>
      <c r="F147" s="134">
        <f t="shared" si="49"/>
        <v>0</v>
      </c>
      <c r="G147" s="263"/>
      <c r="H147" s="7"/>
      <c r="I147" s="244">
        <f aca="true" t="shared" si="50" ref="I147:I163">F147+G147+H147</f>
        <v>0</v>
      </c>
      <c r="J147" s="86"/>
      <c r="K147" s="7"/>
      <c r="L147" s="72">
        <f>I147+J147+K147</f>
        <v>0</v>
      </c>
      <c r="M147" s="22"/>
      <c r="N147" s="7"/>
      <c r="O147" s="23">
        <f>L147+M147+N147</f>
        <v>0</v>
      </c>
      <c r="P147" s="80"/>
      <c r="Q147" s="78">
        <f>O147+P147</f>
        <v>0</v>
      </c>
    </row>
    <row r="148" spans="1:17" ht="12.75">
      <c r="A148" s="98" t="s">
        <v>299</v>
      </c>
      <c r="B148" s="97">
        <v>2045</v>
      </c>
      <c r="C148" s="197"/>
      <c r="D148" s="146">
        <f>1866.49</f>
        <v>1866.49</v>
      </c>
      <c r="E148" s="146"/>
      <c r="F148" s="134">
        <f t="shared" si="49"/>
        <v>1866.49</v>
      </c>
      <c r="G148" s="263"/>
      <c r="H148" s="7"/>
      <c r="I148" s="244">
        <f t="shared" si="50"/>
        <v>1866.49</v>
      </c>
      <c r="J148" s="86"/>
      <c r="K148" s="7"/>
      <c r="L148" s="72"/>
      <c r="M148" s="22"/>
      <c r="N148" s="7"/>
      <c r="O148" s="23"/>
      <c r="P148" s="80"/>
      <c r="Q148" s="78"/>
    </row>
    <row r="149" spans="1:17" ht="12.75">
      <c r="A149" s="98" t="s">
        <v>308</v>
      </c>
      <c r="B149" s="97">
        <v>2046</v>
      </c>
      <c r="C149" s="197"/>
      <c r="D149" s="146">
        <f>4982.3</f>
        <v>4982.3</v>
      </c>
      <c r="E149" s="146"/>
      <c r="F149" s="134">
        <f t="shared" si="49"/>
        <v>4982.3</v>
      </c>
      <c r="G149" s="263"/>
      <c r="H149" s="7"/>
      <c r="I149" s="244">
        <f t="shared" si="50"/>
        <v>4982.3</v>
      </c>
      <c r="J149" s="86"/>
      <c r="K149" s="7"/>
      <c r="L149" s="72"/>
      <c r="M149" s="22"/>
      <c r="N149" s="7"/>
      <c r="O149" s="23"/>
      <c r="P149" s="80"/>
      <c r="Q149" s="78"/>
    </row>
    <row r="150" spans="1:17" ht="12.75">
      <c r="A150" s="98" t="s">
        <v>300</v>
      </c>
      <c r="B150" s="97">
        <v>2016</v>
      </c>
      <c r="C150" s="197"/>
      <c r="D150" s="146">
        <f>1422.76</f>
        <v>1422.76</v>
      </c>
      <c r="E150" s="146"/>
      <c r="F150" s="134">
        <f t="shared" si="49"/>
        <v>1422.76</v>
      </c>
      <c r="G150" s="263"/>
      <c r="H150" s="7"/>
      <c r="I150" s="244">
        <f t="shared" si="50"/>
        <v>1422.76</v>
      </c>
      <c r="J150" s="86"/>
      <c r="K150" s="7"/>
      <c r="L150" s="72"/>
      <c r="M150" s="22"/>
      <c r="N150" s="7"/>
      <c r="O150" s="23"/>
      <c r="P150" s="80"/>
      <c r="Q150" s="78"/>
    </row>
    <row r="151" spans="1:17" ht="12.75">
      <c r="A151" s="98" t="s">
        <v>337</v>
      </c>
      <c r="B151" s="97">
        <v>2016</v>
      </c>
      <c r="C151" s="197"/>
      <c r="D151" s="146"/>
      <c r="E151" s="146"/>
      <c r="F151" s="134">
        <f t="shared" si="49"/>
        <v>0</v>
      </c>
      <c r="G151" s="263">
        <f>638.93</f>
        <v>638.93</v>
      </c>
      <c r="H151" s="7"/>
      <c r="I151" s="244">
        <f t="shared" si="50"/>
        <v>638.93</v>
      </c>
      <c r="J151" s="86"/>
      <c r="K151" s="7"/>
      <c r="L151" s="72"/>
      <c r="M151" s="22"/>
      <c r="N151" s="7"/>
      <c r="O151" s="23"/>
      <c r="P151" s="80"/>
      <c r="Q151" s="78"/>
    </row>
    <row r="152" spans="1:17" ht="12.75">
      <c r="A152" s="43" t="s">
        <v>301</v>
      </c>
      <c r="B152" s="97">
        <v>2057</v>
      </c>
      <c r="C152" s="197"/>
      <c r="D152" s="146">
        <f>15.32</f>
        <v>15.32</v>
      </c>
      <c r="E152" s="146"/>
      <c r="F152" s="134">
        <f t="shared" si="49"/>
        <v>15.32</v>
      </c>
      <c r="G152" s="263"/>
      <c r="H152" s="7"/>
      <c r="I152" s="244">
        <f t="shared" si="50"/>
        <v>15.32</v>
      </c>
      <c r="J152" s="86"/>
      <c r="K152" s="7"/>
      <c r="L152" s="72"/>
      <c r="M152" s="22"/>
      <c r="N152" s="7"/>
      <c r="O152" s="23"/>
      <c r="P152" s="80"/>
      <c r="Q152" s="78"/>
    </row>
    <row r="153" spans="1:17" ht="12.75">
      <c r="A153" s="43" t="s">
        <v>302</v>
      </c>
      <c r="B153" s="97">
        <v>2064</v>
      </c>
      <c r="C153" s="197"/>
      <c r="D153" s="146">
        <f>3511.85+127.5</f>
        <v>3639.35</v>
      </c>
      <c r="E153" s="146"/>
      <c r="F153" s="134">
        <f t="shared" si="49"/>
        <v>3639.35</v>
      </c>
      <c r="G153" s="263"/>
      <c r="H153" s="7"/>
      <c r="I153" s="244">
        <f t="shared" si="50"/>
        <v>3639.35</v>
      </c>
      <c r="J153" s="86"/>
      <c r="K153" s="7"/>
      <c r="L153" s="72"/>
      <c r="M153" s="22"/>
      <c r="N153" s="7"/>
      <c r="O153" s="23"/>
      <c r="P153" s="80"/>
      <c r="Q153" s="78"/>
    </row>
    <row r="154" spans="1:17" ht="12.75">
      <c r="A154" s="43" t="s">
        <v>314</v>
      </c>
      <c r="B154" s="97">
        <v>2079</v>
      </c>
      <c r="C154" s="197"/>
      <c r="D154" s="146">
        <f>3742.33</f>
        <v>3742.33</v>
      </c>
      <c r="E154" s="146"/>
      <c r="F154" s="134">
        <f t="shared" si="49"/>
        <v>3742.33</v>
      </c>
      <c r="G154" s="263"/>
      <c r="H154" s="7"/>
      <c r="I154" s="244">
        <f t="shared" si="50"/>
        <v>3742.33</v>
      </c>
      <c r="J154" s="86"/>
      <c r="K154" s="7"/>
      <c r="L154" s="72"/>
      <c r="M154" s="22"/>
      <c r="N154" s="7"/>
      <c r="O154" s="23"/>
      <c r="P154" s="80"/>
      <c r="Q154" s="78"/>
    </row>
    <row r="155" spans="1:17" ht="12.75">
      <c r="A155" s="98" t="s">
        <v>315</v>
      </c>
      <c r="B155" s="97">
        <v>2079</v>
      </c>
      <c r="C155" s="197"/>
      <c r="D155" s="146">
        <f>4049.47</f>
        <v>4049.47</v>
      </c>
      <c r="E155" s="146"/>
      <c r="F155" s="134">
        <f t="shared" si="49"/>
        <v>4049.47</v>
      </c>
      <c r="G155" s="263"/>
      <c r="H155" s="7"/>
      <c r="I155" s="244">
        <f t="shared" si="50"/>
        <v>4049.47</v>
      </c>
      <c r="J155" s="86"/>
      <c r="K155" s="7"/>
      <c r="L155" s="72"/>
      <c r="M155" s="22"/>
      <c r="N155" s="7"/>
      <c r="O155" s="23"/>
      <c r="P155" s="80"/>
      <c r="Q155" s="78"/>
    </row>
    <row r="156" spans="1:17" ht="12.75">
      <c r="A156" s="43" t="s">
        <v>303</v>
      </c>
      <c r="B156" s="97">
        <v>2067</v>
      </c>
      <c r="C156" s="197"/>
      <c r="D156" s="146">
        <f>0.27</f>
        <v>0.27</v>
      </c>
      <c r="E156" s="146"/>
      <c r="F156" s="134">
        <f t="shared" si="49"/>
        <v>0.27</v>
      </c>
      <c r="G156" s="263"/>
      <c r="H156" s="7"/>
      <c r="I156" s="244">
        <f t="shared" si="50"/>
        <v>0.27</v>
      </c>
      <c r="J156" s="86"/>
      <c r="K156" s="7"/>
      <c r="L156" s="72"/>
      <c r="M156" s="22"/>
      <c r="N156" s="7"/>
      <c r="O156" s="23"/>
      <c r="P156" s="80"/>
      <c r="Q156" s="78"/>
    </row>
    <row r="157" spans="1:17" ht="12.75">
      <c r="A157" s="43" t="s">
        <v>297</v>
      </c>
      <c r="B157" s="97">
        <v>2067</v>
      </c>
      <c r="C157" s="197"/>
      <c r="D157" s="146">
        <f>2217.64</f>
        <v>2217.64</v>
      </c>
      <c r="E157" s="146"/>
      <c r="F157" s="134">
        <f t="shared" si="49"/>
        <v>2217.64</v>
      </c>
      <c r="G157" s="263"/>
      <c r="H157" s="7"/>
      <c r="I157" s="244">
        <f t="shared" si="50"/>
        <v>2217.64</v>
      </c>
      <c r="J157" s="86"/>
      <c r="K157" s="7"/>
      <c r="L157" s="72"/>
      <c r="M157" s="22"/>
      <c r="N157" s="7"/>
      <c r="O157" s="23"/>
      <c r="P157" s="80"/>
      <c r="Q157" s="78"/>
    </row>
    <row r="158" spans="1:17" ht="12.75">
      <c r="A158" s="43" t="s">
        <v>320</v>
      </c>
      <c r="B158" s="97">
        <v>2074</v>
      </c>
      <c r="C158" s="197"/>
      <c r="D158" s="146">
        <f>612.62</f>
        <v>612.62</v>
      </c>
      <c r="E158" s="146"/>
      <c r="F158" s="134">
        <f t="shared" si="49"/>
        <v>612.62</v>
      </c>
      <c r="G158" s="263"/>
      <c r="H158" s="7"/>
      <c r="I158" s="244">
        <f t="shared" si="50"/>
        <v>612.62</v>
      </c>
      <c r="J158" s="86"/>
      <c r="K158" s="7"/>
      <c r="L158" s="72"/>
      <c r="M158" s="22"/>
      <c r="N158" s="7"/>
      <c r="O158" s="23"/>
      <c r="P158" s="80"/>
      <c r="Q158" s="78"/>
    </row>
    <row r="159" spans="1:17" ht="12.75">
      <c r="A159" s="43" t="s">
        <v>319</v>
      </c>
      <c r="B159" s="97">
        <v>2074</v>
      </c>
      <c r="C159" s="197"/>
      <c r="D159" s="146">
        <f>1738.53</f>
        <v>1738.53</v>
      </c>
      <c r="E159" s="146"/>
      <c r="F159" s="134">
        <f t="shared" si="49"/>
        <v>1738.53</v>
      </c>
      <c r="G159" s="263"/>
      <c r="H159" s="7"/>
      <c r="I159" s="244">
        <f t="shared" si="50"/>
        <v>1738.53</v>
      </c>
      <c r="J159" s="86"/>
      <c r="K159" s="7"/>
      <c r="L159" s="72"/>
      <c r="M159" s="22"/>
      <c r="N159" s="7"/>
      <c r="O159" s="23"/>
      <c r="P159" s="80"/>
      <c r="Q159" s="78"/>
    </row>
    <row r="160" spans="1:17" ht="12.75">
      <c r="A160" s="98" t="s">
        <v>317</v>
      </c>
      <c r="B160" s="97">
        <v>2068</v>
      </c>
      <c r="C160" s="197"/>
      <c r="D160" s="146">
        <f>4636.84</f>
        <v>4636.84</v>
      </c>
      <c r="E160" s="146"/>
      <c r="F160" s="134">
        <f t="shared" si="49"/>
        <v>4636.84</v>
      </c>
      <c r="G160" s="263"/>
      <c r="H160" s="7"/>
      <c r="I160" s="244">
        <f t="shared" si="50"/>
        <v>4636.84</v>
      </c>
      <c r="J160" s="86"/>
      <c r="K160" s="7"/>
      <c r="L160" s="72"/>
      <c r="M160" s="22"/>
      <c r="N160" s="7"/>
      <c r="O160" s="23"/>
      <c r="P160" s="80"/>
      <c r="Q160" s="78"/>
    </row>
    <row r="161" spans="1:17" ht="12.75">
      <c r="A161" s="98" t="s">
        <v>318</v>
      </c>
      <c r="B161" s="97">
        <v>2242</v>
      </c>
      <c r="C161" s="197"/>
      <c r="D161" s="146">
        <f>375.64</f>
        <v>375.64</v>
      </c>
      <c r="E161" s="146"/>
      <c r="F161" s="134">
        <f t="shared" si="49"/>
        <v>375.64</v>
      </c>
      <c r="G161" s="263"/>
      <c r="H161" s="7"/>
      <c r="I161" s="244">
        <f t="shared" si="50"/>
        <v>375.64</v>
      </c>
      <c r="J161" s="86"/>
      <c r="K161" s="7"/>
      <c r="L161" s="72"/>
      <c r="M161" s="22"/>
      <c r="N161" s="7"/>
      <c r="O161" s="23"/>
      <c r="P161" s="80"/>
      <c r="Q161" s="78"/>
    </row>
    <row r="162" spans="1:17" ht="12.75" hidden="1">
      <c r="A162" s="98" t="s">
        <v>304</v>
      </c>
      <c r="B162" s="97">
        <v>2058</v>
      </c>
      <c r="C162" s="197"/>
      <c r="D162" s="146"/>
      <c r="E162" s="146"/>
      <c r="F162" s="134">
        <f t="shared" si="49"/>
        <v>0</v>
      </c>
      <c r="G162" s="263"/>
      <c r="H162" s="7"/>
      <c r="I162" s="244">
        <f t="shared" si="50"/>
        <v>0</v>
      </c>
      <c r="J162" s="86"/>
      <c r="K162" s="7"/>
      <c r="L162" s="72"/>
      <c r="M162" s="22"/>
      <c r="N162" s="7"/>
      <c r="O162" s="23"/>
      <c r="P162" s="80"/>
      <c r="Q162" s="78"/>
    </row>
    <row r="163" spans="1:17" ht="12.75">
      <c r="A163" s="34" t="s">
        <v>78</v>
      </c>
      <c r="B163" s="97"/>
      <c r="C163" s="197">
        <v>1559.4</v>
      </c>
      <c r="D163" s="146">
        <f>954+159.54+332.5+85.99+1428.88+391.14+155.61+7243.82</f>
        <v>10751.48</v>
      </c>
      <c r="E163" s="146"/>
      <c r="F163" s="134">
        <f t="shared" si="49"/>
        <v>12310.88</v>
      </c>
      <c r="G163" s="263">
        <f>-2900+747-1201.81</f>
        <v>-3354.81</v>
      </c>
      <c r="H163" s="7"/>
      <c r="I163" s="244">
        <f t="shared" si="50"/>
        <v>8956.07</v>
      </c>
      <c r="J163" s="86"/>
      <c r="K163" s="7"/>
      <c r="L163" s="72"/>
      <c r="M163" s="22"/>
      <c r="N163" s="7"/>
      <c r="O163" s="23"/>
      <c r="P163" s="80"/>
      <c r="Q163" s="78"/>
    </row>
    <row r="164" spans="1:17" ht="12.75">
      <c r="A164" s="41" t="s">
        <v>54</v>
      </c>
      <c r="B164" s="101"/>
      <c r="C164" s="201">
        <f>SUM(C166:C172)</f>
        <v>0</v>
      </c>
      <c r="D164" s="150">
        <f aca="true" t="shared" si="51" ref="D164:Q164">SUM(D166:D172)</f>
        <v>199473.66999999998</v>
      </c>
      <c r="E164" s="150">
        <f t="shared" si="51"/>
        <v>0</v>
      </c>
      <c r="F164" s="176">
        <f t="shared" si="51"/>
        <v>199473.66999999998</v>
      </c>
      <c r="G164" s="266">
        <f t="shared" si="51"/>
        <v>0</v>
      </c>
      <c r="H164" s="121">
        <f t="shared" si="51"/>
        <v>0</v>
      </c>
      <c r="I164" s="247">
        <f t="shared" si="51"/>
        <v>199473.66999999998</v>
      </c>
      <c r="J164" s="176">
        <f t="shared" si="51"/>
        <v>0</v>
      </c>
      <c r="K164" s="121">
        <f t="shared" si="51"/>
        <v>0</v>
      </c>
      <c r="L164" s="150">
        <f t="shared" si="51"/>
        <v>0</v>
      </c>
      <c r="M164" s="120">
        <f t="shared" si="51"/>
        <v>0</v>
      </c>
      <c r="N164" s="120">
        <f t="shared" si="51"/>
        <v>0</v>
      </c>
      <c r="O164" s="120">
        <f t="shared" si="51"/>
        <v>0</v>
      </c>
      <c r="P164" s="120">
        <f t="shared" si="51"/>
        <v>0</v>
      </c>
      <c r="Q164" s="201">
        <f t="shared" si="51"/>
        <v>0</v>
      </c>
    </row>
    <row r="165" spans="1:17" ht="12.75">
      <c r="A165" s="43" t="s">
        <v>26</v>
      </c>
      <c r="B165" s="97"/>
      <c r="C165" s="197"/>
      <c r="D165" s="146"/>
      <c r="E165" s="146"/>
      <c r="F165" s="134"/>
      <c r="G165" s="263"/>
      <c r="H165" s="7"/>
      <c r="I165" s="244"/>
      <c r="J165" s="86"/>
      <c r="K165" s="7"/>
      <c r="L165" s="72"/>
      <c r="M165" s="22"/>
      <c r="N165" s="7"/>
      <c r="O165" s="23"/>
      <c r="P165" s="80"/>
      <c r="Q165" s="78"/>
    </row>
    <row r="166" spans="1:17" ht="12.75" hidden="1">
      <c r="A166" s="43" t="s">
        <v>316</v>
      </c>
      <c r="B166" s="97">
        <v>2057</v>
      </c>
      <c r="C166" s="197"/>
      <c r="D166" s="146"/>
      <c r="E166" s="146"/>
      <c r="F166" s="134">
        <f aca="true" t="shared" si="52" ref="F166:F172">C166+D166+E166</f>
        <v>0</v>
      </c>
      <c r="G166" s="263"/>
      <c r="H166" s="7"/>
      <c r="I166" s="244">
        <f>F166+G166+H166</f>
        <v>0</v>
      </c>
      <c r="J166" s="86"/>
      <c r="K166" s="7"/>
      <c r="L166" s="72">
        <f>I166+J166+K166</f>
        <v>0</v>
      </c>
      <c r="M166" s="22"/>
      <c r="N166" s="7"/>
      <c r="O166" s="23">
        <f>L166+M166+N166</f>
        <v>0</v>
      </c>
      <c r="P166" s="80"/>
      <c r="Q166" s="78">
        <f aca="true" t="shared" si="53" ref="Q166:Q219">O166+P166</f>
        <v>0</v>
      </c>
    </row>
    <row r="167" spans="1:17" ht="12.75" hidden="1">
      <c r="A167" s="43" t="s">
        <v>302</v>
      </c>
      <c r="B167" s="97">
        <v>2064</v>
      </c>
      <c r="C167" s="197"/>
      <c r="D167" s="146"/>
      <c r="E167" s="146"/>
      <c r="F167" s="134">
        <f t="shared" si="52"/>
        <v>0</v>
      </c>
      <c r="G167" s="263"/>
      <c r="H167" s="7"/>
      <c r="I167" s="244"/>
      <c r="J167" s="86"/>
      <c r="K167" s="7"/>
      <c r="L167" s="72"/>
      <c r="M167" s="22"/>
      <c r="N167" s="7"/>
      <c r="O167" s="23"/>
      <c r="P167" s="80"/>
      <c r="Q167" s="78"/>
    </row>
    <row r="168" spans="1:17" ht="12.75">
      <c r="A168" s="43" t="s">
        <v>314</v>
      </c>
      <c r="B168" s="97">
        <v>2079</v>
      </c>
      <c r="C168" s="197"/>
      <c r="D168" s="146">
        <f>99736.83</f>
        <v>99736.83</v>
      </c>
      <c r="E168" s="146"/>
      <c r="F168" s="134">
        <f t="shared" si="52"/>
        <v>99736.83</v>
      </c>
      <c r="G168" s="263"/>
      <c r="H168" s="7"/>
      <c r="I168" s="244">
        <f>F168+G168+H168</f>
        <v>99736.83</v>
      </c>
      <c r="J168" s="86"/>
      <c r="K168" s="7"/>
      <c r="L168" s="72"/>
      <c r="M168" s="22"/>
      <c r="N168" s="7"/>
      <c r="O168" s="23"/>
      <c r="P168" s="80"/>
      <c r="Q168" s="78"/>
    </row>
    <row r="169" spans="1:17" ht="12.75">
      <c r="A169" s="223" t="s">
        <v>315</v>
      </c>
      <c r="B169" s="100">
        <v>2079</v>
      </c>
      <c r="C169" s="292"/>
      <c r="D169" s="213">
        <f>99736.84</f>
        <v>99736.84</v>
      </c>
      <c r="E169" s="213"/>
      <c r="F169" s="229">
        <f t="shared" si="52"/>
        <v>99736.84</v>
      </c>
      <c r="G169" s="268"/>
      <c r="H169" s="10"/>
      <c r="I169" s="248">
        <f>F169+G169+H169</f>
        <v>99736.84</v>
      </c>
      <c r="J169" s="86"/>
      <c r="K169" s="7"/>
      <c r="L169" s="72"/>
      <c r="M169" s="22"/>
      <c r="N169" s="7"/>
      <c r="O169" s="23"/>
      <c r="P169" s="80"/>
      <c r="Q169" s="78"/>
    </row>
    <row r="170" spans="1:17" ht="12.75" hidden="1">
      <c r="A170" s="34" t="s">
        <v>69</v>
      </c>
      <c r="B170" s="97"/>
      <c r="C170" s="197"/>
      <c r="D170" s="146"/>
      <c r="E170" s="146"/>
      <c r="F170" s="134">
        <f t="shared" si="52"/>
        <v>0</v>
      </c>
      <c r="G170" s="263"/>
      <c r="H170" s="7"/>
      <c r="I170" s="244">
        <f>F170+G170+H170</f>
        <v>0</v>
      </c>
      <c r="J170" s="86"/>
      <c r="K170" s="7"/>
      <c r="L170" s="72">
        <f>I170+J170+K170</f>
        <v>0</v>
      </c>
      <c r="M170" s="22"/>
      <c r="N170" s="7"/>
      <c r="O170" s="23">
        <f>L170+M170+N170</f>
        <v>0</v>
      </c>
      <c r="P170" s="80"/>
      <c r="Q170" s="78">
        <f t="shared" si="53"/>
        <v>0</v>
      </c>
    </row>
    <row r="171" spans="1:17" ht="12.75" hidden="1">
      <c r="A171" s="37" t="s">
        <v>55</v>
      </c>
      <c r="B171" s="100"/>
      <c r="C171" s="292"/>
      <c r="D171" s="213"/>
      <c r="E171" s="213"/>
      <c r="F171" s="229">
        <f t="shared" si="52"/>
        <v>0</v>
      </c>
      <c r="G171" s="263"/>
      <c r="H171" s="7"/>
      <c r="I171" s="244">
        <f>F171+G171+H171</f>
        <v>0</v>
      </c>
      <c r="J171" s="86"/>
      <c r="K171" s="7"/>
      <c r="L171" s="72">
        <f>I171+J171+K171</f>
        <v>0</v>
      </c>
      <c r="M171" s="22"/>
      <c r="N171" s="7"/>
      <c r="O171" s="23">
        <f>L171+M171+N171</f>
        <v>0</v>
      </c>
      <c r="P171" s="80"/>
      <c r="Q171" s="78">
        <f t="shared" si="53"/>
        <v>0</v>
      </c>
    </row>
    <row r="172" spans="1:17" ht="12.75" hidden="1">
      <c r="A172" s="37" t="s">
        <v>78</v>
      </c>
      <c r="B172" s="100"/>
      <c r="C172" s="292"/>
      <c r="D172" s="213"/>
      <c r="E172" s="213"/>
      <c r="F172" s="229">
        <f t="shared" si="52"/>
        <v>0</v>
      </c>
      <c r="G172" s="268"/>
      <c r="H172" s="10"/>
      <c r="I172" s="248">
        <f>F172+G172+H172</f>
        <v>0</v>
      </c>
      <c r="J172" s="177"/>
      <c r="K172" s="10"/>
      <c r="L172" s="71">
        <f>I172+J172+K172</f>
        <v>0</v>
      </c>
      <c r="M172" s="26"/>
      <c r="N172" s="10"/>
      <c r="O172" s="27">
        <f>L172+M172+N172</f>
        <v>0</v>
      </c>
      <c r="P172" s="83"/>
      <c r="Q172" s="84">
        <f t="shared" si="53"/>
        <v>0</v>
      </c>
    </row>
    <row r="173" spans="1:17" ht="12.75">
      <c r="A173" s="31" t="s">
        <v>82</v>
      </c>
      <c r="B173" s="101"/>
      <c r="C173" s="196">
        <f aca="true" t="shared" si="54" ref="C173:Q173">C174+C211</f>
        <v>401602.02</v>
      </c>
      <c r="D173" s="129">
        <f t="shared" si="54"/>
        <v>8246377.53</v>
      </c>
      <c r="E173" s="129">
        <f t="shared" si="54"/>
        <v>0</v>
      </c>
      <c r="F173" s="140">
        <f t="shared" si="54"/>
        <v>8647979.550000003</v>
      </c>
      <c r="G173" s="262">
        <f t="shared" si="54"/>
        <v>127838.15999999997</v>
      </c>
      <c r="H173" s="112">
        <f t="shared" si="54"/>
        <v>0</v>
      </c>
      <c r="I173" s="243">
        <f t="shared" si="54"/>
        <v>8775817.709999999</v>
      </c>
      <c r="J173" s="140">
        <f t="shared" si="54"/>
        <v>0</v>
      </c>
      <c r="K173" s="112">
        <f t="shared" si="54"/>
        <v>0</v>
      </c>
      <c r="L173" s="129">
        <f t="shared" si="54"/>
        <v>627289.8400000001</v>
      </c>
      <c r="M173" s="111">
        <f t="shared" si="54"/>
        <v>0</v>
      </c>
      <c r="N173" s="111">
        <f t="shared" si="54"/>
        <v>0</v>
      </c>
      <c r="O173" s="111">
        <f t="shared" si="54"/>
        <v>627289.8400000001</v>
      </c>
      <c r="P173" s="111">
        <f t="shared" si="54"/>
        <v>0</v>
      </c>
      <c r="Q173" s="196">
        <f t="shared" si="54"/>
        <v>627289.8400000001</v>
      </c>
    </row>
    <row r="174" spans="1:17" ht="12.75">
      <c r="A174" s="40" t="s">
        <v>49</v>
      </c>
      <c r="B174" s="101"/>
      <c r="C174" s="200">
        <f aca="true" t="shared" si="55" ref="C174:Q174">SUM(C176:C210)</f>
        <v>400862.02</v>
      </c>
      <c r="D174" s="149">
        <f t="shared" si="55"/>
        <v>8245836.890000001</v>
      </c>
      <c r="E174" s="149">
        <f t="shared" si="55"/>
        <v>0</v>
      </c>
      <c r="F174" s="175">
        <f t="shared" si="55"/>
        <v>8646698.910000002</v>
      </c>
      <c r="G174" s="265">
        <f t="shared" si="55"/>
        <v>126174.39999999998</v>
      </c>
      <c r="H174" s="119">
        <f t="shared" si="55"/>
        <v>0</v>
      </c>
      <c r="I174" s="246">
        <f t="shared" si="55"/>
        <v>8772873.309999999</v>
      </c>
      <c r="J174" s="175">
        <f t="shared" si="55"/>
        <v>0</v>
      </c>
      <c r="K174" s="119">
        <f t="shared" si="55"/>
        <v>0</v>
      </c>
      <c r="L174" s="149">
        <f t="shared" si="55"/>
        <v>624345.4400000001</v>
      </c>
      <c r="M174" s="118">
        <f t="shared" si="55"/>
        <v>0</v>
      </c>
      <c r="N174" s="118">
        <f t="shared" si="55"/>
        <v>0</v>
      </c>
      <c r="O174" s="118">
        <f t="shared" si="55"/>
        <v>624345.4400000001</v>
      </c>
      <c r="P174" s="118">
        <f t="shared" si="55"/>
        <v>0</v>
      </c>
      <c r="Q174" s="200">
        <f t="shared" si="55"/>
        <v>624345.4400000001</v>
      </c>
    </row>
    <row r="175" spans="1:17" ht="12.75">
      <c r="A175" s="32" t="s">
        <v>26</v>
      </c>
      <c r="B175" s="97"/>
      <c r="C175" s="197"/>
      <c r="D175" s="146"/>
      <c r="E175" s="146"/>
      <c r="F175" s="134"/>
      <c r="G175" s="263"/>
      <c r="H175" s="7"/>
      <c r="I175" s="244"/>
      <c r="J175" s="86"/>
      <c r="K175" s="7"/>
      <c r="L175" s="72"/>
      <c r="M175" s="22"/>
      <c r="N175" s="7"/>
      <c r="O175" s="23"/>
      <c r="P175" s="80"/>
      <c r="Q175" s="78"/>
    </row>
    <row r="176" spans="1:17" ht="12.75">
      <c r="A176" s="38" t="s">
        <v>74</v>
      </c>
      <c r="B176" s="97"/>
      <c r="C176" s="197">
        <v>362078.95</v>
      </c>
      <c r="D176" s="146">
        <f>3980.63+15002.59</f>
        <v>18983.22</v>
      </c>
      <c r="E176" s="146"/>
      <c r="F176" s="134">
        <f aca="true" t="shared" si="56" ref="F176:F210">C176+D176+E176</f>
        <v>381062.17000000004</v>
      </c>
      <c r="G176" s="263">
        <f>3959.4+5000</f>
        <v>8959.4</v>
      </c>
      <c r="H176" s="7"/>
      <c r="I176" s="244">
        <f>F176+G176+H176</f>
        <v>390021.57000000007</v>
      </c>
      <c r="J176" s="86"/>
      <c r="K176" s="7"/>
      <c r="L176" s="72">
        <f>I176+J176+K176</f>
        <v>390021.57000000007</v>
      </c>
      <c r="M176" s="22"/>
      <c r="N176" s="7"/>
      <c r="O176" s="23">
        <f>L176+M176+N176</f>
        <v>390021.57000000007</v>
      </c>
      <c r="P176" s="80"/>
      <c r="Q176" s="78">
        <f t="shared" si="53"/>
        <v>390021.57000000007</v>
      </c>
    </row>
    <row r="177" spans="1:17" ht="12.75">
      <c r="A177" s="38" t="s">
        <v>291</v>
      </c>
      <c r="B177" s="97">
        <v>33353</v>
      </c>
      <c r="C177" s="197"/>
      <c r="D177" s="146">
        <f>8106896.7</f>
        <v>8106896.7</v>
      </c>
      <c r="E177" s="146"/>
      <c r="F177" s="134">
        <f t="shared" si="56"/>
        <v>8106896.7</v>
      </c>
      <c r="G177" s="263"/>
      <c r="H177" s="7"/>
      <c r="I177" s="244">
        <f aca="true" t="shared" si="57" ref="I177:I210">F177+G177+H177</f>
        <v>8106896.7</v>
      </c>
      <c r="J177" s="86"/>
      <c r="K177" s="7"/>
      <c r="L177" s="72"/>
      <c r="M177" s="22"/>
      <c r="N177" s="7"/>
      <c r="O177" s="23"/>
      <c r="P177" s="80"/>
      <c r="Q177" s="78"/>
    </row>
    <row r="178" spans="1:17" ht="12.75">
      <c r="A178" s="38" t="s">
        <v>292</v>
      </c>
      <c r="B178" s="97">
        <v>33155</v>
      </c>
      <c r="C178" s="197"/>
      <c r="D178" s="215">
        <v>100779.32</v>
      </c>
      <c r="E178" s="146"/>
      <c r="F178" s="134">
        <f t="shared" si="56"/>
        <v>100779.32</v>
      </c>
      <c r="G178" s="263">
        <f>91445.3</f>
        <v>91445.3</v>
      </c>
      <c r="H178" s="7"/>
      <c r="I178" s="244">
        <f t="shared" si="57"/>
        <v>192224.62</v>
      </c>
      <c r="J178" s="86"/>
      <c r="K178" s="7"/>
      <c r="L178" s="72">
        <f aca="true" t="shared" si="58" ref="L178:L210">I178+J178+K178</f>
        <v>192224.62</v>
      </c>
      <c r="M178" s="22"/>
      <c r="N178" s="7"/>
      <c r="O178" s="23">
        <f aca="true" t="shared" si="59" ref="O178:O210">L178+M178+N178</f>
        <v>192224.62</v>
      </c>
      <c r="P178" s="80"/>
      <c r="Q178" s="78">
        <f t="shared" si="53"/>
        <v>192224.62</v>
      </c>
    </row>
    <row r="179" spans="1:17" ht="12.75" hidden="1">
      <c r="A179" s="38" t="s">
        <v>83</v>
      </c>
      <c r="B179" s="97" t="s">
        <v>215</v>
      </c>
      <c r="C179" s="197"/>
      <c r="D179" s="146"/>
      <c r="E179" s="146"/>
      <c r="F179" s="134">
        <f t="shared" si="56"/>
        <v>0</v>
      </c>
      <c r="G179" s="263"/>
      <c r="H179" s="7"/>
      <c r="I179" s="244">
        <f t="shared" si="57"/>
        <v>0</v>
      </c>
      <c r="J179" s="86"/>
      <c r="K179" s="7"/>
      <c r="L179" s="72">
        <f t="shared" si="58"/>
        <v>0</v>
      </c>
      <c r="M179" s="22"/>
      <c r="N179" s="7"/>
      <c r="O179" s="23">
        <f t="shared" si="59"/>
        <v>0</v>
      </c>
      <c r="P179" s="80"/>
      <c r="Q179" s="78">
        <f t="shared" si="53"/>
        <v>0</v>
      </c>
    </row>
    <row r="180" spans="1:17" ht="12.75" hidden="1">
      <c r="A180" s="38" t="s">
        <v>138</v>
      </c>
      <c r="B180" s="97"/>
      <c r="C180" s="197"/>
      <c r="D180" s="146"/>
      <c r="E180" s="146"/>
      <c r="F180" s="134">
        <f t="shared" si="56"/>
        <v>0</v>
      </c>
      <c r="G180" s="263"/>
      <c r="H180" s="7"/>
      <c r="I180" s="244">
        <f t="shared" si="57"/>
        <v>0</v>
      </c>
      <c r="J180" s="86"/>
      <c r="K180" s="7"/>
      <c r="L180" s="72">
        <f t="shared" si="58"/>
        <v>0</v>
      </c>
      <c r="M180" s="22"/>
      <c r="N180" s="7"/>
      <c r="O180" s="23">
        <f t="shared" si="59"/>
        <v>0</v>
      </c>
      <c r="P180" s="80"/>
      <c r="Q180" s="78">
        <f t="shared" si="53"/>
        <v>0</v>
      </c>
    </row>
    <row r="181" spans="1:17" ht="12.75" hidden="1">
      <c r="A181" s="38" t="s">
        <v>212</v>
      </c>
      <c r="B181" s="97">
        <v>33215</v>
      </c>
      <c r="C181" s="197"/>
      <c r="D181" s="146"/>
      <c r="E181" s="146"/>
      <c r="F181" s="134">
        <f t="shared" si="56"/>
        <v>0</v>
      </c>
      <c r="G181" s="263"/>
      <c r="H181" s="7"/>
      <c r="I181" s="244">
        <f t="shared" si="57"/>
        <v>0</v>
      </c>
      <c r="J181" s="86"/>
      <c r="K181" s="7"/>
      <c r="L181" s="72">
        <f t="shared" si="58"/>
        <v>0</v>
      </c>
      <c r="M181" s="22"/>
      <c r="N181" s="7"/>
      <c r="O181" s="23">
        <f t="shared" si="59"/>
        <v>0</v>
      </c>
      <c r="P181" s="80"/>
      <c r="Q181" s="78">
        <f t="shared" si="53"/>
        <v>0</v>
      </c>
    </row>
    <row r="182" spans="1:17" ht="12.75" hidden="1">
      <c r="A182" s="38" t="s">
        <v>213</v>
      </c>
      <c r="B182" s="97">
        <v>33457</v>
      </c>
      <c r="C182" s="197"/>
      <c r="D182" s="146"/>
      <c r="E182" s="146"/>
      <c r="F182" s="134">
        <f t="shared" si="56"/>
        <v>0</v>
      </c>
      <c r="G182" s="263"/>
      <c r="H182" s="7"/>
      <c r="I182" s="244">
        <f t="shared" si="57"/>
        <v>0</v>
      </c>
      <c r="J182" s="86"/>
      <c r="K182" s="7"/>
      <c r="L182" s="72">
        <f t="shared" si="58"/>
        <v>0</v>
      </c>
      <c r="M182" s="22"/>
      <c r="N182" s="7"/>
      <c r="O182" s="23">
        <f t="shared" si="59"/>
        <v>0</v>
      </c>
      <c r="P182" s="80"/>
      <c r="Q182" s="78">
        <f t="shared" si="53"/>
        <v>0</v>
      </c>
    </row>
    <row r="183" spans="1:17" ht="12.75" hidden="1">
      <c r="A183" s="55" t="s">
        <v>194</v>
      </c>
      <c r="B183" s="97">
        <v>33052</v>
      </c>
      <c r="C183" s="197"/>
      <c r="D183" s="146"/>
      <c r="E183" s="146"/>
      <c r="F183" s="134">
        <f t="shared" si="56"/>
        <v>0</v>
      </c>
      <c r="G183" s="263"/>
      <c r="H183" s="7"/>
      <c r="I183" s="244">
        <f t="shared" si="57"/>
        <v>0</v>
      </c>
      <c r="J183" s="86"/>
      <c r="K183" s="7"/>
      <c r="L183" s="72">
        <f t="shared" si="58"/>
        <v>0</v>
      </c>
      <c r="M183" s="22"/>
      <c r="N183" s="7"/>
      <c r="O183" s="23">
        <f t="shared" si="59"/>
        <v>0</v>
      </c>
      <c r="P183" s="80"/>
      <c r="Q183" s="78">
        <f t="shared" si="53"/>
        <v>0</v>
      </c>
    </row>
    <row r="184" spans="1:17" ht="12.75">
      <c r="A184" s="38" t="s">
        <v>352</v>
      </c>
      <c r="B184" s="97">
        <v>33075</v>
      </c>
      <c r="C184" s="197"/>
      <c r="D184" s="146"/>
      <c r="E184" s="146"/>
      <c r="F184" s="134">
        <f t="shared" si="56"/>
        <v>0</v>
      </c>
      <c r="G184" s="263">
        <f>2070</f>
        <v>2070</v>
      </c>
      <c r="H184" s="7"/>
      <c r="I184" s="244">
        <f t="shared" si="57"/>
        <v>2070</v>
      </c>
      <c r="J184" s="86"/>
      <c r="K184" s="7"/>
      <c r="L184" s="72"/>
      <c r="M184" s="22"/>
      <c r="N184" s="7"/>
      <c r="O184" s="23"/>
      <c r="P184" s="80"/>
      <c r="Q184" s="78"/>
    </row>
    <row r="185" spans="1:17" ht="12.75" hidden="1">
      <c r="A185" s="55" t="s">
        <v>275</v>
      </c>
      <c r="B185" s="97">
        <v>33076</v>
      </c>
      <c r="C185" s="197"/>
      <c r="D185" s="146"/>
      <c r="E185" s="146"/>
      <c r="F185" s="134">
        <f t="shared" si="56"/>
        <v>0</v>
      </c>
      <c r="G185" s="263"/>
      <c r="H185" s="7"/>
      <c r="I185" s="244">
        <f t="shared" si="57"/>
        <v>0</v>
      </c>
      <c r="J185" s="86"/>
      <c r="K185" s="7"/>
      <c r="L185" s="72"/>
      <c r="M185" s="22"/>
      <c r="N185" s="7"/>
      <c r="O185" s="23"/>
      <c r="P185" s="80"/>
      <c r="Q185" s="78"/>
    </row>
    <row r="186" spans="1:17" ht="12.75" hidden="1">
      <c r="A186" s="55" t="s">
        <v>230</v>
      </c>
      <c r="B186" s="97">
        <v>33069</v>
      </c>
      <c r="C186" s="197"/>
      <c r="D186" s="146"/>
      <c r="E186" s="146"/>
      <c r="F186" s="134">
        <f t="shared" si="56"/>
        <v>0</v>
      </c>
      <c r="G186" s="263"/>
      <c r="H186" s="7"/>
      <c r="I186" s="244">
        <f t="shared" si="57"/>
        <v>0</v>
      </c>
      <c r="J186" s="86"/>
      <c r="K186" s="7"/>
      <c r="L186" s="72"/>
      <c r="M186" s="22"/>
      <c r="N186" s="7"/>
      <c r="O186" s="23"/>
      <c r="P186" s="80"/>
      <c r="Q186" s="78"/>
    </row>
    <row r="187" spans="1:17" ht="12.75" hidden="1">
      <c r="A187" s="55" t="s">
        <v>264</v>
      </c>
      <c r="B187" s="97">
        <v>33070</v>
      </c>
      <c r="C187" s="197"/>
      <c r="D187" s="146"/>
      <c r="E187" s="146"/>
      <c r="F187" s="134">
        <f t="shared" si="56"/>
        <v>0</v>
      </c>
      <c r="G187" s="263"/>
      <c r="H187" s="7"/>
      <c r="I187" s="244">
        <f t="shared" si="57"/>
        <v>0</v>
      </c>
      <c r="J187" s="86"/>
      <c r="K187" s="7"/>
      <c r="L187" s="72"/>
      <c r="M187" s="22"/>
      <c r="N187" s="7"/>
      <c r="O187" s="23"/>
      <c r="P187" s="80"/>
      <c r="Q187" s="78"/>
    </row>
    <row r="188" spans="1:17" ht="12.75">
      <c r="A188" s="38" t="s">
        <v>256</v>
      </c>
      <c r="B188" s="97">
        <v>33071</v>
      </c>
      <c r="C188" s="197"/>
      <c r="D188" s="146"/>
      <c r="E188" s="146"/>
      <c r="F188" s="134">
        <f t="shared" si="56"/>
        <v>0</v>
      </c>
      <c r="G188" s="263">
        <f>735</f>
        <v>735</v>
      </c>
      <c r="H188" s="7"/>
      <c r="I188" s="244">
        <f t="shared" si="57"/>
        <v>735</v>
      </c>
      <c r="J188" s="86"/>
      <c r="K188" s="7"/>
      <c r="L188" s="72">
        <f t="shared" si="58"/>
        <v>735</v>
      </c>
      <c r="M188" s="22"/>
      <c r="N188" s="7"/>
      <c r="O188" s="23">
        <f t="shared" si="59"/>
        <v>735</v>
      </c>
      <c r="P188" s="80"/>
      <c r="Q188" s="78">
        <f t="shared" si="53"/>
        <v>735</v>
      </c>
    </row>
    <row r="189" spans="1:17" ht="12.75" hidden="1">
      <c r="A189" s="38" t="s">
        <v>195</v>
      </c>
      <c r="B189" s="97">
        <v>33050</v>
      </c>
      <c r="C189" s="197"/>
      <c r="D189" s="146"/>
      <c r="E189" s="146"/>
      <c r="F189" s="134">
        <f t="shared" si="56"/>
        <v>0</v>
      </c>
      <c r="G189" s="263"/>
      <c r="H189" s="7"/>
      <c r="I189" s="244">
        <f t="shared" si="57"/>
        <v>0</v>
      </c>
      <c r="J189" s="86"/>
      <c r="K189" s="7"/>
      <c r="L189" s="72">
        <f t="shared" si="58"/>
        <v>0</v>
      </c>
      <c r="M189" s="22"/>
      <c r="N189" s="7"/>
      <c r="O189" s="23">
        <f t="shared" si="59"/>
        <v>0</v>
      </c>
      <c r="P189" s="80"/>
      <c r="Q189" s="78">
        <f t="shared" si="53"/>
        <v>0</v>
      </c>
    </row>
    <row r="190" spans="1:17" ht="12.75" hidden="1">
      <c r="A190" s="38" t="s">
        <v>150</v>
      </c>
      <c r="B190" s="97">
        <v>33435</v>
      </c>
      <c r="C190" s="197"/>
      <c r="D190" s="146"/>
      <c r="E190" s="146"/>
      <c r="F190" s="134">
        <f t="shared" si="56"/>
        <v>0</v>
      </c>
      <c r="G190" s="263"/>
      <c r="H190" s="7"/>
      <c r="I190" s="244">
        <f t="shared" si="57"/>
        <v>0</v>
      </c>
      <c r="J190" s="86"/>
      <c r="K190" s="7"/>
      <c r="L190" s="72">
        <f t="shared" si="58"/>
        <v>0</v>
      </c>
      <c r="M190" s="22"/>
      <c r="N190" s="7"/>
      <c r="O190" s="23">
        <f t="shared" si="59"/>
        <v>0</v>
      </c>
      <c r="P190" s="80"/>
      <c r="Q190" s="78">
        <f t="shared" si="53"/>
        <v>0</v>
      </c>
    </row>
    <row r="191" spans="1:17" ht="12.75" hidden="1">
      <c r="A191" s="38" t="s">
        <v>218</v>
      </c>
      <c r="B191" s="97">
        <v>33049</v>
      </c>
      <c r="C191" s="197"/>
      <c r="D191" s="146"/>
      <c r="E191" s="146"/>
      <c r="F191" s="134">
        <f t="shared" si="56"/>
        <v>0</v>
      </c>
      <c r="G191" s="263"/>
      <c r="H191" s="7"/>
      <c r="I191" s="244">
        <f t="shared" si="57"/>
        <v>0</v>
      </c>
      <c r="J191" s="86"/>
      <c r="K191" s="7"/>
      <c r="L191" s="72"/>
      <c r="M191" s="22"/>
      <c r="N191" s="7"/>
      <c r="O191" s="23"/>
      <c r="P191" s="80"/>
      <c r="Q191" s="78"/>
    </row>
    <row r="192" spans="1:17" ht="12.75" hidden="1">
      <c r="A192" s="38" t="s">
        <v>196</v>
      </c>
      <c r="B192" s="97">
        <v>33044</v>
      </c>
      <c r="C192" s="197"/>
      <c r="D192" s="146"/>
      <c r="E192" s="146"/>
      <c r="F192" s="134">
        <f t="shared" si="56"/>
        <v>0</v>
      </c>
      <c r="G192" s="263"/>
      <c r="H192" s="7"/>
      <c r="I192" s="244">
        <f t="shared" si="57"/>
        <v>0</v>
      </c>
      <c r="J192" s="86"/>
      <c r="K192" s="7"/>
      <c r="L192" s="72">
        <f t="shared" si="58"/>
        <v>0</v>
      </c>
      <c r="M192" s="22"/>
      <c r="N192" s="7"/>
      <c r="O192" s="23">
        <f t="shared" si="59"/>
        <v>0</v>
      </c>
      <c r="P192" s="80"/>
      <c r="Q192" s="78">
        <f t="shared" si="53"/>
        <v>0</v>
      </c>
    </row>
    <row r="193" spans="1:17" ht="12.75" hidden="1">
      <c r="A193" s="38" t="s">
        <v>201</v>
      </c>
      <c r="B193" s="97">
        <v>33024</v>
      </c>
      <c r="C193" s="197"/>
      <c r="D193" s="146"/>
      <c r="E193" s="146"/>
      <c r="F193" s="134">
        <f t="shared" si="56"/>
        <v>0</v>
      </c>
      <c r="G193" s="263"/>
      <c r="H193" s="7"/>
      <c r="I193" s="244">
        <f t="shared" si="57"/>
        <v>0</v>
      </c>
      <c r="J193" s="86"/>
      <c r="K193" s="7"/>
      <c r="L193" s="72"/>
      <c r="M193" s="22"/>
      <c r="N193" s="7"/>
      <c r="O193" s="23"/>
      <c r="P193" s="80"/>
      <c r="Q193" s="78"/>
    </row>
    <row r="194" spans="1:17" ht="12.75" hidden="1">
      <c r="A194" s="55" t="s">
        <v>155</v>
      </c>
      <c r="B194" s="97">
        <v>33018</v>
      </c>
      <c r="C194" s="197"/>
      <c r="D194" s="146"/>
      <c r="E194" s="146"/>
      <c r="F194" s="134">
        <f t="shared" si="56"/>
        <v>0</v>
      </c>
      <c r="G194" s="263"/>
      <c r="H194" s="7"/>
      <c r="I194" s="244">
        <f t="shared" si="57"/>
        <v>0</v>
      </c>
      <c r="J194" s="86"/>
      <c r="K194" s="7"/>
      <c r="L194" s="72">
        <f t="shared" si="58"/>
        <v>0</v>
      </c>
      <c r="M194" s="22"/>
      <c r="N194" s="7"/>
      <c r="O194" s="23">
        <f t="shared" si="59"/>
        <v>0</v>
      </c>
      <c r="P194" s="80"/>
      <c r="Q194" s="78">
        <f t="shared" si="53"/>
        <v>0</v>
      </c>
    </row>
    <row r="195" spans="1:17" ht="12.75" hidden="1">
      <c r="A195" s="36" t="s">
        <v>156</v>
      </c>
      <c r="B195" s="97"/>
      <c r="C195" s="197"/>
      <c r="D195" s="146"/>
      <c r="E195" s="146"/>
      <c r="F195" s="134">
        <f t="shared" si="56"/>
        <v>0</v>
      </c>
      <c r="G195" s="263"/>
      <c r="H195" s="7"/>
      <c r="I195" s="244">
        <f t="shared" si="57"/>
        <v>0</v>
      </c>
      <c r="J195" s="86"/>
      <c r="K195" s="7"/>
      <c r="L195" s="72">
        <f t="shared" si="58"/>
        <v>0</v>
      </c>
      <c r="M195" s="22"/>
      <c r="N195" s="7"/>
      <c r="O195" s="23">
        <f t="shared" si="59"/>
        <v>0</v>
      </c>
      <c r="P195" s="80"/>
      <c r="Q195" s="78">
        <f t="shared" si="53"/>
        <v>0</v>
      </c>
    </row>
    <row r="196" spans="1:17" ht="12.75">
      <c r="A196" s="55" t="s">
        <v>175</v>
      </c>
      <c r="B196" s="97">
        <v>33160</v>
      </c>
      <c r="C196" s="197"/>
      <c r="D196" s="146"/>
      <c r="E196" s="146"/>
      <c r="F196" s="134">
        <f t="shared" si="56"/>
        <v>0</v>
      </c>
      <c r="G196" s="263">
        <f>93.4</f>
        <v>93.4</v>
      </c>
      <c r="H196" s="7"/>
      <c r="I196" s="244">
        <f t="shared" si="57"/>
        <v>93.4</v>
      </c>
      <c r="J196" s="86"/>
      <c r="K196" s="7"/>
      <c r="L196" s="72">
        <f t="shared" si="58"/>
        <v>93.4</v>
      </c>
      <c r="M196" s="22"/>
      <c r="N196" s="7"/>
      <c r="O196" s="23">
        <f t="shared" si="59"/>
        <v>93.4</v>
      </c>
      <c r="P196" s="80"/>
      <c r="Q196" s="78">
        <f t="shared" si="53"/>
        <v>93.4</v>
      </c>
    </row>
    <row r="197" spans="1:17" ht="12.75" hidden="1">
      <c r="A197" s="38" t="s">
        <v>143</v>
      </c>
      <c r="B197" s="97"/>
      <c r="C197" s="197"/>
      <c r="D197" s="146"/>
      <c r="E197" s="146"/>
      <c r="F197" s="134">
        <f t="shared" si="56"/>
        <v>0</v>
      </c>
      <c r="G197" s="263"/>
      <c r="H197" s="7"/>
      <c r="I197" s="244">
        <f t="shared" si="57"/>
        <v>0</v>
      </c>
      <c r="J197" s="86"/>
      <c r="K197" s="7"/>
      <c r="L197" s="72">
        <f t="shared" si="58"/>
        <v>0</v>
      </c>
      <c r="M197" s="22"/>
      <c r="N197" s="7"/>
      <c r="O197" s="23">
        <f t="shared" si="59"/>
        <v>0</v>
      </c>
      <c r="P197" s="80"/>
      <c r="Q197" s="78">
        <f t="shared" si="53"/>
        <v>0</v>
      </c>
    </row>
    <row r="198" spans="1:17" ht="12.75" hidden="1">
      <c r="A198" s="55" t="s">
        <v>133</v>
      </c>
      <c r="B198" s="97"/>
      <c r="C198" s="197"/>
      <c r="D198" s="146"/>
      <c r="E198" s="146"/>
      <c r="F198" s="134">
        <f t="shared" si="56"/>
        <v>0</v>
      </c>
      <c r="G198" s="263"/>
      <c r="H198" s="7"/>
      <c r="I198" s="244">
        <f t="shared" si="57"/>
        <v>0</v>
      </c>
      <c r="J198" s="86"/>
      <c r="K198" s="7"/>
      <c r="L198" s="72">
        <f t="shared" si="58"/>
        <v>0</v>
      </c>
      <c r="M198" s="22"/>
      <c r="N198" s="7"/>
      <c r="O198" s="23">
        <f t="shared" si="59"/>
        <v>0</v>
      </c>
      <c r="P198" s="80"/>
      <c r="Q198" s="78">
        <f t="shared" si="53"/>
        <v>0</v>
      </c>
    </row>
    <row r="199" spans="1:17" ht="12.75" hidden="1">
      <c r="A199" s="55" t="s">
        <v>142</v>
      </c>
      <c r="B199" s="97"/>
      <c r="C199" s="197"/>
      <c r="D199" s="146"/>
      <c r="E199" s="146"/>
      <c r="F199" s="134">
        <f t="shared" si="56"/>
        <v>0</v>
      </c>
      <c r="G199" s="263"/>
      <c r="H199" s="7"/>
      <c r="I199" s="244">
        <f t="shared" si="57"/>
        <v>0</v>
      </c>
      <c r="J199" s="86"/>
      <c r="K199" s="7"/>
      <c r="L199" s="72">
        <f t="shared" si="58"/>
        <v>0</v>
      </c>
      <c r="M199" s="22"/>
      <c r="N199" s="7"/>
      <c r="O199" s="23">
        <f t="shared" si="59"/>
        <v>0</v>
      </c>
      <c r="P199" s="80"/>
      <c r="Q199" s="78">
        <f t="shared" si="53"/>
        <v>0</v>
      </c>
    </row>
    <row r="200" spans="1:17" ht="12.75" hidden="1">
      <c r="A200" s="38" t="s">
        <v>84</v>
      </c>
      <c r="B200" s="97">
        <v>33025</v>
      </c>
      <c r="C200" s="197"/>
      <c r="D200" s="146"/>
      <c r="E200" s="146"/>
      <c r="F200" s="134">
        <f t="shared" si="56"/>
        <v>0</v>
      </c>
      <c r="G200" s="263"/>
      <c r="H200" s="7"/>
      <c r="I200" s="244">
        <f t="shared" si="57"/>
        <v>0</v>
      </c>
      <c r="J200" s="86"/>
      <c r="K200" s="7"/>
      <c r="L200" s="72">
        <f t="shared" si="58"/>
        <v>0</v>
      </c>
      <c r="M200" s="22"/>
      <c r="N200" s="7"/>
      <c r="O200" s="23">
        <f t="shared" si="59"/>
        <v>0</v>
      </c>
      <c r="P200" s="80"/>
      <c r="Q200" s="78">
        <f t="shared" si="53"/>
        <v>0</v>
      </c>
    </row>
    <row r="201" spans="1:17" ht="12.75">
      <c r="A201" s="38" t="s">
        <v>164</v>
      </c>
      <c r="B201" s="97">
        <v>33038</v>
      </c>
      <c r="C201" s="197"/>
      <c r="D201" s="146"/>
      <c r="E201" s="146"/>
      <c r="F201" s="134">
        <f t="shared" si="56"/>
        <v>0</v>
      </c>
      <c r="G201" s="263">
        <f>1490.9</f>
        <v>1490.9</v>
      </c>
      <c r="H201" s="7"/>
      <c r="I201" s="244">
        <f t="shared" si="57"/>
        <v>1490.9</v>
      </c>
      <c r="J201" s="86"/>
      <c r="K201" s="7"/>
      <c r="L201" s="72">
        <f t="shared" si="58"/>
        <v>1490.9</v>
      </c>
      <c r="M201" s="22"/>
      <c r="N201" s="7"/>
      <c r="O201" s="23">
        <f t="shared" si="59"/>
        <v>1490.9</v>
      </c>
      <c r="P201" s="80"/>
      <c r="Q201" s="78">
        <f t="shared" si="53"/>
        <v>1490.9</v>
      </c>
    </row>
    <row r="202" spans="1:17" ht="12.75">
      <c r="A202" s="45" t="s">
        <v>276</v>
      </c>
      <c r="B202" s="100">
        <v>33063</v>
      </c>
      <c r="C202" s="292"/>
      <c r="D202" s="213">
        <f>10991.83+1658.34</f>
        <v>12650.17</v>
      </c>
      <c r="E202" s="213"/>
      <c r="F202" s="229">
        <f t="shared" si="56"/>
        <v>12650.17</v>
      </c>
      <c r="G202" s="268">
        <f>6566.9+3355.18+953.09+1598.95+1500</f>
        <v>13974.12</v>
      </c>
      <c r="H202" s="10"/>
      <c r="I202" s="248">
        <f t="shared" si="57"/>
        <v>26624.29</v>
      </c>
      <c r="J202" s="86"/>
      <c r="K202" s="7"/>
      <c r="L202" s="72"/>
      <c r="M202" s="22"/>
      <c r="N202" s="7"/>
      <c r="O202" s="23"/>
      <c r="P202" s="80"/>
      <c r="Q202" s="78"/>
    </row>
    <row r="203" spans="1:17" ht="12.75" hidden="1">
      <c r="A203" s="38" t="s">
        <v>269</v>
      </c>
      <c r="B203" s="97" t="s">
        <v>270</v>
      </c>
      <c r="C203" s="197"/>
      <c r="D203" s="146"/>
      <c r="E203" s="146"/>
      <c r="F203" s="134">
        <f t="shared" si="56"/>
        <v>0</v>
      </c>
      <c r="G203" s="263"/>
      <c r="H203" s="7"/>
      <c r="I203" s="244">
        <f t="shared" si="57"/>
        <v>0</v>
      </c>
      <c r="J203" s="86"/>
      <c r="K203" s="7"/>
      <c r="L203" s="72"/>
      <c r="M203" s="22"/>
      <c r="N203" s="7"/>
      <c r="O203" s="23"/>
      <c r="P203" s="80"/>
      <c r="Q203" s="78"/>
    </row>
    <row r="204" spans="1:17" ht="12.75">
      <c r="A204" s="38" t="s">
        <v>309</v>
      </c>
      <c r="B204" s="97">
        <v>2054</v>
      </c>
      <c r="C204" s="197"/>
      <c r="D204" s="146">
        <f>183.89</f>
        <v>183.89</v>
      </c>
      <c r="E204" s="146"/>
      <c r="F204" s="134">
        <f t="shared" si="56"/>
        <v>183.89</v>
      </c>
      <c r="G204" s="263"/>
      <c r="H204" s="7"/>
      <c r="I204" s="244">
        <f t="shared" si="57"/>
        <v>183.89</v>
      </c>
      <c r="J204" s="86"/>
      <c r="K204" s="7"/>
      <c r="L204" s="72"/>
      <c r="M204" s="22"/>
      <c r="N204" s="7"/>
      <c r="O204" s="23"/>
      <c r="P204" s="80"/>
      <c r="Q204" s="78"/>
    </row>
    <row r="205" spans="1:17" ht="12.75">
      <c r="A205" s="38" t="s">
        <v>313</v>
      </c>
      <c r="B205" s="97">
        <v>2054</v>
      </c>
      <c r="C205" s="197"/>
      <c r="D205" s="146">
        <f>1744.74</f>
        <v>1744.74</v>
      </c>
      <c r="E205" s="146"/>
      <c r="F205" s="134">
        <f t="shared" si="56"/>
        <v>1744.74</v>
      </c>
      <c r="G205" s="263"/>
      <c r="H205" s="7"/>
      <c r="I205" s="244">
        <f t="shared" si="57"/>
        <v>1744.74</v>
      </c>
      <c r="J205" s="86"/>
      <c r="K205" s="7"/>
      <c r="L205" s="72"/>
      <c r="M205" s="22"/>
      <c r="N205" s="7"/>
      <c r="O205" s="23"/>
      <c r="P205" s="80"/>
      <c r="Q205" s="78"/>
    </row>
    <row r="206" spans="1:17" ht="12.75">
      <c r="A206" s="38" t="s">
        <v>310</v>
      </c>
      <c r="B206" s="97">
        <v>2066</v>
      </c>
      <c r="C206" s="197"/>
      <c r="D206" s="146">
        <f>636.23</f>
        <v>636.23</v>
      </c>
      <c r="E206" s="146"/>
      <c r="F206" s="134">
        <f t="shared" si="56"/>
        <v>636.23</v>
      </c>
      <c r="G206" s="263"/>
      <c r="H206" s="7"/>
      <c r="I206" s="244">
        <f t="shared" si="57"/>
        <v>636.23</v>
      </c>
      <c r="J206" s="86"/>
      <c r="K206" s="7"/>
      <c r="L206" s="72">
        <f t="shared" si="58"/>
        <v>636.23</v>
      </c>
      <c r="M206" s="22"/>
      <c r="N206" s="7"/>
      <c r="O206" s="23">
        <f t="shared" si="59"/>
        <v>636.23</v>
      </c>
      <c r="P206" s="80"/>
      <c r="Q206" s="78">
        <f t="shared" si="53"/>
        <v>636.23</v>
      </c>
    </row>
    <row r="207" spans="1:17" ht="12.75">
      <c r="A207" s="38" t="s">
        <v>281</v>
      </c>
      <c r="B207" s="97">
        <v>2066</v>
      </c>
      <c r="C207" s="197"/>
      <c r="D207" s="146"/>
      <c r="E207" s="146"/>
      <c r="F207" s="134">
        <f t="shared" si="56"/>
        <v>0</v>
      </c>
      <c r="G207" s="263">
        <f>7600</f>
        <v>7600</v>
      </c>
      <c r="H207" s="7"/>
      <c r="I207" s="244">
        <f t="shared" si="57"/>
        <v>7600</v>
      </c>
      <c r="J207" s="86"/>
      <c r="K207" s="7"/>
      <c r="L207" s="72"/>
      <c r="M207" s="22"/>
      <c r="N207" s="7"/>
      <c r="O207" s="23"/>
      <c r="P207" s="80"/>
      <c r="Q207" s="78"/>
    </row>
    <row r="208" spans="1:17" ht="12.75">
      <c r="A208" s="38" t="s">
        <v>339</v>
      </c>
      <c r="B208" s="97">
        <v>13305</v>
      </c>
      <c r="C208" s="197"/>
      <c r="D208" s="146"/>
      <c r="E208" s="146"/>
      <c r="F208" s="134">
        <f t="shared" si="56"/>
        <v>0</v>
      </c>
      <c r="G208" s="263">
        <f>3408.25</f>
        <v>3408.25</v>
      </c>
      <c r="H208" s="7"/>
      <c r="I208" s="244">
        <f t="shared" si="57"/>
        <v>3408.25</v>
      </c>
      <c r="J208" s="86"/>
      <c r="K208" s="7"/>
      <c r="L208" s="72"/>
      <c r="M208" s="22"/>
      <c r="N208" s="7"/>
      <c r="O208" s="23"/>
      <c r="P208" s="80"/>
      <c r="Q208" s="78"/>
    </row>
    <row r="209" spans="1:17" ht="12.75">
      <c r="A209" s="38" t="s">
        <v>77</v>
      </c>
      <c r="B209" s="191" t="s">
        <v>267</v>
      </c>
      <c r="C209" s="197"/>
      <c r="D209" s="146">
        <f>213.18+6902+349.03+6964.2</f>
        <v>14428.41</v>
      </c>
      <c r="E209" s="146"/>
      <c r="F209" s="134">
        <f t="shared" si="56"/>
        <v>14428.41</v>
      </c>
      <c r="G209" s="263">
        <f>300.78</f>
        <v>300.78</v>
      </c>
      <c r="H209" s="7"/>
      <c r="I209" s="244">
        <f t="shared" si="57"/>
        <v>14729.19</v>
      </c>
      <c r="J209" s="86"/>
      <c r="K209" s="7"/>
      <c r="L209" s="72">
        <f t="shared" si="58"/>
        <v>14729.19</v>
      </c>
      <c r="M209" s="30"/>
      <c r="N209" s="7"/>
      <c r="O209" s="23">
        <f t="shared" si="59"/>
        <v>14729.19</v>
      </c>
      <c r="P209" s="80"/>
      <c r="Q209" s="78">
        <f t="shared" si="53"/>
        <v>14729.19</v>
      </c>
    </row>
    <row r="210" spans="1:17" ht="12.75">
      <c r="A210" s="38" t="s">
        <v>51</v>
      </c>
      <c r="B210" s="97"/>
      <c r="C210" s="197">
        <v>38783.07</v>
      </c>
      <c r="D210" s="146">
        <f>-4500+1190.66-12156.45+5000</f>
        <v>-10465.79</v>
      </c>
      <c r="E210" s="146"/>
      <c r="F210" s="134">
        <f t="shared" si="56"/>
        <v>28317.28</v>
      </c>
      <c r="G210" s="263">
        <f>-3902.75</f>
        <v>-3902.75</v>
      </c>
      <c r="H210" s="7"/>
      <c r="I210" s="244">
        <f t="shared" si="57"/>
        <v>24414.53</v>
      </c>
      <c r="J210" s="86"/>
      <c r="K210" s="7"/>
      <c r="L210" s="72">
        <f t="shared" si="58"/>
        <v>24414.53</v>
      </c>
      <c r="M210" s="30"/>
      <c r="N210" s="7"/>
      <c r="O210" s="23">
        <f t="shared" si="59"/>
        <v>24414.53</v>
      </c>
      <c r="P210" s="80"/>
      <c r="Q210" s="78">
        <f t="shared" si="53"/>
        <v>24414.53</v>
      </c>
    </row>
    <row r="211" spans="1:17" ht="12.75">
      <c r="A211" s="41" t="s">
        <v>54</v>
      </c>
      <c r="B211" s="101"/>
      <c r="C211" s="201">
        <f>SUM(C213:C219)</f>
        <v>740</v>
      </c>
      <c r="D211" s="150">
        <f aca="true" t="shared" si="60" ref="D211:Q211">SUM(D213:D219)</f>
        <v>540.64</v>
      </c>
      <c r="E211" s="150">
        <f t="shared" si="60"/>
        <v>0</v>
      </c>
      <c r="F211" s="176">
        <f t="shared" si="60"/>
        <v>1280.6399999999999</v>
      </c>
      <c r="G211" s="266">
        <f t="shared" si="60"/>
        <v>1663.76</v>
      </c>
      <c r="H211" s="121">
        <f t="shared" si="60"/>
        <v>0</v>
      </c>
      <c r="I211" s="247">
        <f t="shared" si="60"/>
        <v>2944.4</v>
      </c>
      <c r="J211" s="176">
        <f t="shared" si="60"/>
        <v>0</v>
      </c>
      <c r="K211" s="121">
        <f t="shared" si="60"/>
        <v>0</v>
      </c>
      <c r="L211" s="150">
        <f t="shared" si="60"/>
        <v>2944.4</v>
      </c>
      <c r="M211" s="120">
        <f t="shared" si="60"/>
        <v>0</v>
      </c>
      <c r="N211" s="120">
        <f t="shared" si="60"/>
        <v>0</v>
      </c>
      <c r="O211" s="120">
        <f t="shared" si="60"/>
        <v>2944.4</v>
      </c>
      <c r="P211" s="120">
        <f t="shared" si="60"/>
        <v>0</v>
      </c>
      <c r="Q211" s="201">
        <f t="shared" si="60"/>
        <v>2944.4</v>
      </c>
    </row>
    <row r="212" spans="1:17" ht="12.75">
      <c r="A212" s="36" t="s">
        <v>26</v>
      </c>
      <c r="B212" s="97"/>
      <c r="C212" s="197"/>
      <c r="D212" s="146"/>
      <c r="E212" s="146"/>
      <c r="F212" s="134"/>
      <c r="G212" s="263"/>
      <c r="H212" s="7"/>
      <c r="I212" s="243"/>
      <c r="J212" s="86"/>
      <c r="K212" s="7"/>
      <c r="L212" s="68"/>
      <c r="M212" s="22"/>
      <c r="N212" s="7"/>
      <c r="O212" s="21"/>
      <c r="P212" s="80"/>
      <c r="Q212" s="78"/>
    </row>
    <row r="213" spans="1:17" ht="12.75">
      <c r="A213" s="38" t="s">
        <v>85</v>
      </c>
      <c r="B213" s="97"/>
      <c r="C213" s="197">
        <v>740</v>
      </c>
      <c r="D213" s="146">
        <f>519.37</f>
        <v>519.37</v>
      </c>
      <c r="E213" s="146"/>
      <c r="F213" s="134">
        <f aca="true" t="shared" si="61" ref="F213:F219">C213+D213+E213</f>
        <v>1259.37</v>
      </c>
      <c r="G213" s="263">
        <f>1663.76</f>
        <v>1663.76</v>
      </c>
      <c r="H213" s="7"/>
      <c r="I213" s="244">
        <f>F213+G213+H213</f>
        <v>2923.13</v>
      </c>
      <c r="J213" s="86"/>
      <c r="K213" s="7"/>
      <c r="L213" s="72">
        <f>I213+J213+K213</f>
        <v>2923.13</v>
      </c>
      <c r="M213" s="22"/>
      <c r="N213" s="7"/>
      <c r="O213" s="23">
        <f>L213+M213+N213</f>
        <v>2923.13</v>
      </c>
      <c r="P213" s="80"/>
      <c r="Q213" s="78">
        <f t="shared" si="53"/>
        <v>2923.13</v>
      </c>
    </row>
    <row r="214" spans="1:17" ht="12.75" hidden="1">
      <c r="A214" s="38" t="s">
        <v>269</v>
      </c>
      <c r="B214" s="97" t="s">
        <v>271</v>
      </c>
      <c r="C214" s="197"/>
      <c r="D214" s="146"/>
      <c r="E214" s="146"/>
      <c r="F214" s="134">
        <f t="shared" si="61"/>
        <v>0</v>
      </c>
      <c r="G214" s="263"/>
      <c r="H214" s="7"/>
      <c r="I214" s="244"/>
      <c r="J214" s="86"/>
      <c r="K214" s="7"/>
      <c r="L214" s="72"/>
      <c r="M214" s="22"/>
      <c r="N214" s="7"/>
      <c r="O214" s="23"/>
      <c r="P214" s="80"/>
      <c r="Q214" s="78"/>
    </row>
    <row r="215" spans="1:17" ht="12.75" hidden="1">
      <c r="A215" s="38" t="s">
        <v>281</v>
      </c>
      <c r="B215" s="97"/>
      <c r="C215" s="197"/>
      <c r="D215" s="146"/>
      <c r="E215" s="146"/>
      <c r="F215" s="134">
        <f t="shared" si="61"/>
        <v>0</v>
      </c>
      <c r="G215" s="263"/>
      <c r="H215" s="7"/>
      <c r="I215" s="244"/>
      <c r="J215" s="86"/>
      <c r="K215" s="7"/>
      <c r="L215" s="72"/>
      <c r="M215" s="22"/>
      <c r="N215" s="7"/>
      <c r="O215" s="23"/>
      <c r="P215" s="80"/>
      <c r="Q215" s="78"/>
    </row>
    <row r="216" spans="1:17" ht="12.75" hidden="1">
      <c r="A216" s="38" t="s">
        <v>69</v>
      </c>
      <c r="B216" s="97"/>
      <c r="C216" s="197"/>
      <c r="D216" s="146"/>
      <c r="E216" s="146"/>
      <c r="F216" s="134">
        <f t="shared" si="61"/>
        <v>0</v>
      </c>
      <c r="G216" s="263"/>
      <c r="H216" s="7"/>
      <c r="I216" s="244">
        <f>F216+G216+H216</f>
        <v>0</v>
      </c>
      <c r="J216" s="86"/>
      <c r="K216" s="7"/>
      <c r="L216" s="72">
        <f>I216+J216+K216</f>
        <v>0</v>
      </c>
      <c r="M216" s="22"/>
      <c r="N216" s="7"/>
      <c r="O216" s="23">
        <f>L216+M216+N216</f>
        <v>0</v>
      </c>
      <c r="P216" s="80"/>
      <c r="Q216" s="78">
        <f t="shared" si="53"/>
        <v>0</v>
      </c>
    </row>
    <row r="217" spans="1:17" ht="12.75" hidden="1">
      <c r="A217" s="38" t="s">
        <v>86</v>
      </c>
      <c r="B217" s="97"/>
      <c r="C217" s="197"/>
      <c r="D217" s="146"/>
      <c r="E217" s="146"/>
      <c r="F217" s="134">
        <f t="shared" si="61"/>
        <v>0</v>
      </c>
      <c r="G217" s="263"/>
      <c r="H217" s="7"/>
      <c r="I217" s="244">
        <f>F217+G217+H217</f>
        <v>0</v>
      </c>
      <c r="J217" s="86"/>
      <c r="K217" s="7"/>
      <c r="L217" s="72">
        <f>I217+J217+K217</f>
        <v>0</v>
      </c>
      <c r="M217" s="22"/>
      <c r="N217" s="7"/>
      <c r="O217" s="23">
        <f>L217+M217+N217</f>
        <v>0</v>
      </c>
      <c r="P217" s="80"/>
      <c r="Q217" s="78">
        <f t="shared" si="53"/>
        <v>0</v>
      </c>
    </row>
    <row r="218" spans="1:17" ht="12.75" hidden="1">
      <c r="A218" s="38" t="s">
        <v>55</v>
      </c>
      <c r="B218" s="97"/>
      <c r="C218" s="197"/>
      <c r="D218" s="146"/>
      <c r="E218" s="146"/>
      <c r="F218" s="134">
        <f t="shared" si="61"/>
        <v>0</v>
      </c>
      <c r="G218" s="263"/>
      <c r="H218" s="7"/>
      <c r="I218" s="244">
        <f>F218+G218+H218</f>
        <v>0</v>
      </c>
      <c r="J218" s="86"/>
      <c r="K218" s="9"/>
      <c r="L218" s="72">
        <f>I218+J218+K218</f>
        <v>0</v>
      </c>
      <c r="M218" s="22"/>
      <c r="N218" s="7"/>
      <c r="O218" s="23">
        <f>L218+M218+N218</f>
        <v>0</v>
      </c>
      <c r="P218" s="80"/>
      <c r="Q218" s="78">
        <f t="shared" si="53"/>
        <v>0</v>
      </c>
    </row>
    <row r="219" spans="1:17" ht="12.75">
      <c r="A219" s="45" t="s">
        <v>77</v>
      </c>
      <c r="B219" s="100"/>
      <c r="C219" s="292"/>
      <c r="D219" s="213">
        <f>21.27</f>
        <v>21.27</v>
      </c>
      <c r="E219" s="213"/>
      <c r="F219" s="229">
        <f t="shared" si="61"/>
        <v>21.27</v>
      </c>
      <c r="G219" s="268"/>
      <c r="H219" s="10"/>
      <c r="I219" s="248">
        <f>F219+G219+H219</f>
        <v>21.27</v>
      </c>
      <c r="J219" s="177"/>
      <c r="K219" s="67"/>
      <c r="L219" s="71">
        <f>I219+J219+K219</f>
        <v>21.27</v>
      </c>
      <c r="M219" s="26"/>
      <c r="N219" s="10"/>
      <c r="O219" s="27">
        <f>L219+M219+N219</f>
        <v>21.27</v>
      </c>
      <c r="P219" s="83"/>
      <c r="Q219" s="84">
        <f t="shared" si="53"/>
        <v>21.27</v>
      </c>
    </row>
    <row r="220" spans="1:17" ht="12.75">
      <c r="A220" s="31" t="s">
        <v>87</v>
      </c>
      <c r="B220" s="101"/>
      <c r="C220" s="196">
        <f aca="true" t="shared" si="62" ref="C220:Q220">C221+C234</f>
        <v>644136.8</v>
      </c>
      <c r="D220" s="129">
        <f t="shared" si="62"/>
        <v>59414.100000000006</v>
      </c>
      <c r="E220" s="129">
        <f t="shared" si="62"/>
        <v>0</v>
      </c>
      <c r="F220" s="140">
        <f t="shared" si="62"/>
        <v>703550.9</v>
      </c>
      <c r="G220" s="262">
        <f t="shared" si="62"/>
        <v>14357.990000000002</v>
      </c>
      <c r="H220" s="112">
        <f t="shared" si="62"/>
        <v>0</v>
      </c>
      <c r="I220" s="243">
        <f t="shared" si="62"/>
        <v>717908.89</v>
      </c>
      <c r="J220" s="140">
        <f t="shared" si="62"/>
        <v>0</v>
      </c>
      <c r="K220" s="112">
        <f t="shared" si="62"/>
        <v>0</v>
      </c>
      <c r="L220" s="129">
        <f t="shared" si="62"/>
        <v>673400.9</v>
      </c>
      <c r="M220" s="111">
        <f t="shared" si="62"/>
        <v>0</v>
      </c>
      <c r="N220" s="111">
        <f t="shared" si="62"/>
        <v>0</v>
      </c>
      <c r="O220" s="111">
        <f t="shared" si="62"/>
        <v>673400.9</v>
      </c>
      <c r="P220" s="111">
        <f t="shared" si="62"/>
        <v>0</v>
      </c>
      <c r="Q220" s="196">
        <f t="shared" si="62"/>
        <v>673400.9</v>
      </c>
    </row>
    <row r="221" spans="1:17" ht="12.75">
      <c r="A221" s="40" t="s">
        <v>49</v>
      </c>
      <c r="B221" s="101"/>
      <c r="C221" s="200">
        <f aca="true" t="shared" si="63" ref="C221:Q221">SUM(C223:C233)</f>
        <v>644136.8</v>
      </c>
      <c r="D221" s="149">
        <f t="shared" si="63"/>
        <v>51563.33</v>
      </c>
      <c r="E221" s="149">
        <f t="shared" si="63"/>
        <v>0</v>
      </c>
      <c r="F221" s="175">
        <f t="shared" si="63"/>
        <v>695700.13</v>
      </c>
      <c r="G221" s="265">
        <f t="shared" si="63"/>
        <v>22208.760000000002</v>
      </c>
      <c r="H221" s="119">
        <f t="shared" si="63"/>
        <v>0</v>
      </c>
      <c r="I221" s="246">
        <f t="shared" si="63"/>
        <v>717908.89</v>
      </c>
      <c r="J221" s="175">
        <f t="shared" si="63"/>
        <v>0</v>
      </c>
      <c r="K221" s="119">
        <f t="shared" si="63"/>
        <v>0</v>
      </c>
      <c r="L221" s="149">
        <f t="shared" si="63"/>
        <v>673400.9</v>
      </c>
      <c r="M221" s="118">
        <f t="shared" si="63"/>
        <v>0</v>
      </c>
      <c r="N221" s="118">
        <f t="shared" si="63"/>
        <v>0</v>
      </c>
      <c r="O221" s="118">
        <f t="shared" si="63"/>
        <v>673400.9</v>
      </c>
      <c r="P221" s="118">
        <f t="shared" si="63"/>
        <v>0</v>
      </c>
      <c r="Q221" s="200">
        <f t="shared" si="63"/>
        <v>673400.9</v>
      </c>
    </row>
    <row r="222" spans="1:17" ht="12.75">
      <c r="A222" s="36" t="s">
        <v>26</v>
      </c>
      <c r="B222" s="97"/>
      <c r="C222" s="197"/>
      <c r="D222" s="146"/>
      <c r="E222" s="146"/>
      <c r="F222" s="140"/>
      <c r="G222" s="263"/>
      <c r="H222" s="7"/>
      <c r="I222" s="243"/>
      <c r="J222" s="86"/>
      <c r="K222" s="7"/>
      <c r="L222" s="68"/>
      <c r="M222" s="22"/>
      <c r="N222" s="7"/>
      <c r="O222" s="21"/>
      <c r="P222" s="80"/>
      <c r="Q222" s="78"/>
    </row>
    <row r="223" spans="1:17" ht="12.75">
      <c r="A223" s="33" t="s">
        <v>74</v>
      </c>
      <c r="B223" s="97"/>
      <c r="C223" s="197">
        <v>296650</v>
      </c>
      <c r="D223" s="146"/>
      <c r="E223" s="146"/>
      <c r="F223" s="134">
        <f aca="true" t="shared" si="64" ref="F223:F233">C223+D223+E223</f>
        <v>296650</v>
      </c>
      <c r="G223" s="263"/>
      <c r="H223" s="7"/>
      <c r="I223" s="244">
        <f aca="true" t="shared" si="65" ref="I223:I233">F223+G223+H223</f>
        <v>296650</v>
      </c>
      <c r="J223" s="86"/>
      <c r="K223" s="7"/>
      <c r="L223" s="72">
        <f aca="true" t="shared" si="66" ref="L223:L233">I223+J223+K223</f>
        <v>296650</v>
      </c>
      <c r="M223" s="22"/>
      <c r="N223" s="7"/>
      <c r="O223" s="23">
        <f aca="true" t="shared" si="67" ref="O223:O233">L223+M223+N223</f>
        <v>296650</v>
      </c>
      <c r="P223" s="80"/>
      <c r="Q223" s="78">
        <f>O223+P223</f>
        <v>296650</v>
      </c>
    </row>
    <row r="224" spans="1:17" ht="12.75">
      <c r="A224" s="98" t="s">
        <v>208</v>
      </c>
      <c r="B224" s="97"/>
      <c r="C224" s="197">
        <v>12000</v>
      </c>
      <c r="D224" s="146">
        <f>18000</f>
        <v>18000</v>
      </c>
      <c r="E224" s="146"/>
      <c r="F224" s="134">
        <f t="shared" si="64"/>
        <v>30000</v>
      </c>
      <c r="G224" s="263">
        <f>150</f>
        <v>150</v>
      </c>
      <c r="H224" s="7"/>
      <c r="I224" s="244">
        <f t="shared" si="65"/>
        <v>30150</v>
      </c>
      <c r="J224" s="86"/>
      <c r="K224" s="7"/>
      <c r="L224" s="72"/>
      <c r="M224" s="22"/>
      <c r="N224" s="7"/>
      <c r="O224" s="23"/>
      <c r="P224" s="80"/>
      <c r="Q224" s="78"/>
    </row>
    <row r="225" spans="1:17" ht="12.75">
      <c r="A225" s="38" t="s">
        <v>64</v>
      </c>
      <c r="B225" s="97"/>
      <c r="C225" s="197">
        <v>236200</v>
      </c>
      <c r="D225" s="146"/>
      <c r="E225" s="146"/>
      <c r="F225" s="134">
        <f t="shared" si="64"/>
        <v>236200</v>
      </c>
      <c r="G225" s="263">
        <f>16500</f>
        <v>16500</v>
      </c>
      <c r="H225" s="7"/>
      <c r="I225" s="244">
        <f t="shared" si="65"/>
        <v>252700</v>
      </c>
      <c r="J225" s="86"/>
      <c r="K225" s="7"/>
      <c r="L225" s="72">
        <f t="shared" si="66"/>
        <v>252700</v>
      </c>
      <c r="M225" s="22"/>
      <c r="N225" s="7"/>
      <c r="O225" s="23">
        <f t="shared" si="67"/>
        <v>252700</v>
      </c>
      <c r="P225" s="80"/>
      <c r="Q225" s="78">
        <f>O225+P225</f>
        <v>252700</v>
      </c>
    </row>
    <row r="226" spans="1:17" ht="12.75" hidden="1">
      <c r="A226" s="38" t="s">
        <v>170</v>
      </c>
      <c r="B226" s="97"/>
      <c r="C226" s="197">
        <v>0</v>
      </c>
      <c r="D226" s="215"/>
      <c r="E226" s="146"/>
      <c r="F226" s="134">
        <f t="shared" si="64"/>
        <v>0</v>
      </c>
      <c r="G226" s="263"/>
      <c r="H226" s="7"/>
      <c r="I226" s="244">
        <f t="shared" si="65"/>
        <v>0</v>
      </c>
      <c r="J226" s="86"/>
      <c r="K226" s="7"/>
      <c r="L226" s="72"/>
      <c r="M226" s="22"/>
      <c r="N226" s="7"/>
      <c r="O226" s="23"/>
      <c r="P226" s="80"/>
      <c r="Q226" s="78"/>
    </row>
    <row r="227" spans="1:17" ht="12.75">
      <c r="A227" s="38" t="s">
        <v>51</v>
      </c>
      <c r="B227" s="97"/>
      <c r="C227" s="202">
        <v>99286.8</v>
      </c>
      <c r="D227" s="146">
        <f>18317</f>
        <v>18317</v>
      </c>
      <c r="E227" s="146"/>
      <c r="F227" s="134">
        <f t="shared" si="64"/>
        <v>117603.8</v>
      </c>
      <c r="G227" s="263">
        <f>-8649.23-150</f>
        <v>-8799.23</v>
      </c>
      <c r="H227" s="7"/>
      <c r="I227" s="244">
        <f t="shared" si="65"/>
        <v>108804.57</v>
      </c>
      <c r="J227" s="86"/>
      <c r="K227" s="7"/>
      <c r="L227" s="72">
        <f t="shared" si="66"/>
        <v>108804.57</v>
      </c>
      <c r="M227" s="22"/>
      <c r="N227" s="7"/>
      <c r="O227" s="23">
        <f t="shared" si="67"/>
        <v>108804.57</v>
      </c>
      <c r="P227" s="80"/>
      <c r="Q227" s="78">
        <f>O227+P227</f>
        <v>108804.57</v>
      </c>
    </row>
    <row r="228" spans="1:17" ht="12.75">
      <c r="A228" s="38" t="s">
        <v>78</v>
      </c>
      <c r="B228" s="97"/>
      <c r="C228" s="202"/>
      <c r="D228" s="146">
        <f>7500+7500</f>
        <v>15000</v>
      </c>
      <c r="E228" s="146"/>
      <c r="F228" s="134">
        <f t="shared" si="64"/>
        <v>15000</v>
      </c>
      <c r="G228" s="263"/>
      <c r="H228" s="7"/>
      <c r="I228" s="244">
        <f t="shared" si="65"/>
        <v>15000</v>
      </c>
      <c r="J228" s="86"/>
      <c r="K228" s="7"/>
      <c r="L228" s="72">
        <f t="shared" si="66"/>
        <v>15000</v>
      </c>
      <c r="M228" s="22"/>
      <c r="N228" s="7"/>
      <c r="O228" s="23">
        <f t="shared" si="67"/>
        <v>15000</v>
      </c>
      <c r="P228" s="80"/>
      <c r="Q228" s="78">
        <f>O228+P228</f>
        <v>15000</v>
      </c>
    </row>
    <row r="229" spans="1:17" ht="12.75">
      <c r="A229" s="38" t="s">
        <v>278</v>
      </c>
      <c r="B229" s="97">
        <v>35018</v>
      </c>
      <c r="C229" s="202"/>
      <c r="D229" s="146"/>
      <c r="E229" s="146"/>
      <c r="F229" s="134">
        <f t="shared" si="64"/>
        <v>0</v>
      </c>
      <c r="G229" s="263">
        <f>2000+3341.47</f>
        <v>5341.469999999999</v>
      </c>
      <c r="H229" s="7"/>
      <c r="I229" s="244">
        <f t="shared" si="65"/>
        <v>5341.469999999999</v>
      </c>
      <c r="J229" s="86"/>
      <c r="K229" s="7"/>
      <c r="L229" s="72"/>
      <c r="M229" s="22"/>
      <c r="N229" s="7"/>
      <c r="O229" s="23"/>
      <c r="P229" s="80"/>
      <c r="Q229" s="78"/>
    </row>
    <row r="230" spans="1:17" ht="12.75">
      <c r="A230" s="38" t="s">
        <v>334</v>
      </c>
      <c r="B230" s="97"/>
      <c r="C230" s="202"/>
      <c r="D230" s="146">
        <f>13.91+232.42</f>
        <v>246.32999999999998</v>
      </c>
      <c r="E230" s="146"/>
      <c r="F230" s="134">
        <f t="shared" si="64"/>
        <v>246.32999999999998</v>
      </c>
      <c r="G230" s="263"/>
      <c r="H230" s="7"/>
      <c r="I230" s="244">
        <f t="shared" si="65"/>
        <v>246.32999999999998</v>
      </c>
      <c r="J230" s="86"/>
      <c r="K230" s="7"/>
      <c r="L230" s="72">
        <f t="shared" si="66"/>
        <v>246.32999999999998</v>
      </c>
      <c r="M230" s="22"/>
      <c r="N230" s="7"/>
      <c r="O230" s="23">
        <f t="shared" si="67"/>
        <v>246.32999999999998</v>
      </c>
      <c r="P230" s="80"/>
      <c r="Q230" s="78">
        <f>O230+P230</f>
        <v>246.32999999999998</v>
      </c>
    </row>
    <row r="231" spans="1:17" ht="12.75">
      <c r="A231" s="38" t="s">
        <v>345</v>
      </c>
      <c r="B231" s="280" t="s">
        <v>346</v>
      </c>
      <c r="C231" s="202"/>
      <c r="D231" s="146"/>
      <c r="E231" s="146"/>
      <c r="F231" s="134">
        <f t="shared" si="64"/>
        <v>0</v>
      </c>
      <c r="G231" s="263">
        <f>5154.15+3197.37</f>
        <v>8351.52</v>
      </c>
      <c r="H231" s="7"/>
      <c r="I231" s="244">
        <f t="shared" si="65"/>
        <v>8351.52</v>
      </c>
      <c r="J231" s="86"/>
      <c r="K231" s="7"/>
      <c r="L231" s="72"/>
      <c r="M231" s="22"/>
      <c r="N231" s="7"/>
      <c r="O231" s="23"/>
      <c r="P231" s="80"/>
      <c r="Q231" s="78"/>
    </row>
    <row r="232" spans="1:17" ht="12.75">
      <c r="A232" s="38" t="s">
        <v>344</v>
      </c>
      <c r="B232" s="97">
        <v>4359</v>
      </c>
      <c r="C232" s="202"/>
      <c r="D232" s="146"/>
      <c r="E232" s="146"/>
      <c r="F232" s="134">
        <f t="shared" si="64"/>
        <v>0</v>
      </c>
      <c r="G232" s="263">
        <f>284+381</f>
        <v>665</v>
      </c>
      <c r="H232" s="7"/>
      <c r="I232" s="244">
        <f t="shared" si="65"/>
        <v>665</v>
      </c>
      <c r="J232" s="86"/>
      <c r="K232" s="7"/>
      <c r="L232" s="72"/>
      <c r="M232" s="22"/>
      <c r="N232" s="7"/>
      <c r="O232" s="23"/>
      <c r="P232" s="80"/>
      <c r="Q232" s="78"/>
    </row>
    <row r="233" spans="1:17" ht="12.75" hidden="1">
      <c r="A233" s="38" t="s">
        <v>88</v>
      </c>
      <c r="B233" s="97"/>
      <c r="C233" s="197"/>
      <c r="D233" s="146"/>
      <c r="E233" s="146"/>
      <c r="F233" s="134">
        <f t="shared" si="64"/>
        <v>0</v>
      </c>
      <c r="G233" s="263"/>
      <c r="H233" s="7"/>
      <c r="I233" s="244">
        <f t="shared" si="65"/>
        <v>0</v>
      </c>
      <c r="J233" s="86"/>
      <c r="K233" s="7"/>
      <c r="L233" s="72">
        <f t="shared" si="66"/>
        <v>0</v>
      </c>
      <c r="M233" s="22"/>
      <c r="N233" s="7"/>
      <c r="O233" s="23">
        <f t="shared" si="67"/>
        <v>0</v>
      </c>
      <c r="P233" s="80"/>
      <c r="Q233" s="78">
        <f>O233+P233</f>
        <v>0</v>
      </c>
    </row>
    <row r="234" spans="1:17" ht="12.75">
      <c r="A234" s="40" t="s">
        <v>54</v>
      </c>
      <c r="B234" s="101"/>
      <c r="C234" s="200">
        <f>SUM(C236:C240)</f>
        <v>0</v>
      </c>
      <c r="D234" s="149">
        <f aca="true" t="shared" si="68" ref="D234:Q234">SUM(D236:D240)</f>
        <v>7850.77</v>
      </c>
      <c r="E234" s="149">
        <f t="shared" si="68"/>
        <v>0</v>
      </c>
      <c r="F234" s="175">
        <f t="shared" si="68"/>
        <v>7850.77</v>
      </c>
      <c r="G234" s="265">
        <f t="shared" si="68"/>
        <v>-7850.77</v>
      </c>
      <c r="H234" s="119">
        <f t="shared" si="68"/>
        <v>0</v>
      </c>
      <c r="I234" s="246">
        <f t="shared" si="68"/>
        <v>0</v>
      </c>
      <c r="J234" s="175">
        <f t="shared" si="68"/>
        <v>0</v>
      </c>
      <c r="K234" s="119">
        <f t="shared" si="68"/>
        <v>0</v>
      </c>
      <c r="L234" s="149">
        <f t="shared" si="68"/>
        <v>0</v>
      </c>
      <c r="M234" s="118">
        <f t="shared" si="68"/>
        <v>0</v>
      </c>
      <c r="N234" s="118">
        <f t="shared" si="68"/>
        <v>0</v>
      </c>
      <c r="O234" s="118">
        <f t="shared" si="68"/>
        <v>0</v>
      </c>
      <c r="P234" s="118">
        <f t="shared" si="68"/>
        <v>0</v>
      </c>
      <c r="Q234" s="200">
        <f t="shared" si="68"/>
        <v>0</v>
      </c>
    </row>
    <row r="235" spans="1:17" ht="12.75">
      <c r="A235" s="36" t="s">
        <v>26</v>
      </c>
      <c r="B235" s="97"/>
      <c r="C235" s="197"/>
      <c r="D235" s="146"/>
      <c r="E235" s="146"/>
      <c r="F235" s="134"/>
      <c r="G235" s="263"/>
      <c r="H235" s="7"/>
      <c r="I235" s="244"/>
      <c r="J235" s="86"/>
      <c r="K235" s="7"/>
      <c r="L235" s="72"/>
      <c r="M235" s="22"/>
      <c r="N235" s="7"/>
      <c r="O235" s="23"/>
      <c r="P235" s="80"/>
      <c r="Q235" s="78"/>
    </row>
    <row r="236" spans="1:17" ht="12.75">
      <c r="A236" s="45" t="s">
        <v>55</v>
      </c>
      <c r="B236" s="100"/>
      <c r="C236" s="292">
        <v>0</v>
      </c>
      <c r="D236" s="213">
        <f>7850.77</f>
        <v>7850.77</v>
      </c>
      <c r="E236" s="213"/>
      <c r="F236" s="229">
        <f>C236+D236+E236</f>
        <v>7850.77</v>
      </c>
      <c r="G236" s="268">
        <f>-7850.77</f>
        <v>-7850.77</v>
      </c>
      <c r="H236" s="10"/>
      <c r="I236" s="248">
        <f>F236+G236+H236</f>
        <v>0</v>
      </c>
      <c r="J236" s="86"/>
      <c r="K236" s="7"/>
      <c r="L236" s="72"/>
      <c r="M236" s="22"/>
      <c r="N236" s="7"/>
      <c r="O236" s="23"/>
      <c r="P236" s="80"/>
      <c r="Q236" s="78"/>
    </row>
    <row r="237" spans="1:17" ht="12.75" hidden="1">
      <c r="A237" s="38" t="s">
        <v>241</v>
      </c>
      <c r="B237" s="97"/>
      <c r="C237" s="197"/>
      <c r="D237" s="146"/>
      <c r="E237" s="146"/>
      <c r="F237" s="134">
        <f>C237+D237+E237</f>
        <v>0</v>
      </c>
      <c r="G237" s="263"/>
      <c r="H237" s="7"/>
      <c r="I237" s="244"/>
      <c r="J237" s="86"/>
      <c r="K237" s="7"/>
      <c r="L237" s="72"/>
      <c r="M237" s="22"/>
      <c r="N237" s="7"/>
      <c r="O237" s="23"/>
      <c r="P237" s="80"/>
      <c r="Q237" s="78"/>
    </row>
    <row r="238" spans="1:17" ht="12.75" hidden="1">
      <c r="A238" s="38" t="s">
        <v>69</v>
      </c>
      <c r="B238" s="97"/>
      <c r="C238" s="197"/>
      <c r="D238" s="146"/>
      <c r="E238" s="146"/>
      <c r="F238" s="134">
        <f>C238+D238+E238</f>
        <v>0</v>
      </c>
      <c r="G238" s="263"/>
      <c r="H238" s="7"/>
      <c r="I238" s="244">
        <f>F238+G238+H238</f>
        <v>0</v>
      </c>
      <c r="J238" s="86"/>
      <c r="K238" s="7"/>
      <c r="L238" s="72">
        <f>I238+J238+K238</f>
        <v>0</v>
      </c>
      <c r="M238" s="22"/>
      <c r="N238" s="7"/>
      <c r="O238" s="23">
        <f>L238+M238+N238</f>
        <v>0</v>
      </c>
      <c r="P238" s="80"/>
      <c r="Q238" s="78">
        <f>O238+P238</f>
        <v>0</v>
      </c>
    </row>
    <row r="239" spans="1:17" ht="12.75" hidden="1">
      <c r="A239" s="38" t="s">
        <v>214</v>
      </c>
      <c r="B239" s="97"/>
      <c r="C239" s="197"/>
      <c r="D239" s="146"/>
      <c r="E239" s="146"/>
      <c r="F239" s="134">
        <f>C239+D239+E239</f>
        <v>0</v>
      </c>
      <c r="G239" s="268"/>
      <c r="H239" s="10"/>
      <c r="I239" s="248">
        <f>F239+G239+H239</f>
        <v>0</v>
      </c>
      <c r="J239" s="177"/>
      <c r="K239" s="10"/>
      <c r="L239" s="71">
        <f>I239+J239+K239</f>
        <v>0</v>
      </c>
      <c r="M239" s="26"/>
      <c r="N239" s="10"/>
      <c r="O239" s="27">
        <f>L239+M239+N239</f>
        <v>0</v>
      </c>
      <c r="P239" s="83"/>
      <c r="Q239" s="84">
        <f>O239+P239</f>
        <v>0</v>
      </c>
    </row>
    <row r="240" spans="1:17" ht="12.75" hidden="1">
      <c r="A240" s="37" t="s">
        <v>78</v>
      </c>
      <c r="B240" s="100"/>
      <c r="C240" s="292"/>
      <c r="D240" s="213"/>
      <c r="E240" s="213"/>
      <c r="F240" s="229">
        <f>C240+D240+E240</f>
        <v>0</v>
      </c>
      <c r="G240" s="268"/>
      <c r="H240" s="10"/>
      <c r="I240" s="248">
        <f>F240+G240+H240</f>
        <v>0</v>
      </c>
      <c r="J240" s="177"/>
      <c r="K240" s="10"/>
      <c r="L240" s="71">
        <f>I240+J240+K240</f>
        <v>0</v>
      </c>
      <c r="M240" s="26"/>
      <c r="N240" s="10"/>
      <c r="O240" s="27">
        <f>L240+M240+N240</f>
        <v>0</v>
      </c>
      <c r="P240" s="83"/>
      <c r="Q240" s="84">
        <f>O240+P240</f>
        <v>0</v>
      </c>
    </row>
    <row r="241" spans="1:17" ht="12.75">
      <c r="A241" s="46" t="s">
        <v>89</v>
      </c>
      <c r="B241" s="102"/>
      <c r="C241" s="199">
        <f aca="true" t="shared" si="69" ref="C241:Q241">C242+C255</f>
        <v>228552.1</v>
      </c>
      <c r="D241" s="147">
        <f t="shared" si="69"/>
        <v>16061.180000000002</v>
      </c>
      <c r="E241" s="147">
        <f t="shared" si="69"/>
        <v>0</v>
      </c>
      <c r="F241" s="131">
        <f t="shared" si="69"/>
        <v>244613.28</v>
      </c>
      <c r="G241" s="267">
        <f t="shared" si="69"/>
        <v>10542.05</v>
      </c>
      <c r="H241" s="116">
        <f t="shared" si="69"/>
        <v>0</v>
      </c>
      <c r="I241" s="226">
        <f t="shared" si="69"/>
        <v>255155.33</v>
      </c>
      <c r="J241" s="131">
        <f t="shared" si="69"/>
        <v>0</v>
      </c>
      <c r="K241" s="116">
        <f t="shared" si="69"/>
        <v>0</v>
      </c>
      <c r="L241" s="147">
        <f t="shared" si="69"/>
        <v>252047.59</v>
      </c>
      <c r="M241" s="115">
        <f t="shared" si="69"/>
        <v>0</v>
      </c>
      <c r="N241" s="115">
        <f t="shared" si="69"/>
        <v>0</v>
      </c>
      <c r="O241" s="115">
        <f t="shared" si="69"/>
        <v>252047.59</v>
      </c>
      <c r="P241" s="115">
        <f t="shared" si="69"/>
        <v>0</v>
      </c>
      <c r="Q241" s="199">
        <f t="shared" si="69"/>
        <v>252047.59</v>
      </c>
    </row>
    <row r="242" spans="1:17" ht="12.75">
      <c r="A242" s="40" t="s">
        <v>49</v>
      </c>
      <c r="B242" s="101"/>
      <c r="C242" s="200">
        <f aca="true" t="shared" si="70" ref="C242:Q242">SUM(C244:C254)</f>
        <v>225172.1</v>
      </c>
      <c r="D242" s="149">
        <f t="shared" si="70"/>
        <v>12691.180000000002</v>
      </c>
      <c r="E242" s="149">
        <f t="shared" si="70"/>
        <v>0</v>
      </c>
      <c r="F242" s="175">
        <f t="shared" si="70"/>
        <v>237863.28</v>
      </c>
      <c r="G242" s="265">
        <f t="shared" si="70"/>
        <v>10649.05</v>
      </c>
      <c r="H242" s="119">
        <f t="shared" si="70"/>
        <v>0</v>
      </c>
      <c r="I242" s="246">
        <f t="shared" si="70"/>
        <v>248512.33</v>
      </c>
      <c r="J242" s="175">
        <f t="shared" si="70"/>
        <v>0</v>
      </c>
      <c r="K242" s="119">
        <f t="shared" si="70"/>
        <v>0</v>
      </c>
      <c r="L242" s="149">
        <f t="shared" si="70"/>
        <v>245497.59</v>
      </c>
      <c r="M242" s="118">
        <f t="shared" si="70"/>
        <v>0</v>
      </c>
      <c r="N242" s="118">
        <f t="shared" si="70"/>
        <v>0</v>
      </c>
      <c r="O242" s="118">
        <f t="shared" si="70"/>
        <v>245497.59</v>
      </c>
      <c r="P242" s="118">
        <f t="shared" si="70"/>
        <v>0</v>
      </c>
      <c r="Q242" s="200">
        <f t="shared" si="70"/>
        <v>245497.59</v>
      </c>
    </row>
    <row r="243" spans="1:17" ht="12.75">
      <c r="A243" s="36" t="s">
        <v>26</v>
      </c>
      <c r="B243" s="97"/>
      <c r="C243" s="197"/>
      <c r="D243" s="146"/>
      <c r="E243" s="146"/>
      <c r="F243" s="134"/>
      <c r="G243" s="263"/>
      <c r="H243" s="7"/>
      <c r="I243" s="244"/>
      <c r="J243" s="86"/>
      <c r="K243" s="7"/>
      <c r="L243" s="72"/>
      <c r="M243" s="22"/>
      <c r="N243" s="7"/>
      <c r="O243" s="23"/>
      <c r="P243" s="80"/>
      <c r="Q243" s="78"/>
    </row>
    <row r="244" spans="1:17" ht="12.75">
      <c r="A244" s="38" t="s">
        <v>74</v>
      </c>
      <c r="B244" s="97"/>
      <c r="C244" s="197">
        <v>190968.5</v>
      </c>
      <c r="D244" s="146">
        <f>2154.6+7724.6</f>
        <v>9879.2</v>
      </c>
      <c r="E244" s="146"/>
      <c r="F244" s="134">
        <f aca="true" t="shared" si="71" ref="F244:F254">C244+D244+E244</f>
        <v>200847.7</v>
      </c>
      <c r="G244" s="263">
        <f>428.7+136.4+6611.7+220.95</f>
        <v>7397.75</v>
      </c>
      <c r="H244" s="7"/>
      <c r="I244" s="244">
        <f>F244+G244+H244</f>
        <v>208245.45</v>
      </c>
      <c r="J244" s="86"/>
      <c r="K244" s="7"/>
      <c r="L244" s="72">
        <f>I244+J244+K244</f>
        <v>208245.45</v>
      </c>
      <c r="M244" s="22"/>
      <c r="N244" s="7"/>
      <c r="O244" s="23">
        <f>L244+M244+N244</f>
        <v>208245.45</v>
      </c>
      <c r="P244" s="80"/>
      <c r="Q244" s="78">
        <f aca="true" t="shared" si="72" ref="Q244:Q254">O244+P244</f>
        <v>208245.45</v>
      </c>
    </row>
    <row r="245" spans="1:17" ht="12.75">
      <c r="A245" s="38" t="s">
        <v>51</v>
      </c>
      <c r="B245" s="97"/>
      <c r="C245" s="197">
        <v>30515.6</v>
      </c>
      <c r="D245" s="146">
        <f>-1130-6273+556-2490.05+2641.14+1500</f>
        <v>-5195.91</v>
      </c>
      <c r="E245" s="146"/>
      <c r="F245" s="134">
        <f t="shared" si="71"/>
        <v>25319.69</v>
      </c>
      <c r="G245" s="263">
        <f>200</f>
        <v>200</v>
      </c>
      <c r="H245" s="7"/>
      <c r="I245" s="244">
        <f aca="true" t="shared" si="73" ref="I245:I254">F245+G245+H245</f>
        <v>25519.69</v>
      </c>
      <c r="J245" s="86"/>
      <c r="K245" s="7"/>
      <c r="L245" s="72">
        <f aca="true" t="shared" si="74" ref="L245:L254">I245+J245+K245</f>
        <v>25519.69</v>
      </c>
      <c r="M245" s="22"/>
      <c r="N245" s="7"/>
      <c r="O245" s="23">
        <f aca="true" t="shared" si="75" ref="O245:O254">L245+M245+N245</f>
        <v>25519.69</v>
      </c>
      <c r="P245" s="80"/>
      <c r="Q245" s="78">
        <f t="shared" si="72"/>
        <v>25519.69</v>
      </c>
    </row>
    <row r="246" spans="1:17" ht="12.75">
      <c r="A246" s="38" t="s">
        <v>131</v>
      </c>
      <c r="B246" s="97"/>
      <c r="C246" s="197">
        <v>3388</v>
      </c>
      <c r="D246" s="146">
        <f>94.86</f>
        <v>94.86</v>
      </c>
      <c r="E246" s="146"/>
      <c r="F246" s="134">
        <f t="shared" si="71"/>
        <v>3482.86</v>
      </c>
      <c r="G246" s="263"/>
      <c r="H246" s="7"/>
      <c r="I246" s="244">
        <f t="shared" si="73"/>
        <v>3482.86</v>
      </c>
      <c r="J246" s="86"/>
      <c r="K246" s="7"/>
      <c r="L246" s="72">
        <f t="shared" si="74"/>
        <v>3482.86</v>
      </c>
      <c r="M246" s="22"/>
      <c r="N246" s="7"/>
      <c r="O246" s="23">
        <f t="shared" si="75"/>
        <v>3482.86</v>
      </c>
      <c r="P246" s="80"/>
      <c r="Q246" s="78">
        <f t="shared" si="72"/>
        <v>3482.86</v>
      </c>
    </row>
    <row r="247" spans="1:17" ht="12.75">
      <c r="A247" s="38" t="s">
        <v>65</v>
      </c>
      <c r="B247" s="97"/>
      <c r="C247" s="197"/>
      <c r="D247" s="146">
        <f>1130+6273+240.59</f>
        <v>7643.59</v>
      </c>
      <c r="E247" s="146"/>
      <c r="F247" s="134">
        <f t="shared" si="71"/>
        <v>7643.59</v>
      </c>
      <c r="G247" s="263"/>
      <c r="H247" s="7"/>
      <c r="I247" s="244">
        <f t="shared" si="73"/>
        <v>7643.59</v>
      </c>
      <c r="J247" s="86"/>
      <c r="K247" s="7"/>
      <c r="L247" s="72">
        <f t="shared" si="74"/>
        <v>7643.59</v>
      </c>
      <c r="M247" s="22"/>
      <c r="N247" s="7"/>
      <c r="O247" s="23">
        <f t="shared" si="75"/>
        <v>7643.59</v>
      </c>
      <c r="P247" s="80"/>
      <c r="Q247" s="78">
        <f t="shared" si="72"/>
        <v>7643.59</v>
      </c>
    </row>
    <row r="248" spans="1:17" ht="12.75" hidden="1">
      <c r="A248" s="38" t="s">
        <v>90</v>
      </c>
      <c r="B248" s="97">
        <v>34070</v>
      </c>
      <c r="C248" s="197"/>
      <c r="D248" s="146"/>
      <c r="E248" s="146"/>
      <c r="F248" s="134">
        <f t="shared" si="71"/>
        <v>0</v>
      </c>
      <c r="G248" s="263"/>
      <c r="H248" s="7"/>
      <c r="I248" s="244">
        <f t="shared" si="73"/>
        <v>0</v>
      </c>
      <c r="J248" s="86"/>
      <c r="K248" s="7"/>
      <c r="L248" s="72">
        <f t="shared" si="74"/>
        <v>0</v>
      </c>
      <c r="M248" s="22"/>
      <c r="N248" s="7"/>
      <c r="O248" s="23">
        <f t="shared" si="75"/>
        <v>0</v>
      </c>
      <c r="P248" s="80"/>
      <c r="Q248" s="78">
        <f t="shared" si="72"/>
        <v>0</v>
      </c>
    </row>
    <row r="249" spans="1:17" ht="12.75">
      <c r="A249" s="38" t="s">
        <v>350</v>
      </c>
      <c r="B249" s="97">
        <v>34013</v>
      </c>
      <c r="C249" s="197"/>
      <c r="D249" s="146"/>
      <c r="E249" s="146"/>
      <c r="F249" s="134">
        <f t="shared" si="71"/>
        <v>0</v>
      </c>
      <c r="G249" s="263">
        <f>108+110+167+65</f>
        <v>450</v>
      </c>
      <c r="H249" s="7"/>
      <c r="I249" s="244">
        <f t="shared" si="73"/>
        <v>450</v>
      </c>
      <c r="J249" s="86"/>
      <c r="K249" s="7"/>
      <c r="L249" s="72"/>
      <c r="M249" s="22"/>
      <c r="N249" s="7"/>
      <c r="O249" s="23"/>
      <c r="P249" s="80"/>
      <c r="Q249" s="78"/>
    </row>
    <row r="250" spans="1:17" ht="12.75">
      <c r="A250" s="38" t="s">
        <v>349</v>
      </c>
      <c r="B250" s="97">
        <v>34026</v>
      </c>
      <c r="C250" s="197"/>
      <c r="D250" s="146"/>
      <c r="E250" s="146"/>
      <c r="F250" s="134">
        <f t="shared" si="71"/>
        <v>0</v>
      </c>
      <c r="G250" s="263">
        <f>490.3</f>
        <v>490.3</v>
      </c>
      <c r="H250" s="7"/>
      <c r="I250" s="244">
        <f t="shared" si="73"/>
        <v>490.3</v>
      </c>
      <c r="J250" s="86"/>
      <c r="K250" s="7"/>
      <c r="L250" s="72"/>
      <c r="M250" s="22"/>
      <c r="N250" s="7"/>
      <c r="O250" s="23"/>
      <c r="P250" s="80"/>
      <c r="Q250" s="78"/>
    </row>
    <row r="251" spans="1:17" ht="12.75">
      <c r="A251" s="38" t="s">
        <v>91</v>
      </c>
      <c r="B251" s="97">
        <v>34053</v>
      </c>
      <c r="C251" s="197"/>
      <c r="D251" s="146"/>
      <c r="E251" s="146"/>
      <c r="F251" s="134">
        <f t="shared" si="71"/>
        <v>0</v>
      </c>
      <c r="G251" s="263">
        <f>306</f>
        <v>306</v>
      </c>
      <c r="H251" s="7"/>
      <c r="I251" s="244">
        <f t="shared" si="73"/>
        <v>306</v>
      </c>
      <c r="J251" s="86"/>
      <c r="K251" s="7"/>
      <c r="L251" s="72">
        <f t="shared" si="74"/>
        <v>306</v>
      </c>
      <c r="M251" s="22"/>
      <c r="N251" s="7"/>
      <c r="O251" s="23">
        <f t="shared" si="75"/>
        <v>306</v>
      </c>
      <c r="P251" s="80"/>
      <c r="Q251" s="78">
        <f t="shared" si="72"/>
        <v>306</v>
      </c>
    </row>
    <row r="252" spans="1:17" ht="12.75">
      <c r="A252" s="38" t="s">
        <v>351</v>
      </c>
      <c r="B252" s="97">
        <v>33063</v>
      </c>
      <c r="C252" s="197"/>
      <c r="D252" s="146"/>
      <c r="E252" s="146"/>
      <c r="F252" s="134">
        <f t="shared" si="71"/>
        <v>0</v>
      </c>
      <c r="G252" s="263">
        <f>1805</f>
        <v>1805</v>
      </c>
      <c r="H252" s="7"/>
      <c r="I252" s="244">
        <f t="shared" si="73"/>
        <v>1805</v>
      </c>
      <c r="J252" s="86"/>
      <c r="K252" s="7"/>
      <c r="L252" s="72"/>
      <c r="M252" s="22"/>
      <c r="N252" s="7"/>
      <c r="O252" s="23"/>
      <c r="P252" s="80"/>
      <c r="Q252" s="78"/>
    </row>
    <row r="253" spans="1:17" ht="12.75">
      <c r="A253" s="38" t="s">
        <v>330</v>
      </c>
      <c r="B253" s="97"/>
      <c r="C253" s="197"/>
      <c r="D253" s="146">
        <f>269.44</f>
        <v>269.44</v>
      </c>
      <c r="E253" s="146"/>
      <c r="F253" s="134">
        <f t="shared" si="71"/>
        <v>269.44</v>
      </c>
      <c r="G253" s="263"/>
      <c r="H253" s="7"/>
      <c r="I253" s="244">
        <f t="shared" si="73"/>
        <v>269.44</v>
      </c>
      <c r="J253" s="86"/>
      <c r="K253" s="7"/>
      <c r="L253" s="72"/>
      <c r="M253" s="22"/>
      <c r="N253" s="7"/>
      <c r="O253" s="23"/>
      <c r="P253" s="80"/>
      <c r="Q253" s="78"/>
    </row>
    <row r="254" spans="1:17" ht="12.75">
      <c r="A254" s="38" t="s">
        <v>78</v>
      </c>
      <c r="B254" s="97"/>
      <c r="C254" s="197">
        <v>300</v>
      </c>
      <c r="D254" s="146"/>
      <c r="E254" s="146"/>
      <c r="F254" s="134">
        <f t="shared" si="71"/>
        <v>300</v>
      </c>
      <c r="G254" s="263"/>
      <c r="H254" s="7"/>
      <c r="I254" s="244">
        <f t="shared" si="73"/>
        <v>300</v>
      </c>
      <c r="J254" s="86"/>
      <c r="K254" s="7"/>
      <c r="L254" s="72">
        <f t="shared" si="74"/>
        <v>300</v>
      </c>
      <c r="M254" s="22"/>
      <c r="N254" s="7"/>
      <c r="O254" s="23">
        <f t="shared" si="75"/>
        <v>300</v>
      </c>
      <c r="P254" s="80"/>
      <c r="Q254" s="78">
        <f t="shared" si="72"/>
        <v>300</v>
      </c>
    </row>
    <row r="255" spans="1:17" ht="12.75">
      <c r="A255" s="40" t="s">
        <v>54</v>
      </c>
      <c r="B255" s="101"/>
      <c r="C255" s="200">
        <f>SUM(C257:C261)</f>
        <v>3380</v>
      </c>
      <c r="D255" s="149">
        <f aca="true" t="shared" si="76" ref="D255:Q255">SUM(D257:D261)</f>
        <v>3370</v>
      </c>
      <c r="E255" s="149">
        <f t="shared" si="76"/>
        <v>0</v>
      </c>
      <c r="F255" s="175">
        <f t="shared" si="76"/>
        <v>6750</v>
      </c>
      <c r="G255" s="265">
        <f t="shared" si="76"/>
        <v>-107</v>
      </c>
      <c r="H255" s="119">
        <f t="shared" si="76"/>
        <v>0</v>
      </c>
      <c r="I255" s="246">
        <f t="shared" si="76"/>
        <v>6643</v>
      </c>
      <c r="J255" s="175">
        <f t="shared" si="76"/>
        <v>0</v>
      </c>
      <c r="K255" s="119">
        <f t="shared" si="76"/>
        <v>0</v>
      </c>
      <c r="L255" s="149">
        <f t="shared" si="76"/>
        <v>6550</v>
      </c>
      <c r="M255" s="118">
        <f t="shared" si="76"/>
        <v>0</v>
      </c>
      <c r="N255" s="118">
        <f t="shared" si="76"/>
        <v>0</v>
      </c>
      <c r="O255" s="118">
        <f t="shared" si="76"/>
        <v>6550</v>
      </c>
      <c r="P255" s="118">
        <f t="shared" si="76"/>
        <v>0</v>
      </c>
      <c r="Q255" s="200">
        <f t="shared" si="76"/>
        <v>6550</v>
      </c>
    </row>
    <row r="256" spans="1:17" ht="12.75">
      <c r="A256" s="36" t="s">
        <v>26</v>
      </c>
      <c r="B256" s="97"/>
      <c r="C256" s="197"/>
      <c r="D256" s="146"/>
      <c r="E256" s="146"/>
      <c r="F256" s="134"/>
      <c r="G256" s="263"/>
      <c r="H256" s="7"/>
      <c r="I256" s="244"/>
      <c r="J256" s="86"/>
      <c r="K256" s="7"/>
      <c r="L256" s="72"/>
      <c r="M256" s="22"/>
      <c r="N256" s="7"/>
      <c r="O256" s="23"/>
      <c r="P256" s="80"/>
      <c r="Q256" s="78"/>
    </row>
    <row r="257" spans="1:17" ht="12.75" hidden="1">
      <c r="A257" s="38" t="s">
        <v>91</v>
      </c>
      <c r="B257" s="97">
        <v>34544</v>
      </c>
      <c r="C257" s="197"/>
      <c r="D257" s="146"/>
      <c r="E257" s="146"/>
      <c r="F257" s="134">
        <f>C257+D257+E257</f>
        <v>0</v>
      </c>
      <c r="G257" s="263"/>
      <c r="H257" s="7"/>
      <c r="I257" s="244">
        <f>F257+G257+H257</f>
        <v>0</v>
      </c>
      <c r="J257" s="86"/>
      <c r="K257" s="7"/>
      <c r="L257" s="72">
        <f>I257+J257+K257</f>
        <v>0</v>
      </c>
      <c r="M257" s="22"/>
      <c r="N257" s="7"/>
      <c r="O257" s="23">
        <f>L257+M257+N257</f>
        <v>0</v>
      </c>
      <c r="P257" s="80"/>
      <c r="Q257" s="78">
        <f>O257+P257</f>
        <v>0</v>
      </c>
    </row>
    <row r="258" spans="1:17" ht="12.75">
      <c r="A258" s="38" t="s">
        <v>350</v>
      </c>
      <c r="B258" s="97">
        <v>34941</v>
      </c>
      <c r="C258" s="197"/>
      <c r="D258" s="146"/>
      <c r="E258" s="146"/>
      <c r="F258" s="134">
        <f>C258+D258+E258</f>
        <v>0</v>
      </c>
      <c r="G258" s="263">
        <f>93</f>
        <v>93</v>
      </c>
      <c r="H258" s="7"/>
      <c r="I258" s="244">
        <f>F258+G258+H258</f>
        <v>93</v>
      </c>
      <c r="J258" s="86"/>
      <c r="K258" s="7"/>
      <c r="L258" s="72"/>
      <c r="M258" s="22"/>
      <c r="N258" s="7"/>
      <c r="O258" s="23"/>
      <c r="P258" s="80"/>
      <c r="Q258" s="78"/>
    </row>
    <row r="259" spans="1:17" ht="12.75">
      <c r="A259" s="95" t="s">
        <v>85</v>
      </c>
      <c r="B259" s="97"/>
      <c r="C259" s="197">
        <v>2850</v>
      </c>
      <c r="D259" s="146"/>
      <c r="E259" s="146"/>
      <c r="F259" s="134">
        <f>C259+D259+E259</f>
        <v>2850</v>
      </c>
      <c r="G259" s="263"/>
      <c r="H259" s="7"/>
      <c r="I259" s="244">
        <f>F259+G259+H259</f>
        <v>2850</v>
      </c>
      <c r="J259" s="86"/>
      <c r="K259" s="7"/>
      <c r="L259" s="72">
        <f>I259+J259+K259</f>
        <v>2850</v>
      </c>
      <c r="M259" s="22"/>
      <c r="N259" s="7"/>
      <c r="O259" s="23">
        <f>L259+M259+N259</f>
        <v>2850</v>
      </c>
      <c r="P259" s="80"/>
      <c r="Q259" s="78">
        <f>O259+P259</f>
        <v>2850</v>
      </c>
    </row>
    <row r="260" spans="1:17" ht="12.75">
      <c r="A260" s="195" t="s">
        <v>55</v>
      </c>
      <c r="B260" s="100"/>
      <c r="C260" s="292">
        <v>530</v>
      </c>
      <c r="D260" s="213">
        <f>3370</f>
        <v>3370</v>
      </c>
      <c r="E260" s="213"/>
      <c r="F260" s="229">
        <f>C260+D260+E260</f>
        <v>3900</v>
      </c>
      <c r="G260" s="268">
        <f>-200</f>
        <v>-200</v>
      </c>
      <c r="H260" s="10"/>
      <c r="I260" s="248">
        <f>F260+G260+H260</f>
        <v>3700</v>
      </c>
      <c r="J260" s="86"/>
      <c r="K260" s="7"/>
      <c r="L260" s="72">
        <f>I260+J260+K260</f>
        <v>3700</v>
      </c>
      <c r="M260" s="22"/>
      <c r="N260" s="7"/>
      <c r="O260" s="23">
        <f>L260+M260+N260</f>
        <v>3700</v>
      </c>
      <c r="P260" s="80"/>
      <c r="Q260" s="78">
        <f>O260+P260</f>
        <v>3700</v>
      </c>
    </row>
    <row r="261" spans="1:17" ht="12.75" hidden="1">
      <c r="A261" s="45" t="s">
        <v>78</v>
      </c>
      <c r="B261" s="100"/>
      <c r="C261" s="292"/>
      <c r="D261" s="213"/>
      <c r="E261" s="213"/>
      <c r="F261" s="229">
        <f>C261+D261+E261</f>
        <v>0</v>
      </c>
      <c r="G261" s="268"/>
      <c r="H261" s="10"/>
      <c r="I261" s="248">
        <f>F261+G261+H261</f>
        <v>0</v>
      </c>
      <c r="J261" s="177"/>
      <c r="K261" s="10"/>
      <c r="L261" s="71">
        <f>I261+J261+K261</f>
        <v>0</v>
      </c>
      <c r="M261" s="75"/>
      <c r="N261" s="10"/>
      <c r="O261" s="27">
        <f>L261+M261+N261</f>
        <v>0</v>
      </c>
      <c r="P261" s="83"/>
      <c r="Q261" s="84">
        <f>O261+P261</f>
        <v>0</v>
      </c>
    </row>
    <row r="262" spans="1:28" ht="12.75">
      <c r="A262" s="31" t="s">
        <v>283</v>
      </c>
      <c r="B262" s="101"/>
      <c r="C262" s="196">
        <f>C263+C266</f>
        <v>1365.7</v>
      </c>
      <c r="D262" s="129">
        <f>D263+D266</f>
        <v>160</v>
      </c>
      <c r="E262" s="129">
        <f>E263+E268</f>
        <v>0</v>
      </c>
      <c r="F262" s="140">
        <f>F263+F266</f>
        <v>1525.7</v>
      </c>
      <c r="G262" s="262">
        <f aca="true" t="shared" si="77" ref="G262:Q262">G263+G266</f>
        <v>0</v>
      </c>
      <c r="H262" s="112">
        <f t="shared" si="77"/>
        <v>0</v>
      </c>
      <c r="I262" s="243">
        <f t="shared" si="77"/>
        <v>1525.7</v>
      </c>
      <c r="J262" s="153">
        <f t="shared" si="77"/>
        <v>0</v>
      </c>
      <c r="K262" s="153">
        <f t="shared" si="77"/>
        <v>0</v>
      </c>
      <c r="L262" s="153">
        <f t="shared" si="77"/>
        <v>0</v>
      </c>
      <c r="M262" s="153">
        <f t="shared" si="77"/>
        <v>0</v>
      </c>
      <c r="N262" s="153">
        <f t="shared" si="77"/>
        <v>0</v>
      </c>
      <c r="O262" s="153">
        <f t="shared" si="77"/>
        <v>0</v>
      </c>
      <c r="P262" s="153">
        <f t="shared" si="77"/>
        <v>0</v>
      </c>
      <c r="Q262" s="153">
        <f t="shared" si="77"/>
        <v>0</v>
      </c>
      <c r="AA262" s="198"/>
      <c r="AB262" s="140"/>
    </row>
    <row r="263" spans="1:17" ht="12.75">
      <c r="A263" s="40" t="s">
        <v>49</v>
      </c>
      <c r="B263" s="101"/>
      <c r="C263" s="200">
        <f>SUM(C265:C265)</f>
        <v>1365.7</v>
      </c>
      <c r="D263" s="149">
        <f>SUM(D265:D265)</f>
        <v>160</v>
      </c>
      <c r="E263" s="149">
        <f>SUM(E265:E265)</f>
        <v>0</v>
      </c>
      <c r="F263" s="175">
        <f>SUM(F265:F265)</f>
        <v>1525.7</v>
      </c>
      <c r="G263" s="265">
        <f aca="true" t="shared" si="78" ref="G263:Q263">SUM(G265:G265)</f>
        <v>0</v>
      </c>
      <c r="H263" s="119">
        <f t="shared" si="78"/>
        <v>0</v>
      </c>
      <c r="I263" s="246">
        <f t="shared" si="78"/>
        <v>1525.7</v>
      </c>
      <c r="J263" s="163">
        <f t="shared" si="78"/>
        <v>0</v>
      </c>
      <c r="K263" s="163">
        <f t="shared" si="78"/>
        <v>0</v>
      </c>
      <c r="L263" s="163">
        <f t="shared" si="78"/>
        <v>0</v>
      </c>
      <c r="M263" s="163">
        <f t="shared" si="78"/>
        <v>0</v>
      </c>
      <c r="N263" s="163">
        <f t="shared" si="78"/>
        <v>0</v>
      </c>
      <c r="O263" s="163">
        <f t="shared" si="78"/>
        <v>0</v>
      </c>
      <c r="P263" s="163">
        <f t="shared" si="78"/>
        <v>0</v>
      </c>
      <c r="Q263" s="163">
        <f t="shared" si="78"/>
        <v>0</v>
      </c>
    </row>
    <row r="264" spans="1:17" ht="12.75">
      <c r="A264" s="36" t="s">
        <v>26</v>
      </c>
      <c r="B264" s="97"/>
      <c r="C264" s="197"/>
      <c r="D264" s="146"/>
      <c r="E264" s="146"/>
      <c r="F264" s="134"/>
      <c r="G264" s="263"/>
      <c r="H264" s="7"/>
      <c r="I264" s="244"/>
      <c r="J264" s="86"/>
      <c r="K264" s="7"/>
      <c r="L264" s="86"/>
      <c r="M264" s="30"/>
      <c r="N264" s="128"/>
      <c r="O264" s="86"/>
      <c r="P264" s="80"/>
      <c r="Q264" s="78"/>
    </row>
    <row r="265" spans="1:17" ht="12.75">
      <c r="A265" s="37" t="s">
        <v>51</v>
      </c>
      <c r="B265" s="100"/>
      <c r="C265" s="292">
        <v>1365.7</v>
      </c>
      <c r="D265" s="213">
        <f>-40+200</f>
        <v>160</v>
      </c>
      <c r="E265" s="213"/>
      <c r="F265" s="229">
        <f>C265+D265+E265</f>
        <v>1525.7</v>
      </c>
      <c r="G265" s="268"/>
      <c r="H265" s="10"/>
      <c r="I265" s="248">
        <f>F265+G265+H265</f>
        <v>1525.7</v>
      </c>
      <c r="J265" s="86"/>
      <c r="K265" s="7"/>
      <c r="L265" s="86"/>
      <c r="M265" s="30"/>
      <c r="N265" s="128"/>
      <c r="O265" s="86"/>
      <c r="P265" s="80"/>
      <c r="Q265" s="78"/>
    </row>
    <row r="266" spans="1:17" ht="12.75" hidden="1">
      <c r="A266" s="40" t="s">
        <v>54</v>
      </c>
      <c r="B266" s="101"/>
      <c r="C266" s="200">
        <f>C268</f>
        <v>0</v>
      </c>
      <c r="D266" s="149">
        <f>D268</f>
        <v>0</v>
      </c>
      <c r="E266" s="119">
        <f aca="true" t="shared" si="79" ref="E266:Q266">E268</f>
        <v>0</v>
      </c>
      <c r="F266" s="230">
        <f t="shared" si="79"/>
        <v>0</v>
      </c>
      <c r="G266" s="265">
        <f t="shared" si="79"/>
        <v>0</v>
      </c>
      <c r="H266" s="119">
        <f t="shared" si="79"/>
        <v>0</v>
      </c>
      <c r="I266" s="246">
        <f t="shared" si="79"/>
        <v>0</v>
      </c>
      <c r="J266" s="149">
        <f t="shared" si="79"/>
        <v>0</v>
      </c>
      <c r="K266" s="119">
        <f t="shared" si="79"/>
        <v>0</v>
      </c>
      <c r="L266" s="119">
        <f t="shared" si="79"/>
        <v>0</v>
      </c>
      <c r="M266" s="119">
        <f t="shared" si="79"/>
        <v>0</v>
      </c>
      <c r="N266" s="119">
        <f t="shared" si="79"/>
        <v>0</v>
      </c>
      <c r="O266" s="119">
        <f t="shared" si="79"/>
        <v>0</v>
      </c>
      <c r="P266" s="119">
        <f t="shared" si="79"/>
        <v>0</v>
      </c>
      <c r="Q266" s="119">
        <f t="shared" si="79"/>
        <v>0</v>
      </c>
    </row>
    <row r="267" spans="1:17" ht="12.75" hidden="1">
      <c r="A267" s="36" t="s">
        <v>26</v>
      </c>
      <c r="B267" s="97"/>
      <c r="C267" s="197"/>
      <c r="D267" s="146"/>
      <c r="E267" s="146"/>
      <c r="F267" s="134"/>
      <c r="G267" s="263"/>
      <c r="H267" s="7"/>
      <c r="I267" s="244"/>
      <c r="J267" s="86"/>
      <c r="K267" s="7"/>
      <c r="L267" s="72"/>
      <c r="M267" s="22"/>
      <c r="N267" s="7"/>
      <c r="O267" s="23"/>
      <c r="P267" s="80"/>
      <c r="Q267" s="78"/>
    </row>
    <row r="268" spans="1:17" ht="12.75" hidden="1">
      <c r="A268" s="195" t="s">
        <v>55</v>
      </c>
      <c r="B268" s="100"/>
      <c r="C268" s="292"/>
      <c r="D268" s="213"/>
      <c r="E268" s="213"/>
      <c r="F268" s="229">
        <f>C268+D268+E268</f>
        <v>0</v>
      </c>
      <c r="G268" s="263"/>
      <c r="H268" s="7"/>
      <c r="I268" s="244">
        <f>F268+G268+H268</f>
        <v>0</v>
      </c>
      <c r="J268" s="86"/>
      <c r="K268" s="7"/>
      <c r="L268" s="72">
        <f>I268+J268+K268</f>
        <v>0</v>
      </c>
      <c r="M268" s="22"/>
      <c r="N268" s="7"/>
      <c r="O268" s="23">
        <f>L268+M268+N268</f>
        <v>0</v>
      </c>
      <c r="P268" s="80"/>
      <c r="Q268" s="78">
        <f>O268+P268</f>
        <v>0</v>
      </c>
    </row>
    <row r="269" spans="1:17" ht="12.75">
      <c r="A269" s="31" t="s">
        <v>48</v>
      </c>
      <c r="B269" s="99"/>
      <c r="C269" s="196">
        <f>C270+C283</f>
        <v>63729.03999999999</v>
      </c>
      <c r="D269" s="129">
        <f>D270+D283</f>
        <v>208525.06</v>
      </c>
      <c r="E269" s="129">
        <f>E270+E283</f>
        <v>10000</v>
      </c>
      <c r="F269" s="140">
        <f>F270+F283</f>
        <v>282254.1</v>
      </c>
      <c r="G269" s="262">
        <f aca="true" t="shared" si="80" ref="G269:Q269">G270+G283</f>
        <v>-130000</v>
      </c>
      <c r="H269" s="112">
        <f t="shared" si="80"/>
        <v>0</v>
      </c>
      <c r="I269" s="243">
        <f t="shared" si="80"/>
        <v>152254.09999999998</v>
      </c>
      <c r="J269" s="153">
        <f t="shared" si="80"/>
        <v>0</v>
      </c>
      <c r="K269" s="153">
        <f t="shared" si="80"/>
        <v>0</v>
      </c>
      <c r="L269" s="153">
        <f t="shared" si="80"/>
        <v>55429.03999999999</v>
      </c>
      <c r="M269" s="153">
        <f t="shared" si="80"/>
        <v>0</v>
      </c>
      <c r="N269" s="153">
        <f t="shared" si="80"/>
        <v>0</v>
      </c>
      <c r="O269" s="153">
        <f t="shared" si="80"/>
        <v>55429.03999999999</v>
      </c>
      <c r="P269" s="153">
        <f t="shared" si="80"/>
        <v>0</v>
      </c>
      <c r="Q269" s="153">
        <f t="shared" si="80"/>
        <v>55429.03999999999</v>
      </c>
    </row>
    <row r="270" spans="1:17" ht="12.75">
      <c r="A270" s="40" t="s">
        <v>49</v>
      </c>
      <c r="B270" s="99"/>
      <c r="C270" s="200">
        <f>SUM(C272:C282)</f>
        <v>63729.03999999999</v>
      </c>
      <c r="D270" s="149">
        <f>SUM(D272:D282)</f>
        <v>204113</v>
      </c>
      <c r="E270" s="149">
        <f>SUM(E272:E282)</f>
        <v>10000</v>
      </c>
      <c r="F270" s="175">
        <f>SUM(F272:F282)</f>
        <v>277842.04</v>
      </c>
      <c r="G270" s="265">
        <f aca="true" t="shared" si="81" ref="G270:Q270">SUM(G272:G282)</f>
        <v>-130000</v>
      </c>
      <c r="H270" s="119">
        <f t="shared" si="81"/>
        <v>0</v>
      </c>
      <c r="I270" s="246">
        <f t="shared" si="81"/>
        <v>147842.03999999998</v>
      </c>
      <c r="J270" s="163">
        <f t="shared" si="81"/>
        <v>0</v>
      </c>
      <c r="K270" s="163">
        <f t="shared" si="81"/>
        <v>0</v>
      </c>
      <c r="L270" s="163">
        <f t="shared" si="81"/>
        <v>55429.03999999999</v>
      </c>
      <c r="M270" s="163">
        <f t="shared" si="81"/>
        <v>0</v>
      </c>
      <c r="N270" s="163">
        <f t="shared" si="81"/>
        <v>0</v>
      </c>
      <c r="O270" s="163">
        <f t="shared" si="81"/>
        <v>55429.03999999999</v>
      </c>
      <c r="P270" s="163">
        <f t="shared" si="81"/>
        <v>0</v>
      </c>
      <c r="Q270" s="163">
        <f t="shared" si="81"/>
        <v>55429.03999999999</v>
      </c>
    </row>
    <row r="271" spans="1:17" ht="12.75">
      <c r="A271" s="36" t="s">
        <v>26</v>
      </c>
      <c r="B271" s="70"/>
      <c r="C271" s="197"/>
      <c r="D271" s="146"/>
      <c r="E271" s="146"/>
      <c r="F271" s="134"/>
      <c r="G271" s="263"/>
      <c r="H271" s="7"/>
      <c r="I271" s="244"/>
      <c r="J271" s="86"/>
      <c r="K271" s="7"/>
      <c r="L271" s="72"/>
      <c r="M271" s="22"/>
      <c r="N271" s="7"/>
      <c r="O271" s="23"/>
      <c r="P271" s="80"/>
      <c r="Q271" s="78"/>
    </row>
    <row r="272" spans="1:17" ht="12.75">
      <c r="A272" s="34" t="s">
        <v>135</v>
      </c>
      <c r="B272" s="97"/>
      <c r="C272" s="197">
        <v>28272.67</v>
      </c>
      <c r="D272" s="146"/>
      <c r="E272" s="146"/>
      <c r="F272" s="134">
        <f aca="true" t="shared" si="82" ref="F272:F282">C272+D272+E272</f>
        <v>28272.67</v>
      </c>
      <c r="G272" s="263"/>
      <c r="H272" s="7"/>
      <c r="I272" s="244">
        <f aca="true" t="shared" si="83" ref="I272:I282">F272+G272+H272</f>
        <v>28272.67</v>
      </c>
      <c r="J272" s="86"/>
      <c r="K272" s="7"/>
      <c r="L272" s="72">
        <f>I272+J272+K272</f>
        <v>28272.67</v>
      </c>
      <c r="M272" s="22"/>
      <c r="N272" s="7"/>
      <c r="O272" s="23">
        <f>L272+M272+N272</f>
        <v>28272.67</v>
      </c>
      <c r="P272" s="80"/>
      <c r="Q272" s="78">
        <f>O272+P272</f>
        <v>28272.67</v>
      </c>
    </row>
    <row r="273" spans="1:17" ht="12.75">
      <c r="A273" s="34" t="s">
        <v>50</v>
      </c>
      <c r="B273" s="97"/>
      <c r="C273" s="197">
        <v>7192.59</v>
      </c>
      <c r="D273" s="146"/>
      <c r="E273" s="146"/>
      <c r="F273" s="134">
        <f t="shared" si="82"/>
        <v>7192.59</v>
      </c>
      <c r="G273" s="263"/>
      <c r="H273" s="7"/>
      <c r="I273" s="244">
        <f t="shared" si="83"/>
        <v>7192.59</v>
      </c>
      <c r="J273" s="86"/>
      <c r="K273" s="7"/>
      <c r="L273" s="72">
        <f>I273+J273+K273</f>
        <v>7192.59</v>
      </c>
      <c r="M273" s="22"/>
      <c r="N273" s="7"/>
      <c r="O273" s="23">
        <f>L273+M273+N273</f>
        <v>7192.59</v>
      </c>
      <c r="P273" s="80"/>
      <c r="Q273" s="78">
        <f>O273+P273</f>
        <v>7192.59</v>
      </c>
    </row>
    <row r="274" spans="1:17" ht="12.75">
      <c r="A274" s="34" t="s">
        <v>249</v>
      </c>
      <c r="B274" s="97"/>
      <c r="C274" s="197">
        <v>1450</v>
      </c>
      <c r="D274" s="146"/>
      <c r="E274" s="146"/>
      <c r="F274" s="134">
        <f t="shared" si="82"/>
        <v>1450</v>
      </c>
      <c r="G274" s="263"/>
      <c r="H274" s="7"/>
      <c r="I274" s="244">
        <f t="shared" si="83"/>
        <v>1450</v>
      </c>
      <c r="J274" s="86"/>
      <c r="K274" s="7"/>
      <c r="L274" s="72">
        <f>I274+J274+K274</f>
        <v>1450</v>
      </c>
      <c r="M274" s="22"/>
      <c r="N274" s="7"/>
      <c r="O274" s="23">
        <f>L274+M274+N274</f>
        <v>1450</v>
      </c>
      <c r="P274" s="80"/>
      <c r="Q274" s="78">
        <f>O274+P274</f>
        <v>1450</v>
      </c>
    </row>
    <row r="275" spans="1:17" ht="12.75">
      <c r="A275" s="34" t="s">
        <v>51</v>
      </c>
      <c r="B275" s="97"/>
      <c r="C275" s="197">
        <v>16713.78</v>
      </c>
      <c r="D275" s="146">
        <f>1300</f>
        <v>1300</v>
      </c>
      <c r="E275" s="146"/>
      <c r="F275" s="134">
        <f t="shared" si="82"/>
        <v>18013.78</v>
      </c>
      <c r="G275" s="263"/>
      <c r="H275" s="7"/>
      <c r="I275" s="244">
        <f t="shared" si="83"/>
        <v>18013.78</v>
      </c>
      <c r="J275" s="86"/>
      <c r="K275" s="7"/>
      <c r="L275" s="72">
        <f>I275+J275+K275</f>
        <v>18013.78</v>
      </c>
      <c r="M275" s="22"/>
      <c r="N275" s="7"/>
      <c r="O275" s="23">
        <f>L275+M275+N275</f>
        <v>18013.78</v>
      </c>
      <c r="P275" s="80"/>
      <c r="Q275" s="78">
        <f>O275+P275</f>
        <v>18013.78</v>
      </c>
    </row>
    <row r="276" spans="1:17" ht="12.75" hidden="1">
      <c r="A276" s="34" t="s">
        <v>78</v>
      </c>
      <c r="B276" s="97"/>
      <c r="C276" s="197"/>
      <c r="D276" s="146"/>
      <c r="E276" s="146"/>
      <c r="F276" s="134">
        <f t="shared" si="82"/>
        <v>0</v>
      </c>
      <c r="G276" s="263"/>
      <c r="H276" s="7"/>
      <c r="I276" s="244">
        <f t="shared" si="83"/>
        <v>0</v>
      </c>
      <c r="J276" s="86"/>
      <c r="K276" s="7"/>
      <c r="L276" s="72"/>
      <c r="M276" s="22"/>
      <c r="N276" s="7"/>
      <c r="O276" s="23"/>
      <c r="P276" s="80"/>
      <c r="Q276" s="78"/>
    </row>
    <row r="277" spans="1:17" ht="12.75">
      <c r="A277" s="34" t="s">
        <v>52</v>
      </c>
      <c r="B277" s="97"/>
      <c r="C277" s="197">
        <v>500</v>
      </c>
      <c r="D277" s="146"/>
      <c r="E277" s="146"/>
      <c r="F277" s="134">
        <f t="shared" si="82"/>
        <v>500</v>
      </c>
      <c r="G277" s="263"/>
      <c r="H277" s="7"/>
      <c r="I277" s="244">
        <f t="shared" si="83"/>
        <v>500</v>
      </c>
      <c r="J277" s="86"/>
      <c r="K277" s="7"/>
      <c r="L277" s="72">
        <f>I277+J277+K277</f>
        <v>500</v>
      </c>
      <c r="M277" s="22"/>
      <c r="N277" s="7"/>
      <c r="O277" s="23">
        <f>L277+M277+N277</f>
        <v>500</v>
      </c>
      <c r="P277" s="80"/>
      <c r="Q277" s="78">
        <f>O277+P277</f>
        <v>500</v>
      </c>
    </row>
    <row r="278" spans="1:17" ht="12.75">
      <c r="A278" s="34" t="s">
        <v>335</v>
      </c>
      <c r="B278" s="97"/>
      <c r="C278" s="197"/>
      <c r="D278" s="146">
        <v>200000</v>
      </c>
      <c r="E278" s="146">
        <v>10000</v>
      </c>
      <c r="F278" s="134">
        <f t="shared" si="82"/>
        <v>210000</v>
      </c>
      <c r="G278" s="263">
        <f>-140000</f>
        <v>-140000</v>
      </c>
      <c r="H278" s="7"/>
      <c r="I278" s="244">
        <f t="shared" si="83"/>
        <v>70000</v>
      </c>
      <c r="J278" s="86"/>
      <c r="K278" s="7"/>
      <c r="L278" s="72"/>
      <c r="M278" s="22"/>
      <c r="N278" s="7"/>
      <c r="O278" s="23"/>
      <c r="P278" s="80"/>
      <c r="Q278" s="78"/>
    </row>
    <row r="279" spans="1:17" ht="12.75">
      <c r="A279" s="34" t="s">
        <v>336</v>
      </c>
      <c r="B279" s="97">
        <v>98022</v>
      </c>
      <c r="C279" s="197"/>
      <c r="D279" s="146"/>
      <c r="E279" s="146"/>
      <c r="F279" s="134">
        <f t="shared" si="82"/>
        <v>0</v>
      </c>
      <c r="G279" s="263">
        <f>10000</f>
        <v>10000</v>
      </c>
      <c r="H279" s="7"/>
      <c r="I279" s="244">
        <f t="shared" si="83"/>
        <v>10000</v>
      </c>
      <c r="J279" s="86"/>
      <c r="K279" s="7"/>
      <c r="L279" s="72"/>
      <c r="M279" s="22"/>
      <c r="N279" s="7"/>
      <c r="O279" s="23"/>
      <c r="P279" s="80"/>
      <c r="Q279" s="78"/>
    </row>
    <row r="280" spans="1:17" ht="12.75">
      <c r="A280" s="34" t="s">
        <v>250</v>
      </c>
      <c r="B280" s="97"/>
      <c r="C280" s="197">
        <v>9000</v>
      </c>
      <c r="D280" s="146">
        <f>2600+40</f>
        <v>2640</v>
      </c>
      <c r="E280" s="146"/>
      <c r="F280" s="134">
        <f t="shared" si="82"/>
        <v>11640</v>
      </c>
      <c r="G280" s="263"/>
      <c r="H280" s="7"/>
      <c r="I280" s="244">
        <f t="shared" si="83"/>
        <v>11640</v>
      </c>
      <c r="J280" s="86"/>
      <c r="K280" s="7"/>
      <c r="L280" s="72"/>
      <c r="M280" s="22"/>
      <c r="N280" s="7"/>
      <c r="O280" s="23"/>
      <c r="P280" s="80"/>
      <c r="Q280" s="78"/>
    </row>
    <row r="281" spans="1:17" ht="12.75">
      <c r="A281" s="34" t="s">
        <v>251</v>
      </c>
      <c r="B281" s="97"/>
      <c r="C281" s="197">
        <v>600</v>
      </c>
      <c r="D281" s="146">
        <f>173</f>
        <v>173</v>
      </c>
      <c r="E281" s="146"/>
      <c r="F281" s="134">
        <f t="shared" si="82"/>
        <v>773</v>
      </c>
      <c r="G281" s="263"/>
      <c r="H281" s="7"/>
      <c r="I281" s="244">
        <f t="shared" si="83"/>
        <v>773</v>
      </c>
      <c r="J281" s="86"/>
      <c r="K281" s="7"/>
      <c r="L281" s="72"/>
      <c r="M281" s="22"/>
      <c r="N281" s="7"/>
      <c r="O281" s="23"/>
      <c r="P281" s="80"/>
      <c r="Q281" s="78"/>
    </row>
    <row r="282" spans="1:17" ht="12.75" hidden="1">
      <c r="A282" s="34" t="s">
        <v>53</v>
      </c>
      <c r="B282" s="97"/>
      <c r="C282" s="197"/>
      <c r="D282" s="146"/>
      <c r="E282" s="146"/>
      <c r="F282" s="134">
        <f t="shared" si="82"/>
        <v>0</v>
      </c>
      <c r="G282" s="263"/>
      <c r="H282" s="7"/>
      <c r="I282" s="244">
        <f t="shared" si="83"/>
        <v>0</v>
      </c>
      <c r="J282" s="86"/>
      <c r="K282" s="7"/>
      <c r="L282" s="72">
        <f>I282+J282+K282</f>
        <v>0</v>
      </c>
      <c r="M282" s="22"/>
      <c r="N282" s="7"/>
      <c r="O282" s="23">
        <f>L282+M282+N282</f>
        <v>0</v>
      </c>
      <c r="P282" s="80"/>
      <c r="Q282" s="78">
        <f>O282+P282</f>
        <v>0</v>
      </c>
    </row>
    <row r="283" spans="1:17" ht="12.75">
      <c r="A283" s="41" t="s">
        <v>54</v>
      </c>
      <c r="B283" s="101"/>
      <c r="C283" s="201">
        <f aca="true" t="shared" si="84" ref="C283:Q283">SUM(C285:C289)</f>
        <v>0</v>
      </c>
      <c r="D283" s="150">
        <f t="shared" si="84"/>
        <v>4412.0599999999995</v>
      </c>
      <c r="E283" s="150">
        <f t="shared" si="84"/>
        <v>0</v>
      </c>
      <c r="F283" s="176">
        <f t="shared" si="84"/>
        <v>4412.0599999999995</v>
      </c>
      <c r="G283" s="266">
        <f t="shared" si="84"/>
        <v>0</v>
      </c>
      <c r="H283" s="121">
        <f t="shared" si="84"/>
        <v>0</v>
      </c>
      <c r="I283" s="247">
        <f t="shared" si="84"/>
        <v>4412.0599999999995</v>
      </c>
      <c r="J283" s="176">
        <f t="shared" si="84"/>
        <v>0</v>
      </c>
      <c r="K283" s="121">
        <f t="shared" si="84"/>
        <v>0</v>
      </c>
      <c r="L283" s="150">
        <f t="shared" si="84"/>
        <v>0</v>
      </c>
      <c r="M283" s="120">
        <f t="shared" si="84"/>
        <v>0</v>
      </c>
      <c r="N283" s="120">
        <f t="shared" si="84"/>
        <v>0</v>
      </c>
      <c r="O283" s="120">
        <f t="shared" si="84"/>
        <v>0</v>
      </c>
      <c r="P283" s="120">
        <f t="shared" si="84"/>
        <v>0</v>
      </c>
      <c r="Q283" s="201">
        <f t="shared" si="84"/>
        <v>0</v>
      </c>
    </row>
    <row r="284" spans="1:17" ht="12.75">
      <c r="A284" s="32" t="s">
        <v>26</v>
      </c>
      <c r="B284" s="97"/>
      <c r="C284" s="199"/>
      <c r="D284" s="147"/>
      <c r="E284" s="147"/>
      <c r="F284" s="131"/>
      <c r="G284" s="267"/>
      <c r="H284" s="8"/>
      <c r="I284" s="226"/>
      <c r="J284" s="173"/>
      <c r="K284" s="8"/>
      <c r="L284" s="28"/>
      <c r="M284" s="24"/>
      <c r="N284" s="8"/>
      <c r="O284" s="25"/>
      <c r="P284" s="80"/>
      <c r="Q284" s="78"/>
    </row>
    <row r="285" spans="1:17" ht="12.75" hidden="1">
      <c r="A285" s="34" t="s">
        <v>154</v>
      </c>
      <c r="B285" s="97"/>
      <c r="C285" s="197"/>
      <c r="D285" s="146"/>
      <c r="E285" s="146"/>
      <c r="F285" s="134">
        <f>C285+D285+E285</f>
        <v>0</v>
      </c>
      <c r="G285" s="263"/>
      <c r="H285" s="7"/>
      <c r="I285" s="244">
        <f>F285+G285+H285</f>
        <v>0</v>
      </c>
      <c r="J285" s="86"/>
      <c r="K285" s="7"/>
      <c r="L285" s="72">
        <f>I285+J285+K285</f>
        <v>0</v>
      </c>
      <c r="M285" s="22"/>
      <c r="N285" s="7"/>
      <c r="O285" s="23">
        <f>L285+M285+N285</f>
        <v>0</v>
      </c>
      <c r="P285" s="80"/>
      <c r="Q285" s="78">
        <f>O285+P285</f>
        <v>0</v>
      </c>
    </row>
    <row r="286" spans="1:17" ht="12.75">
      <c r="A286" s="34" t="s">
        <v>250</v>
      </c>
      <c r="B286" s="97"/>
      <c r="C286" s="197"/>
      <c r="D286" s="146">
        <f>321+450</f>
        <v>771</v>
      </c>
      <c r="E286" s="146"/>
      <c r="F286" s="134">
        <f>C286+D286+E286</f>
        <v>771</v>
      </c>
      <c r="G286" s="263"/>
      <c r="H286" s="7"/>
      <c r="I286" s="244">
        <f>F286+G286+H286</f>
        <v>771</v>
      </c>
      <c r="J286" s="86"/>
      <c r="K286" s="7"/>
      <c r="L286" s="72"/>
      <c r="M286" s="22"/>
      <c r="N286" s="7"/>
      <c r="O286" s="23"/>
      <c r="P286" s="80"/>
      <c r="Q286" s="78"/>
    </row>
    <row r="287" spans="1:17" ht="12.75">
      <c r="A287" s="37" t="s">
        <v>251</v>
      </c>
      <c r="B287" s="100"/>
      <c r="C287" s="292"/>
      <c r="D287" s="213">
        <f>3641.06</f>
        <v>3641.06</v>
      </c>
      <c r="E287" s="213"/>
      <c r="F287" s="229">
        <f>C287+D287+E287</f>
        <v>3641.06</v>
      </c>
      <c r="G287" s="268"/>
      <c r="H287" s="10"/>
      <c r="I287" s="248">
        <f>F287+G287+H287</f>
        <v>3641.06</v>
      </c>
      <c r="J287" s="86"/>
      <c r="K287" s="7"/>
      <c r="L287" s="72"/>
      <c r="M287" s="22"/>
      <c r="N287" s="7"/>
      <c r="O287" s="23"/>
      <c r="P287" s="80"/>
      <c r="Q287" s="78"/>
    </row>
    <row r="288" spans="1:17" ht="12.75" hidden="1">
      <c r="A288" s="34" t="s">
        <v>53</v>
      </c>
      <c r="B288" s="97"/>
      <c r="C288" s="197"/>
      <c r="D288" s="146"/>
      <c r="E288" s="146"/>
      <c r="F288" s="134">
        <f>C288+D288+E288</f>
        <v>0</v>
      </c>
      <c r="G288" s="268"/>
      <c r="H288" s="10"/>
      <c r="I288" s="248">
        <f>F288+G288+H288</f>
        <v>0</v>
      </c>
      <c r="J288" s="177"/>
      <c r="K288" s="10"/>
      <c r="L288" s="71">
        <f>I288+J288+K288</f>
        <v>0</v>
      </c>
      <c r="M288" s="26"/>
      <c r="N288" s="10"/>
      <c r="O288" s="27">
        <f>L288+M288+N288</f>
        <v>0</v>
      </c>
      <c r="P288" s="83"/>
      <c r="Q288" s="84">
        <f>O288+P288</f>
        <v>0</v>
      </c>
    </row>
    <row r="289" spans="1:17" ht="12.75" hidden="1">
      <c r="A289" s="37" t="s">
        <v>55</v>
      </c>
      <c r="B289" s="100"/>
      <c r="C289" s="292"/>
      <c r="D289" s="213"/>
      <c r="E289" s="213"/>
      <c r="F289" s="229">
        <f>C289+D289+E289</f>
        <v>0</v>
      </c>
      <c r="G289" s="268"/>
      <c r="H289" s="10"/>
      <c r="I289" s="248">
        <f>F289+G289+H289</f>
        <v>0</v>
      </c>
      <c r="J289" s="177"/>
      <c r="K289" s="10"/>
      <c r="L289" s="71">
        <f>I289+J289+K289</f>
        <v>0</v>
      </c>
      <c r="M289" s="26"/>
      <c r="N289" s="10"/>
      <c r="O289" s="27">
        <f>L289+M289+N289</f>
        <v>0</v>
      </c>
      <c r="P289" s="80"/>
      <c r="Q289" s="78">
        <f>O289+P289</f>
        <v>0</v>
      </c>
    </row>
    <row r="290" spans="1:17" ht="12.75">
      <c r="A290" s="31" t="s">
        <v>255</v>
      </c>
      <c r="B290" s="101"/>
      <c r="C290" s="196">
        <f aca="true" t="shared" si="85" ref="C290:Q290">C291+C310</f>
        <v>448158.94</v>
      </c>
      <c r="D290" s="129">
        <f t="shared" si="85"/>
        <v>11224.98</v>
      </c>
      <c r="E290" s="129">
        <f t="shared" si="85"/>
        <v>0</v>
      </c>
      <c r="F290" s="140">
        <f t="shared" si="85"/>
        <v>459383.92</v>
      </c>
      <c r="G290" s="262">
        <f t="shared" si="85"/>
        <v>2082.86</v>
      </c>
      <c r="H290" s="112">
        <f t="shared" si="85"/>
        <v>0</v>
      </c>
      <c r="I290" s="243">
        <f t="shared" si="85"/>
        <v>461466.77999999997</v>
      </c>
      <c r="J290" s="140">
        <f t="shared" si="85"/>
        <v>0</v>
      </c>
      <c r="K290" s="112">
        <f t="shared" si="85"/>
        <v>0</v>
      </c>
      <c r="L290" s="129">
        <f t="shared" si="85"/>
        <v>460343.92</v>
      </c>
      <c r="M290" s="111">
        <f t="shared" si="85"/>
        <v>0</v>
      </c>
      <c r="N290" s="111">
        <f t="shared" si="85"/>
        <v>0</v>
      </c>
      <c r="O290" s="111">
        <f t="shared" si="85"/>
        <v>460343.92</v>
      </c>
      <c r="P290" s="111">
        <f t="shared" si="85"/>
        <v>0</v>
      </c>
      <c r="Q290" s="196">
        <f t="shared" si="85"/>
        <v>460343.92</v>
      </c>
    </row>
    <row r="291" spans="1:17" ht="12.75">
      <c r="A291" s="40" t="s">
        <v>49</v>
      </c>
      <c r="B291" s="101"/>
      <c r="C291" s="200">
        <f aca="true" t="shared" si="86" ref="C291:Q291">SUM(C293:C309)</f>
        <v>448158.94</v>
      </c>
      <c r="D291" s="149">
        <f t="shared" si="86"/>
        <v>11224.98</v>
      </c>
      <c r="E291" s="149">
        <f t="shared" si="86"/>
        <v>0</v>
      </c>
      <c r="F291" s="175">
        <f t="shared" si="86"/>
        <v>459383.92</v>
      </c>
      <c r="G291" s="265">
        <f t="shared" si="86"/>
        <v>2082.86</v>
      </c>
      <c r="H291" s="119">
        <f t="shared" si="86"/>
        <v>0</v>
      </c>
      <c r="I291" s="246">
        <f t="shared" si="86"/>
        <v>461466.77999999997</v>
      </c>
      <c r="J291" s="175">
        <f t="shared" si="86"/>
        <v>0</v>
      </c>
      <c r="K291" s="119">
        <f t="shared" si="86"/>
        <v>0</v>
      </c>
      <c r="L291" s="149">
        <f t="shared" si="86"/>
        <v>460343.92</v>
      </c>
      <c r="M291" s="118">
        <f t="shared" si="86"/>
        <v>0</v>
      </c>
      <c r="N291" s="118">
        <f t="shared" si="86"/>
        <v>0</v>
      </c>
      <c r="O291" s="118">
        <f t="shared" si="86"/>
        <v>460343.92</v>
      </c>
      <c r="P291" s="118">
        <f t="shared" si="86"/>
        <v>0</v>
      </c>
      <c r="Q291" s="200">
        <f t="shared" si="86"/>
        <v>460343.92</v>
      </c>
    </row>
    <row r="292" spans="1:17" ht="12.75">
      <c r="A292" s="36" t="s">
        <v>26</v>
      </c>
      <c r="B292" s="97"/>
      <c r="C292" s="197"/>
      <c r="D292" s="146"/>
      <c r="E292" s="146"/>
      <c r="F292" s="134"/>
      <c r="G292" s="263"/>
      <c r="H292" s="7"/>
      <c r="I292" s="244"/>
      <c r="J292" s="86"/>
      <c r="K292" s="7"/>
      <c r="L292" s="72"/>
      <c r="M292" s="22"/>
      <c r="N292" s="7"/>
      <c r="O292" s="23"/>
      <c r="P292" s="80"/>
      <c r="Q292" s="78"/>
    </row>
    <row r="293" spans="1:17" ht="12.75">
      <c r="A293" s="43" t="s">
        <v>136</v>
      </c>
      <c r="B293" s="97"/>
      <c r="C293" s="197">
        <v>237478.44</v>
      </c>
      <c r="D293" s="146"/>
      <c r="E293" s="146"/>
      <c r="F293" s="134">
        <f aca="true" t="shared" si="87" ref="F293:F309">C293+D293+E293</f>
        <v>237478.44</v>
      </c>
      <c r="G293" s="263">
        <f>320+120</f>
        <v>440</v>
      </c>
      <c r="H293" s="7"/>
      <c r="I293" s="244">
        <f>F293+G293+H293</f>
        <v>237918.44</v>
      </c>
      <c r="J293" s="86"/>
      <c r="K293" s="7"/>
      <c r="L293" s="72">
        <f>I293+J293+K293</f>
        <v>237918.44</v>
      </c>
      <c r="M293" s="22"/>
      <c r="N293" s="7"/>
      <c r="O293" s="23">
        <f>L293+M293+N293</f>
        <v>237918.44</v>
      </c>
      <c r="P293" s="80"/>
      <c r="Q293" s="78">
        <f aca="true" t="shared" si="88" ref="Q293:Q300">O293+P293</f>
        <v>237918.44</v>
      </c>
    </row>
    <row r="294" spans="1:17" ht="12.75">
      <c r="A294" s="34" t="s">
        <v>50</v>
      </c>
      <c r="B294" s="97"/>
      <c r="C294" s="197">
        <v>80587.27</v>
      </c>
      <c r="D294" s="146"/>
      <c r="E294" s="146"/>
      <c r="F294" s="134">
        <f t="shared" si="87"/>
        <v>80587.27</v>
      </c>
      <c r="G294" s="263">
        <f>20</f>
        <v>20</v>
      </c>
      <c r="H294" s="7"/>
      <c r="I294" s="244">
        <f aca="true" t="shared" si="89" ref="I294:I305">F294+G294+H294</f>
        <v>80607.27</v>
      </c>
      <c r="J294" s="86"/>
      <c r="K294" s="7"/>
      <c r="L294" s="72">
        <f aca="true" t="shared" si="90" ref="L294:L300">I294+J294+K294</f>
        <v>80607.27</v>
      </c>
      <c r="M294" s="22"/>
      <c r="N294" s="7"/>
      <c r="O294" s="23">
        <f aca="true" t="shared" si="91" ref="O294:O300">L294+M294+N294</f>
        <v>80607.27</v>
      </c>
      <c r="P294" s="80"/>
      <c r="Q294" s="78">
        <f t="shared" si="88"/>
        <v>80607.27</v>
      </c>
    </row>
    <row r="295" spans="1:17" ht="12.75">
      <c r="A295" s="34" t="s">
        <v>249</v>
      </c>
      <c r="B295" s="97"/>
      <c r="C295" s="197">
        <v>200</v>
      </c>
      <c r="D295" s="146"/>
      <c r="E295" s="146"/>
      <c r="F295" s="134">
        <f t="shared" si="87"/>
        <v>200</v>
      </c>
      <c r="G295" s="263"/>
      <c r="H295" s="7"/>
      <c r="I295" s="244">
        <f t="shared" si="89"/>
        <v>200</v>
      </c>
      <c r="J295" s="86"/>
      <c r="K295" s="7"/>
      <c r="L295" s="72">
        <f t="shared" si="90"/>
        <v>200</v>
      </c>
      <c r="M295" s="22"/>
      <c r="N295" s="7"/>
      <c r="O295" s="23">
        <f t="shared" si="91"/>
        <v>200</v>
      </c>
      <c r="P295" s="80"/>
      <c r="Q295" s="78">
        <f t="shared" si="88"/>
        <v>200</v>
      </c>
    </row>
    <row r="296" spans="1:17" ht="12.75">
      <c r="A296" s="34" t="s">
        <v>51</v>
      </c>
      <c r="B296" s="97"/>
      <c r="C296" s="197">
        <v>65726.5</v>
      </c>
      <c r="D296" s="283">
        <f>9011+418.98</f>
        <v>9429.98</v>
      </c>
      <c r="E296" s="146"/>
      <c r="F296" s="134">
        <f t="shared" si="87"/>
        <v>75156.48</v>
      </c>
      <c r="G296" s="263"/>
      <c r="H296" s="7"/>
      <c r="I296" s="244">
        <f t="shared" si="89"/>
        <v>75156.48</v>
      </c>
      <c r="J296" s="86"/>
      <c r="K296" s="7"/>
      <c r="L296" s="72">
        <f t="shared" si="90"/>
        <v>75156.48</v>
      </c>
      <c r="M296" s="22"/>
      <c r="N296" s="7"/>
      <c r="O296" s="23">
        <f t="shared" si="91"/>
        <v>75156.48</v>
      </c>
      <c r="P296" s="80"/>
      <c r="Q296" s="78">
        <f t="shared" si="88"/>
        <v>75156.48</v>
      </c>
    </row>
    <row r="297" spans="1:17" ht="12.75">
      <c r="A297" s="34" t="s">
        <v>56</v>
      </c>
      <c r="B297" s="97">
        <v>1115</v>
      </c>
      <c r="C297" s="197">
        <v>350</v>
      </c>
      <c r="D297" s="146">
        <f>80</f>
        <v>80</v>
      </c>
      <c r="E297" s="146"/>
      <c r="F297" s="134">
        <f t="shared" si="87"/>
        <v>430</v>
      </c>
      <c r="G297" s="263"/>
      <c r="H297" s="7"/>
      <c r="I297" s="244">
        <f t="shared" si="89"/>
        <v>430</v>
      </c>
      <c r="J297" s="86"/>
      <c r="K297" s="7"/>
      <c r="L297" s="72">
        <f t="shared" si="90"/>
        <v>430</v>
      </c>
      <c r="M297" s="22"/>
      <c r="N297" s="7"/>
      <c r="O297" s="23">
        <f t="shared" si="91"/>
        <v>430</v>
      </c>
      <c r="P297" s="80"/>
      <c r="Q297" s="78">
        <f t="shared" si="88"/>
        <v>430</v>
      </c>
    </row>
    <row r="298" spans="1:17" ht="12.75" hidden="1">
      <c r="A298" s="34" t="s">
        <v>57</v>
      </c>
      <c r="B298" s="97"/>
      <c r="C298" s="197"/>
      <c r="D298" s="146"/>
      <c r="E298" s="146"/>
      <c r="F298" s="134">
        <f t="shared" si="87"/>
        <v>0</v>
      </c>
      <c r="G298" s="263"/>
      <c r="H298" s="7"/>
      <c r="I298" s="244">
        <f t="shared" si="89"/>
        <v>0</v>
      </c>
      <c r="J298" s="86"/>
      <c r="K298" s="7"/>
      <c r="L298" s="72">
        <f t="shared" si="90"/>
        <v>0</v>
      </c>
      <c r="M298" s="22"/>
      <c r="N298" s="7"/>
      <c r="O298" s="23">
        <f t="shared" si="91"/>
        <v>0</v>
      </c>
      <c r="P298" s="80"/>
      <c r="Q298" s="78">
        <f t="shared" si="88"/>
        <v>0</v>
      </c>
    </row>
    <row r="299" spans="1:17" ht="12.75">
      <c r="A299" s="34" t="s">
        <v>58</v>
      </c>
      <c r="B299" s="97">
        <v>51</v>
      </c>
      <c r="C299" s="197">
        <v>63816.73</v>
      </c>
      <c r="D299" s="146">
        <f>1700</f>
        <v>1700</v>
      </c>
      <c r="E299" s="146"/>
      <c r="F299" s="134">
        <f t="shared" si="87"/>
        <v>65516.73</v>
      </c>
      <c r="G299" s="263"/>
      <c r="H299" s="7"/>
      <c r="I299" s="244">
        <f t="shared" si="89"/>
        <v>65516.73</v>
      </c>
      <c r="J299" s="86"/>
      <c r="K299" s="7"/>
      <c r="L299" s="72">
        <f t="shared" si="90"/>
        <v>65516.73</v>
      </c>
      <c r="M299" s="22"/>
      <c r="N299" s="7"/>
      <c r="O299" s="23">
        <f t="shared" si="91"/>
        <v>65516.73</v>
      </c>
      <c r="P299" s="80"/>
      <c r="Q299" s="78">
        <f t="shared" si="88"/>
        <v>65516.73</v>
      </c>
    </row>
    <row r="300" spans="1:17" ht="12.75" hidden="1">
      <c r="A300" s="34" t="s">
        <v>77</v>
      </c>
      <c r="B300" s="97"/>
      <c r="C300" s="197"/>
      <c r="D300" s="146"/>
      <c r="E300" s="146"/>
      <c r="F300" s="134">
        <f t="shared" si="87"/>
        <v>0</v>
      </c>
      <c r="G300" s="263"/>
      <c r="H300" s="7"/>
      <c r="I300" s="244">
        <f t="shared" si="89"/>
        <v>0</v>
      </c>
      <c r="J300" s="86"/>
      <c r="K300" s="7"/>
      <c r="L300" s="72">
        <f t="shared" si="90"/>
        <v>0</v>
      </c>
      <c r="M300" s="22"/>
      <c r="N300" s="7"/>
      <c r="O300" s="23">
        <f t="shared" si="91"/>
        <v>0</v>
      </c>
      <c r="P300" s="80"/>
      <c r="Q300" s="78">
        <f t="shared" si="88"/>
        <v>0</v>
      </c>
    </row>
    <row r="301" spans="1:17" ht="12.75" hidden="1">
      <c r="A301" s="34" t="s">
        <v>200</v>
      </c>
      <c r="B301" s="97">
        <v>13234</v>
      </c>
      <c r="C301" s="197"/>
      <c r="D301" s="146"/>
      <c r="E301" s="146"/>
      <c r="F301" s="134">
        <f t="shared" si="87"/>
        <v>0</v>
      </c>
      <c r="G301" s="263"/>
      <c r="H301" s="7"/>
      <c r="I301" s="244">
        <f t="shared" si="89"/>
        <v>0</v>
      </c>
      <c r="J301" s="86"/>
      <c r="K301" s="7"/>
      <c r="L301" s="72"/>
      <c r="M301" s="22"/>
      <c r="N301" s="7"/>
      <c r="O301" s="23"/>
      <c r="P301" s="80"/>
      <c r="Q301" s="78"/>
    </row>
    <row r="302" spans="1:17" ht="12.75">
      <c r="A302" s="34" t="s">
        <v>340</v>
      </c>
      <c r="B302" s="143">
        <v>13014</v>
      </c>
      <c r="C302" s="197"/>
      <c r="D302" s="146"/>
      <c r="E302" s="146"/>
      <c r="F302" s="134">
        <f t="shared" si="87"/>
        <v>0</v>
      </c>
      <c r="G302" s="263">
        <f>234.94</f>
        <v>234.94</v>
      </c>
      <c r="H302" s="7"/>
      <c r="I302" s="244">
        <f t="shared" si="89"/>
        <v>234.94</v>
      </c>
      <c r="J302" s="86"/>
      <c r="K302" s="7"/>
      <c r="L302" s="72"/>
      <c r="M302" s="22"/>
      <c r="N302" s="7"/>
      <c r="O302" s="23"/>
      <c r="P302" s="80"/>
      <c r="Q302" s="78"/>
    </row>
    <row r="303" spans="1:17" ht="12.75" hidden="1">
      <c r="A303" s="34" t="s">
        <v>59</v>
      </c>
      <c r="B303" s="97"/>
      <c r="C303" s="197"/>
      <c r="D303" s="146"/>
      <c r="E303" s="146"/>
      <c r="F303" s="134">
        <f t="shared" si="87"/>
        <v>0</v>
      </c>
      <c r="G303" s="263"/>
      <c r="H303" s="7"/>
      <c r="I303" s="244">
        <f t="shared" si="89"/>
        <v>0</v>
      </c>
      <c r="J303" s="86"/>
      <c r="K303" s="7"/>
      <c r="L303" s="72">
        <f>I303+J303+K303</f>
        <v>0</v>
      </c>
      <c r="M303" s="22"/>
      <c r="N303" s="7"/>
      <c r="O303" s="23">
        <f>L303+M303+N303</f>
        <v>0</v>
      </c>
      <c r="P303" s="80"/>
      <c r="Q303" s="78">
        <f>O303+P303</f>
        <v>0</v>
      </c>
    </row>
    <row r="304" spans="1:17" ht="12.75" hidden="1">
      <c r="A304" s="34" t="s">
        <v>258</v>
      </c>
      <c r="B304" s="97">
        <v>98008</v>
      </c>
      <c r="C304" s="197"/>
      <c r="D304" s="146"/>
      <c r="E304" s="146"/>
      <c r="F304" s="134">
        <f t="shared" si="87"/>
        <v>0</v>
      </c>
      <c r="G304" s="263"/>
      <c r="H304" s="7"/>
      <c r="I304" s="244">
        <f t="shared" si="89"/>
        <v>0</v>
      </c>
      <c r="J304" s="86"/>
      <c r="K304" s="7"/>
      <c r="L304" s="72"/>
      <c r="M304" s="22"/>
      <c r="N304" s="7"/>
      <c r="O304" s="23"/>
      <c r="P304" s="80"/>
      <c r="Q304" s="78"/>
    </row>
    <row r="305" spans="1:17" ht="12.75" hidden="1">
      <c r="A305" s="34" t="s">
        <v>259</v>
      </c>
      <c r="B305" s="97">
        <v>98071</v>
      </c>
      <c r="C305" s="197"/>
      <c r="D305" s="146"/>
      <c r="E305" s="146"/>
      <c r="F305" s="134">
        <f t="shared" si="87"/>
        <v>0</v>
      </c>
      <c r="G305" s="263"/>
      <c r="H305" s="7"/>
      <c r="I305" s="244">
        <f t="shared" si="89"/>
        <v>0</v>
      </c>
      <c r="J305" s="86"/>
      <c r="K305" s="7"/>
      <c r="L305" s="72"/>
      <c r="M305" s="22"/>
      <c r="N305" s="7"/>
      <c r="O305" s="23"/>
      <c r="P305" s="80"/>
      <c r="Q305" s="78"/>
    </row>
    <row r="306" spans="1:17" ht="12.75">
      <c r="A306" s="34" t="s">
        <v>60</v>
      </c>
      <c r="B306" s="97">
        <v>98074</v>
      </c>
      <c r="C306" s="197"/>
      <c r="D306" s="146">
        <f>15</f>
        <v>15</v>
      </c>
      <c r="E306" s="146"/>
      <c r="F306" s="134">
        <f t="shared" si="87"/>
        <v>15</v>
      </c>
      <c r="G306" s="263"/>
      <c r="H306" s="7"/>
      <c r="I306" s="244">
        <f>F306+G306+H306</f>
        <v>15</v>
      </c>
      <c r="J306" s="86"/>
      <c r="K306" s="7"/>
      <c r="L306" s="72">
        <f>I306+J306+K306</f>
        <v>15</v>
      </c>
      <c r="M306" s="22"/>
      <c r="N306" s="7"/>
      <c r="O306" s="23">
        <f>L306+M306+N306</f>
        <v>15</v>
      </c>
      <c r="P306" s="80"/>
      <c r="Q306" s="78">
        <f>O306+P306</f>
        <v>15</v>
      </c>
    </row>
    <row r="307" spans="1:17" ht="12.75" hidden="1">
      <c r="A307" s="34" t="s">
        <v>61</v>
      </c>
      <c r="B307" s="97"/>
      <c r="C307" s="197"/>
      <c r="D307" s="146"/>
      <c r="E307" s="146"/>
      <c r="F307" s="134">
        <f t="shared" si="87"/>
        <v>0</v>
      </c>
      <c r="G307" s="263"/>
      <c r="H307" s="7"/>
      <c r="I307" s="244">
        <f>F307+G307+H307</f>
        <v>0</v>
      </c>
      <c r="J307" s="86"/>
      <c r="K307" s="7"/>
      <c r="L307" s="72">
        <f>I307+J307+K307</f>
        <v>0</v>
      </c>
      <c r="M307" s="22"/>
      <c r="N307" s="7"/>
      <c r="O307" s="23">
        <f>L307+M307+N307</f>
        <v>0</v>
      </c>
      <c r="P307" s="80"/>
      <c r="Q307" s="78">
        <f>O307+P307</f>
        <v>0</v>
      </c>
    </row>
    <row r="308" spans="1:17" ht="12.75">
      <c r="A308" s="34" t="s">
        <v>342</v>
      </c>
      <c r="B308" s="97">
        <v>13015</v>
      </c>
      <c r="C308" s="197"/>
      <c r="D308" s="146"/>
      <c r="E308" s="146"/>
      <c r="F308" s="134">
        <f t="shared" si="87"/>
        <v>0</v>
      </c>
      <c r="G308" s="263">
        <f>887.92</f>
        <v>887.92</v>
      </c>
      <c r="H308" s="7"/>
      <c r="I308" s="244">
        <f>F308+G308+H308</f>
        <v>887.92</v>
      </c>
      <c r="J308" s="86"/>
      <c r="K308" s="7"/>
      <c r="L308" s="72"/>
      <c r="M308" s="22"/>
      <c r="N308" s="7"/>
      <c r="O308" s="23"/>
      <c r="P308" s="80"/>
      <c r="Q308" s="78"/>
    </row>
    <row r="309" spans="1:17" ht="12.75">
      <c r="A309" s="37" t="s">
        <v>62</v>
      </c>
      <c r="B309" s="100">
        <v>4001</v>
      </c>
      <c r="C309" s="292"/>
      <c r="D309" s="213"/>
      <c r="E309" s="213"/>
      <c r="F309" s="229">
        <f t="shared" si="87"/>
        <v>0</v>
      </c>
      <c r="G309" s="268">
        <f>500</f>
        <v>500</v>
      </c>
      <c r="H309" s="10"/>
      <c r="I309" s="248">
        <f>F309+G309+H309</f>
        <v>500</v>
      </c>
      <c r="J309" s="86"/>
      <c r="K309" s="7"/>
      <c r="L309" s="72">
        <f>I309+J309+K309</f>
        <v>500</v>
      </c>
      <c r="M309" s="22"/>
      <c r="N309" s="7"/>
      <c r="O309" s="23">
        <f>L309+M309+N309</f>
        <v>500</v>
      </c>
      <c r="P309" s="80"/>
      <c r="Q309" s="78">
        <f>O309+P309</f>
        <v>500</v>
      </c>
    </row>
    <row r="310" spans="1:17" ht="12.75" hidden="1">
      <c r="A310" s="40" t="s">
        <v>54</v>
      </c>
      <c r="B310" s="101"/>
      <c r="C310" s="200">
        <f>C313+C312</f>
        <v>0</v>
      </c>
      <c r="D310" s="149">
        <f aca="true" t="shared" si="92" ref="D310:Q310">D313+D312</f>
        <v>0</v>
      </c>
      <c r="E310" s="149">
        <f t="shared" si="92"/>
        <v>0</v>
      </c>
      <c r="F310" s="175">
        <f t="shared" si="92"/>
        <v>0</v>
      </c>
      <c r="G310" s="265">
        <f t="shared" si="92"/>
        <v>0</v>
      </c>
      <c r="H310" s="119">
        <f t="shared" si="92"/>
        <v>0</v>
      </c>
      <c r="I310" s="246">
        <f t="shared" si="92"/>
        <v>0</v>
      </c>
      <c r="J310" s="175">
        <f t="shared" si="92"/>
        <v>0</v>
      </c>
      <c r="K310" s="119">
        <f t="shared" si="92"/>
        <v>0</v>
      </c>
      <c r="L310" s="149">
        <f t="shared" si="92"/>
        <v>0</v>
      </c>
      <c r="M310" s="118">
        <f t="shared" si="92"/>
        <v>0</v>
      </c>
      <c r="N310" s="118">
        <f t="shared" si="92"/>
        <v>0</v>
      </c>
      <c r="O310" s="118">
        <f t="shared" si="92"/>
        <v>0</v>
      </c>
      <c r="P310" s="118">
        <f t="shared" si="92"/>
        <v>0</v>
      </c>
      <c r="Q310" s="200">
        <f t="shared" si="92"/>
        <v>0</v>
      </c>
    </row>
    <row r="311" spans="1:17" ht="12.75" hidden="1">
      <c r="A311" s="36" t="s">
        <v>26</v>
      </c>
      <c r="B311" s="97"/>
      <c r="C311" s="197"/>
      <c r="D311" s="146"/>
      <c r="E311" s="146"/>
      <c r="F311" s="140"/>
      <c r="G311" s="263"/>
      <c r="H311" s="7"/>
      <c r="I311" s="243"/>
      <c r="J311" s="86"/>
      <c r="K311" s="7"/>
      <c r="L311" s="68"/>
      <c r="M311" s="22"/>
      <c r="N311" s="7"/>
      <c r="O311" s="21"/>
      <c r="P311" s="80"/>
      <c r="Q311" s="78"/>
    </row>
    <row r="312" spans="1:17" ht="12.75" hidden="1">
      <c r="A312" s="33" t="s">
        <v>55</v>
      </c>
      <c r="B312" s="97"/>
      <c r="C312" s="197"/>
      <c r="D312" s="146"/>
      <c r="E312" s="146"/>
      <c r="F312" s="134">
        <f>C312+D312+E312</f>
        <v>0</v>
      </c>
      <c r="G312" s="263"/>
      <c r="H312" s="7"/>
      <c r="I312" s="244">
        <f>F312+G312+H312</f>
        <v>0</v>
      </c>
      <c r="J312" s="86"/>
      <c r="K312" s="7"/>
      <c r="L312" s="72">
        <f>I312+J312+K312</f>
        <v>0</v>
      </c>
      <c r="M312" s="22"/>
      <c r="N312" s="7"/>
      <c r="O312" s="23">
        <f>L312+M312+N312</f>
        <v>0</v>
      </c>
      <c r="P312" s="80"/>
      <c r="Q312" s="78">
        <f>O312+P312</f>
        <v>0</v>
      </c>
    </row>
    <row r="313" spans="1:17" ht="12.75" hidden="1">
      <c r="A313" s="37" t="s">
        <v>78</v>
      </c>
      <c r="B313" s="100"/>
      <c r="C313" s="292"/>
      <c r="D313" s="213"/>
      <c r="E313" s="213"/>
      <c r="F313" s="229">
        <f>C313+D313+E313</f>
        <v>0</v>
      </c>
      <c r="G313" s="268"/>
      <c r="H313" s="10"/>
      <c r="I313" s="248">
        <f>F313+G313+H313</f>
        <v>0</v>
      </c>
      <c r="J313" s="177"/>
      <c r="K313" s="10"/>
      <c r="L313" s="71">
        <f>I313+J313+K313</f>
        <v>0</v>
      </c>
      <c r="M313" s="26"/>
      <c r="N313" s="10"/>
      <c r="O313" s="27">
        <f>L313+M313+N313</f>
        <v>0</v>
      </c>
      <c r="P313" s="83"/>
      <c r="Q313" s="84">
        <f>O313+P313</f>
        <v>0</v>
      </c>
    </row>
    <row r="314" spans="1:17" ht="12.75">
      <c r="A314" s="46" t="s">
        <v>165</v>
      </c>
      <c r="B314" s="102"/>
      <c r="C314" s="196">
        <f aca="true" t="shared" si="93" ref="C314:Q314">C315+C339</f>
        <v>829460.8700000001</v>
      </c>
      <c r="D314" s="129">
        <f t="shared" si="93"/>
        <v>1773618.5</v>
      </c>
      <c r="E314" s="129">
        <f t="shared" si="93"/>
        <v>0</v>
      </c>
      <c r="F314" s="140">
        <f t="shared" si="93"/>
        <v>2603079.37</v>
      </c>
      <c r="G314" s="262">
        <f t="shared" si="93"/>
        <v>208518.46999999997</v>
      </c>
      <c r="H314" s="112">
        <f t="shared" si="93"/>
        <v>0</v>
      </c>
      <c r="I314" s="243">
        <f t="shared" si="93"/>
        <v>2811597.8400000003</v>
      </c>
      <c r="J314" s="140">
        <f t="shared" si="93"/>
        <v>0</v>
      </c>
      <c r="K314" s="112">
        <f t="shared" si="93"/>
        <v>0</v>
      </c>
      <c r="L314" s="129">
        <f t="shared" si="93"/>
        <v>0</v>
      </c>
      <c r="M314" s="111">
        <f t="shared" si="93"/>
        <v>0</v>
      </c>
      <c r="N314" s="111">
        <f t="shared" si="93"/>
        <v>0</v>
      </c>
      <c r="O314" s="111">
        <f t="shared" si="93"/>
        <v>0</v>
      </c>
      <c r="P314" s="111">
        <f t="shared" si="93"/>
        <v>0</v>
      </c>
      <c r="Q314" s="196">
        <f t="shared" si="93"/>
        <v>0</v>
      </c>
    </row>
    <row r="315" spans="1:17" ht="12.75">
      <c r="A315" s="40" t="s">
        <v>49</v>
      </c>
      <c r="B315" s="101"/>
      <c r="C315" s="200">
        <f aca="true" t="shared" si="94" ref="C315:Q315">SUM(C317:C327)</f>
        <v>76319.28</v>
      </c>
      <c r="D315" s="149">
        <f t="shared" si="94"/>
        <v>44694.51</v>
      </c>
      <c r="E315" s="149">
        <f t="shared" si="94"/>
        <v>0</v>
      </c>
      <c r="F315" s="175">
        <f t="shared" si="94"/>
        <v>121013.79000000001</v>
      </c>
      <c r="G315" s="265">
        <f t="shared" si="94"/>
        <v>12631.400000000001</v>
      </c>
      <c r="H315" s="119">
        <f t="shared" si="94"/>
        <v>0</v>
      </c>
      <c r="I315" s="246">
        <f t="shared" si="94"/>
        <v>133645.19</v>
      </c>
      <c r="J315" s="175">
        <f t="shared" si="94"/>
        <v>0</v>
      </c>
      <c r="K315" s="119">
        <f t="shared" si="94"/>
        <v>0</v>
      </c>
      <c r="L315" s="149">
        <f t="shared" si="94"/>
        <v>0</v>
      </c>
      <c r="M315" s="118">
        <f t="shared" si="94"/>
        <v>0</v>
      </c>
      <c r="N315" s="118">
        <f t="shared" si="94"/>
        <v>0</v>
      </c>
      <c r="O315" s="118">
        <f t="shared" si="94"/>
        <v>0</v>
      </c>
      <c r="P315" s="118">
        <f t="shared" si="94"/>
        <v>0</v>
      </c>
      <c r="Q315" s="200">
        <f t="shared" si="94"/>
        <v>0</v>
      </c>
    </row>
    <row r="316" spans="1:17" ht="12.75">
      <c r="A316" s="36" t="s">
        <v>26</v>
      </c>
      <c r="B316" s="97"/>
      <c r="C316" s="200"/>
      <c r="D316" s="214"/>
      <c r="E316" s="214"/>
      <c r="F316" s="175"/>
      <c r="G316" s="263"/>
      <c r="H316" s="7"/>
      <c r="I316" s="244"/>
      <c r="J316" s="86"/>
      <c r="K316" s="7"/>
      <c r="L316" s="72"/>
      <c r="M316" s="30"/>
      <c r="N316" s="7"/>
      <c r="O316" s="23"/>
      <c r="P316" s="80"/>
      <c r="Q316" s="78"/>
    </row>
    <row r="317" spans="1:17" ht="12.75">
      <c r="A317" s="38" t="s">
        <v>51</v>
      </c>
      <c r="B317" s="97"/>
      <c r="C317" s="197">
        <v>6645.87</v>
      </c>
      <c r="D317" s="215">
        <f>1000</f>
        <v>1000</v>
      </c>
      <c r="E317" s="215"/>
      <c r="F317" s="134">
        <f aca="true" t="shared" si="95" ref="F317:F338">C317+D317+E317</f>
        <v>7645.87</v>
      </c>
      <c r="G317" s="263">
        <f>135.18</f>
        <v>135.18</v>
      </c>
      <c r="H317" s="7"/>
      <c r="I317" s="244">
        <f aca="true" t="shared" si="96" ref="I317:I338">F317+G317+H317</f>
        <v>7781.05</v>
      </c>
      <c r="J317" s="86"/>
      <c r="K317" s="7"/>
      <c r="L317" s="72"/>
      <c r="M317" s="30"/>
      <c r="N317" s="7"/>
      <c r="O317" s="23"/>
      <c r="P317" s="80"/>
      <c r="Q317" s="78"/>
    </row>
    <row r="318" spans="1:17" ht="12.75">
      <c r="A318" s="38" t="s">
        <v>171</v>
      </c>
      <c r="B318" s="97">
        <v>1080</v>
      </c>
      <c r="C318" s="197"/>
      <c r="D318" s="215">
        <f>1306.05</f>
        <v>1306.05</v>
      </c>
      <c r="E318" s="215"/>
      <c r="F318" s="134">
        <f t="shared" si="95"/>
        <v>1306.05</v>
      </c>
      <c r="G318" s="263"/>
      <c r="H318" s="7"/>
      <c r="I318" s="244">
        <f t="shared" si="96"/>
        <v>1306.05</v>
      </c>
      <c r="J318" s="86"/>
      <c r="K318" s="7"/>
      <c r="L318" s="72"/>
      <c r="M318" s="30"/>
      <c r="N318" s="7"/>
      <c r="O318" s="23"/>
      <c r="P318" s="80"/>
      <c r="Q318" s="78"/>
    </row>
    <row r="319" spans="1:17" ht="12.75">
      <c r="A319" s="38" t="s">
        <v>172</v>
      </c>
      <c r="B319" s="192">
        <v>1081.1202</v>
      </c>
      <c r="C319" s="197">
        <v>2182</v>
      </c>
      <c r="D319" s="215">
        <f>457.11</f>
        <v>457.11</v>
      </c>
      <c r="E319" s="215"/>
      <c r="F319" s="134">
        <f t="shared" si="95"/>
        <v>2639.11</v>
      </c>
      <c r="G319" s="263"/>
      <c r="H319" s="7"/>
      <c r="I319" s="244">
        <f t="shared" si="96"/>
        <v>2639.11</v>
      </c>
      <c r="J319" s="86"/>
      <c r="K319" s="7"/>
      <c r="L319" s="72"/>
      <c r="M319" s="30"/>
      <c r="N319" s="7"/>
      <c r="O319" s="23"/>
      <c r="P319" s="80"/>
      <c r="Q319" s="78"/>
    </row>
    <row r="320" spans="1:17" ht="12.75">
      <c r="A320" s="98" t="s">
        <v>81</v>
      </c>
      <c r="B320" s="97"/>
      <c r="C320" s="197">
        <v>300</v>
      </c>
      <c r="D320" s="215"/>
      <c r="E320" s="215"/>
      <c r="F320" s="134">
        <f t="shared" si="95"/>
        <v>300</v>
      </c>
      <c r="G320" s="263"/>
      <c r="H320" s="7"/>
      <c r="I320" s="244">
        <f t="shared" si="96"/>
        <v>300</v>
      </c>
      <c r="J320" s="86"/>
      <c r="K320" s="7"/>
      <c r="L320" s="72"/>
      <c r="M320" s="30"/>
      <c r="N320" s="7"/>
      <c r="O320" s="23"/>
      <c r="P320" s="80"/>
      <c r="Q320" s="78"/>
    </row>
    <row r="321" spans="1:17" ht="12.75">
      <c r="A321" s="34" t="s">
        <v>178</v>
      </c>
      <c r="B321" s="97"/>
      <c r="C321" s="197">
        <v>35554.41</v>
      </c>
      <c r="D321" s="215"/>
      <c r="E321" s="215"/>
      <c r="F321" s="134">
        <f t="shared" si="95"/>
        <v>35554.41</v>
      </c>
      <c r="G321" s="263"/>
      <c r="H321" s="7"/>
      <c r="I321" s="244">
        <f t="shared" si="96"/>
        <v>35554.41</v>
      </c>
      <c r="J321" s="86"/>
      <c r="K321" s="7"/>
      <c r="L321" s="72"/>
      <c r="M321" s="30"/>
      <c r="N321" s="7"/>
      <c r="O321" s="23"/>
      <c r="P321" s="80"/>
      <c r="Q321" s="78"/>
    </row>
    <row r="322" spans="1:17" ht="12.75">
      <c r="A322" s="38" t="s">
        <v>233</v>
      </c>
      <c r="B322" s="97"/>
      <c r="C322" s="197"/>
      <c r="D322" s="215">
        <f>330.16</f>
        <v>330.16</v>
      </c>
      <c r="E322" s="215"/>
      <c r="F322" s="134">
        <f t="shared" si="95"/>
        <v>330.16</v>
      </c>
      <c r="G322" s="263">
        <f>3000</f>
        <v>3000</v>
      </c>
      <c r="H322" s="7"/>
      <c r="I322" s="244">
        <f t="shared" si="96"/>
        <v>3330.16</v>
      </c>
      <c r="J322" s="86"/>
      <c r="K322" s="7"/>
      <c r="L322" s="72"/>
      <c r="M322" s="30"/>
      <c r="N322" s="7"/>
      <c r="O322" s="23"/>
      <c r="P322" s="80"/>
      <c r="Q322" s="78"/>
    </row>
    <row r="323" spans="1:17" ht="12.75">
      <c r="A323" s="34" t="s">
        <v>197</v>
      </c>
      <c r="B323" s="143">
        <v>212163</v>
      </c>
      <c r="C323" s="197"/>
      <c r="D323" s="215">
        <v>0.05</v>
      </c>
      <c r="E323" s="215"/>
      <c r="F323" s="134">
        <f t="shared" si="95"/>
        <v>0.05</v>
      </c>
      <c r="G323" s="263">
        <f>10</f>
        <v>10</v>
      </c>
      <c r="H323" s="7"/>
      <c r="I323" s="244">
        <f t="shared" si="96"/>
        <v>10.05</v>
      </c>
      <c r="J323" s="86"/>
      <c r="K323" s="7"/>
      <c r="L323" s="72"/>
      <c r="M323" s="30"/>
      <c r="N323" s="7"/>
      <c r="O323" s="23"/>
      <c r="P323" s="80"/>
      <c r="Q323" s="78"/>
    </row>
    <row r="324" spans="1:17" ht="12.75">
      <c r="A324" s="38" t="s">
        <v>168</v>
      </c>
      <c r="B324" s="143">
        <v>212162</v>
      </c>
      <c r="C324" s="197"/>
      <c r="D324" s="215">
        <f>658.97</f>
        <v>658.97</v>
      </c>
      <c r="E324" s="215"/>
      <c r="F324" s="134">
        <f t="shared" si="95"/>
        <v>658.97</v>
      </c>
      <c r="G324" s="263"/>
      <c r="H324" s="7"/>
      <c r="I324" s="244">
        <f t="shared" si="96"/>
        <v>658.97</v>
      </c>
      <c r="J324" s="86"/>
      <c r="K324" s="7"/>
      <c r="L324" s="72"/>
      <c r="M324" s="30"/>
      <c r="N324" s="7"/>
      <c r="O324" s="23"/>
      <c r="P324" s="80"/>
      <c r="Q324" s="78"/>
    </row>
    <row r="325" spans="1:17" ht="12.75">
      <c r="A325" s="38" t="s">
        <v>333</v>
      </c>
      <c r="B325" s="143"/>
      <c r="C325" s="197"/>
      <c r="D325" s="215">
        <f>558.14</f>
        <v>558.14</v>
      </c>
      <c r="E325" s="215"/>
      <c r="F325" s="134">
        <f t="shared" si="95"/>
        <v>558.14</v>
      </c>
      <c r="G325" s="263">
        <f>1090.57</f>
        <v>1090.57</v>
      </c>
      <c r="H325" s="7"/>
      <c r="I325" s="244">
        <f t="shared" si="96"/>
        <v>1648.71</v>
      </c>
      <c r="J325" s="86"/>
      <c r="K325" s="7"/>
      <c r="L325" s="86"/>
      <c r="M325" s="188"/>
      <c r="N325" s="86"/>
      <c r="O325" s="86"/>
      <c r="P325" s="209"/>
      <c r="Q325" s="78"/>
    </row>
    <row r="326" spans="1:17" ht="12.75">
      <c r="A326" s="38" t="s">
        <v>311</v>
      </c>
      <c r="B326" s="143"/>
      <c r="C326" s="197"/>
      <c r="D326" s="215">
        <f>181.24</f>
        <v>181.24</v>
      </c>
      <c r="E326" s="215"/>
      <c r="F326" s="134">
        <f t="shared" si="95"/>
        <v>181.24</v>
      </c>
      <c r="G326" s="263"/>
      <c r="H326" s="7"/>
      <c r="I326" s="244">
        <f t="shared" si="96"/>
        <v>181.24</v>
      </c>
      <c r="J326" s="86"/>
      <c r="K326" s="7"/>
      <c r="L326" s="86"/>
      <c r="M326" s="188"/>
      <c r="N326" s="86"/>
      <c r="O326" s="86"/>
      <c r="P326" s="209"/>
      <c r="Q326" s="78"/>
    </row>
    <row r="327" spans="1:17" ht="12.75">
      <c r="A327" s="34" t="s">
        <v>78</v>
      </c>
      <c r="B327" s="97"/>
      <c r="C327" s="202">
        <f>SUM(C328:C338)</f>
        <v>31637</v>
      </c>
      <c r="D327" s="215">
        <f>SUM(D328:D338)</f>
        <v>40202.79</v>
      </c>
      <c r="E327" s="215">
        <f aca="true" t="shared" si="97" ref="E327:Q327">SUM(E328:E338)</f>
        <v>0</v>
      </c>
      <c r="F327" s="151">
        <f t="shared" si="97"/>
        <v>71839.79000000001</v>
      </c>
      <c r="G327" s="269">
        <f t="shared" si="97"/>
        <v>8395.650000000001</v>
      </c>
      <c r="H327" s="122">
        <f t="shared" si="97"/>
        <v>0</v>
      </c>
      <c r="I327" s="250">
        <f t="shared" si="97"/>
        <v>80235.44000000002</v>
      </c>
      <c r="J327" s="151">
        <f t="shared" si="97"/>
        <v>0</v>
      </c>
      <c r="K327" s="122">
        <f t="shared" si="97"/>
        <v>0</v>
      </c>
      <c r="L327" s="151">
        <f t="shared" si="97"/>
        <v>0</v>
      </c>
      <c r="M327" s="135">
        <f t="shared" si="97"/>
        <v>0</v>
      </c>
      <c r="N327" s="135">
        <f t="shared" si="97"/>
        <v>0</v>
      </c>
      <c r="O327" s="135">
        <f t="shared" si="97"/>
        <v>0</v>
      </c>
      <c r="P327" s="135">
        <f t="shared" si="97"/>
        <v>0</v>
      </c>
      <c r="Q327" s="202">
        <f t="shared" si="97"/>
        <v>0</v>
      </c>
    </row>
    <row r="328" spans="1:17" ht="12.75">
      <c r="A328" s="34" t="s">
        <v>220</v>
      </c>
      <c r="B328" s="97"/>
      <c r="C328" s="202">
        <v>14000</v>
      </c>
      <c r="D328" s="215">
        <f>2350</f>
        <v>2350</v>
      </c>
      <c r="E328" s="146"/>
      <c r="F328" s="134">
        <f t="shared" si="95"/>
        <v>16350</v>
      </c>
      <c r="G328" s="263"/>
      <c r="H328" s="7"/>
      <c r="I328" s="244">
        <f t="shared" si="96"/>
        <v>16350</v>
      </c>
      <c r="J328" s="86"/>
      <c r="K328" s="7"/>
      <c r="L328" s="72"/>
      <c r="M328" s="30"/>
      <c r="N328" s="7"/>
      <c r="O328" s="23"/>
      <c r="P328" s="80"/>
      <c r="Q328" s="78"/>
    </row>
    <row r="329" spans="1:17" ht="12.75">
      <c r="A329" s="34" t="s">
        <v>177</v>
      </c>
      <c r="B329" s="97"/>
      <c r="C329" s="202">
        <v>300</v>
      </c>
      <c r="D329" s="215">
        <f>33986.1+236.9+224.26-2350</f>
        <v>32097.260000000002</v>
      </c>
      <c r="E329" s="146"/>
      <c r="F329" s="134">
        <f t="shared" si="95"/>
        <v>32397.260000000002</v>
      </c>
      <c r="G329" s="263">
        <f>50.82+863.99+6854.77</f>
        <v>7769.580000000001</v>
      </c>
      <c r="H329" s="7"/>
      <c r="I329" s="244">
        <f t="shared" si="96"/>
        <v>40166.840000000004</v>
      </c>
      <c r="J329" s="86"/>
      <c r="K329" s="7"/>
      <c r="L329" s="72"/>
      <c r="M329" s="30"/>
      <c r="N329" s="7"/>
      <c r="O329" s="23"/>
      <c r="P329" s="80"/>
      <c r="Q329" s="78"/>
    </row>
    <row r="330" spans="1:17" ht="12.75" hidden="1">
      <c r="A330" s="34" t="s">
        <v>272</v>
      </c>
      <c r="B330" s="97"/>
      <c r="C330" s="202"/>
      <c r="D330" s="216"/>
      <c r="E330" s="146"/>
      <c r="F330" s="134">
        <f t="shared" si="95"/>
        <v>0</v>
      </c>
      <c r="G330" s="263"/>
      <c r="H330" s="7"/>
      <c r="I330" s="244">
        <f t="shared" si="96"/>
        <v>0</v>
      </c>
      <c r="J330" s="86"/>
      <c r="K330" s="7"/>
      <c r="L330" s="72"/>
      <c r="M330" s="30"/>
      <c r="N330" s="7"/>
      <c r="O330" s="23"/>
      <c r="P330" s="80"/>
      <c r="Q330" s="78"/>
    </row>
    <row r="331" spans="1:17" ht="12.75" hidden="1">
      <c r="A331" s="34" t="s">
        <v>207</v>
      </c>
      <c r="B331" s="97"/>
      <c r="C331" s="202"/>
      <c r="D331" s="215"/>
      <c r="E331" s="146"/>
      <c r="F331" s="134">
        <f t="shared" si="95"/>
        <v>0</v>
      </c>
      <c r="G331" s="263"/>
      <c r="H331" s="7"/>
      <c r="I331" s="244">
        <f t="shared" si="96"/>
        <v>0</v>
      </c>
      <c r="J331" s="86"/>
      <c r="K331" s="7"/>
      <c r="L331" s="72"/>
      <c r="M331" s="30"/>
      <c r="N331" s="7"/>
      <c r="O331" s="23"/>
      <c r="P331" s="80"/>
      <c r="Q331" s="78"/>
    </row>
    <row r="332" spans="1:17" ht="12.75">
      <c r="A332" s="34" t="s">
        <v>232</v>
      </c>
      <c r="B332" s="97"/>
      <c r="C332" s="202"/>
      <c r="D332" s="215">
        <f>11169.53</f>
        <v>11169.53</v>
      </c>
      <c r="E332" s="146"/>
      <c r="F332" s="134">
        <f t="shared" si="95"/>
        <v>11169.53</v>
      </c>
      <c r="G332" s="263"/>
      <c r="H332" s="7"/>
      <c r="I332" s="244">
        <f t="shared" si="96"/>
        <v>11169.53</v>
      </c>
      <c r="J332" s="86"/>
      <c r="K332" s="7"/>
      <c r="L332" s="72"/>
      <c r="M332" s="30"/>
      <c r="N332" s="7"/>
      <c r="O332" s="23"/>
      <c r="P332" s="80"/>
      <c r="Q332" s="78"/>
    </row>
    <row r="333" spans="1:17" ht="12.75">
      <c r="A333" s="34" t="s">
        <v>176</v>
      </c>
      <c r="B333" s="97"/>
      <c r="C333" s="202"/>
      <c r="D333" s="215">
        <f>2726.77+840.5+353.95+205.7</f>
        <v>4126.92</v>
      </c>
      <c r="E333" s="146"/>
      <c r="F333" s="134">
        <f t="shared" si="95"/>
        <v>4126.92</v>
      </c>
      <c r="G333" s="263"/>
      <c r="H333" s="7"/>
      <c r="I333" s="244">
        <f t="shared" si="96"/>
        <v>4126.92</v>
      </c>
      <c r="J333" s="86"/>
      <c r="K333" s="7"/>
      <c r="L333" s="72"/>
      <c r="M333" s="30"/>
      <c r="N333" s="7"/>
      <c r="O333" s="23"/>
      <c r="P333" s="80"/>
      <c r="Q333" s="78"/>
    </row>
    <row r="334" spans="1:17" ht="12.75">
      <c r="A334" s="34" t="s">
        <v>179</v>
      </c>
      <c r="B334" s="97"/>
      <c r="C334" s="202"/>
      <c r="D334" s="215">
        <f>2967.12</f>
        <v>2967.12</v>
      </c>
      <c r="E334" s="146"/>
      <c r="F334" s="134">
        <f t="shared" si="95"/>
        <v>2967.12</v>
      </c>
      <c r="G334" s="263"/>
      <c r="H334" s="7"/>
      <c r="I334" s="244">
        <f t="shared" si="96"/>
        <v>2967.12</v>
      </c>
      <c r="J334" s="86"/>
      <c r="K334" s="7"/>
      <c r="L334" s="72"/>
      <c r="M334" s="30"/>
      <c r="N334" s="7"/>
      <c r="O334" s="23"/>
      <c r="P334" s="80"/>
      <c r="Q334" s="78"/>
    </row>
    <row r="335" spans="1:17" ht="12.75">
      <c r="A335" s="34" t="s">
        <v>184</v>
      </c>
      <c r="B335" s="97"/>
      <c r="C335" s="202">
        <v>7500</v>
      </c>
      <c r="D335" s="215">
        <f>-7500+17.05</f>
        <v>-7482.95</v>
      </c>
      <c r="E335" s="146"/>
      <c r="F335" s="134">
        <f t="shared" si="95"/>
        <v>17.050000000000182</v>
      </c>
      <c r="G335" s="263"/>
      <c r="H335" s="7"/>
      <c r="I335" s="244">
        <f t="shared" si="96"/>
        <v>17.050000000000182</v>
      </c>
      <c r="J335" s="86"/>
      <c r="K335" s="7"/>
      <c r="L335" s="72"/>
      <c r="M335" s="30"/>
      <c r="N335" s="7"/>
      <c r="O335" s="23"/>
      <c r="P335" s="80"/>
      <c r="Q335" s="78"/>
    </row>
    <row r="336" spans="1:17" ht="12.75">
      <c r="A336" s="34" t="s">
        <v>183</v>
      </c>
      <c r="B336" s="97"/>
      <c r="C336" s="202">
        <v>8299</v>
      </c>
      <c r="D336" s="215">
        <f>-6743.14+2500.95+129.98+169.29-1500</f>
        <v>-5442.920000000001</v>
      </c>
      <c r="E336" s="146"/>
      <c r="F336" s="134">
        <f t="shared" si="95"/>
        <v>2856.079999999999</v>
      </c>
      <c r="G336" s="263">
        <f>696.88+79.5</f>
        <v>776.38</v>
      </c>
      <c r="H336" s="7"/>
      <c r="I336" s="244">
        <f t="shared" si="96"/>
        <v>3632.459999999999</v>
      </c>
      <c r="J336" s="86"/>
      <c r="K336" s="7"/>
      <c r="L336" s="72"/>
      <c r="M336" s="30"/>
      <c r="N336" s="7"/>
      <c r="O336" s="23"/>
      <c r="P336" s="80"/>
      <c r="Q336" s="78"/>
    </row>
    <row r="337" spans="1:17" ht="12.75">
      <c r="A337" s="34" t="s">
        <v>211</v>
      </c>
      <c r="B337" s="97"/>
      <c r="C337" s="202">
        <v>1538</v>
      </c>
      <c r="D337" s="215">
        <f>-954+1621.52-400</f>
        <v>267.52</v>
      </c>
      <c r="E337" s="146"/>
      <c r="F337" s="134">
        <f t="shared" si="95"/>
        <v>1805.52</v>
      </c>
      <c r="G337" s="263"/>
      <c r="H337" s="7"/>
      <c r="I337" s="244">
        <f t="shared" si="96"/>
        <v>1805.52</v>
      </c>
      <c r="J337" s="86"/>
      <c r="K337" s="7"/>
      <c r="L337" s="72"/>
      <c r="M337" s="30"/>
      <c r="N337" s="7"/>
      <c r="O337" s="23"/>
      <c r="P337" s="80"/>
      <c r="Q337" s="78"/>
    </row>
    <row r="338" spans="1:17" ht="12.75">
      <c r="A338" s="34" t="s">
        <v>243</v>
      </c>
      <c r="B338" s="97"/>
      <c r="C338" s="202"/>
      <c r="D338" s="216">
        <f>458.38-272.68-35.39</f>
        <v>150.31</v>
      </c>
      <c r="E338" s="146"/>
      <c r="F338" s="134">
        <f t="shared" si="95"/>
        <v>150.31</v>
      </c>
      <c r="G338" s="263">
        <f>-150.31</f>
        <v>-150.31</v>
      </c>
      <c r="H338" s="7"/>
      <c r="I338" s="244">
        <f t="shared" si="96"/>
        <v>0</v>
      </c>
      <c r="J338" s="86"/>
      <c r="K338" s="7"/>
      <c r="L338" s="72"/>
      <c r="M338" s="30"/>
      <c r="N338" s="7"/>
      <c r="O338" s="23"/>
      <c r="P338" s="80"/>
      <c r="Q338" s="78"/>
    </row>
    <row r="339" spans="1:17" ht="12.75">
      <c r="A339" s="40" t="s">
        <v>54</v>
      </c>
      <c r="B339" s="101"/>
      <c r="C339" s="200">
        <f aca="true" t="shared" si="98" ref="C339:Q339">SUM(C341:C356)</f>
        <v>753141.5900000001</v>
      </c>
      <c r="D339" s="149">
        <f t="shared" si="98"/>
        <v>1728923.99</v>
      </c>
      <c r="E339" s="149">
        <f t="shared" si="98"/>
        <v>0</v>
      </c>
      <c r="F339" s="175">
        <f t="shared" si="98"/>
        <v>2482065.58</v>
      </c>
      <c r="G339" s="265">
        <f t="shared" si="98"/>
        <v>195887.06999999998</v>
      </c>
      <c r="H339" s="119">
        <f t="shared" si="98"/>
        <v>0</v>
      </c>
      <c r="I339" s="246">
        <f t="shared" si="98"/>
        <v>2677952.6500000004</v>
      </c>
      <c r="J339" s="175">
        <f t="shared" si="98"/>
        <v>0</v>
      </c>
      <c r="K339" s="119">
        <f t="shared" si="98"/>
        <v>0</v>
      </c>
      <c r="L339" s="149">
        <f t="shared" si="98"/>
        <v>0</v>
      </c>
      <c r="M339" s="118">
        <f t="shared" si="98"/>
        <v>0</v>
      </c>
      <c r="N339" s="118">
        <f t="shared" si="98"/>
        <v>0</v>
      </c>
      <c r="O339" s="118">
        <f t="shared" si="98"/>
        <v>0</v>
      </c>
      <c r="P339" s="118">
        <f t="shared" si="98"/>
        <v>0</v>
      </c>
      <c r="Q339" s="200">
        <f t="shared" si="98"/>
        <v>0</v>
      </c>
    </row>
    <row r="340" spans="1:17" ht="12.75">
      <c r="A340" s="38" t="s">
        <v>26</v>
      </c>
      <c r="B340" s="97"/>
      <c r="C340" s="197"/>
      <c r="D340" s="146"/>
      <c r="E340" s="146"/>
      <c r="F340" s="134"/>
      <c r="G340" s="263"/>
      <c r="H340" s="7"/>
      <c r="I340" s="244"/>
      <c r="J340" s="86"/>
      <c r="K340" s="7"/>
      <c r="L340" s="72"/>
      <c r="M340" s="30"/>
      <c r="N340" s="7"/>
      <c r="O340" s="23"/>
      <c r="P340" s="80"/>
      <c r="Q340" s="78"/>
    </row>
    <row r="341" spans="1:17" ht="12.75" hidden="1">
      <c r="A341" s="38" t="s">
        <v>173</v>
      </c>
      <c r="B341" s="97"/>
      <c r="C341" s="197"/>
      <c r="D341" s="146"/>
      <c r="E341" s="146"/>
      <c r="F341" s="134">
        <f aca="true" t="shared" si="99" ref="F341:F368">C341+D341+E341</f>
        <v>0</v>
      </c>
      <c r="G341" s="263"/>
      <c r="H341" s="7"/>
      <c r="I341" s="244"/>
      <c r="J341" s="86"/>
      <c r="K341" s="7"/>
      <c r="L341" s="72"/>
      <c r="M341" s="30"/>
      <c r="N341" s="7"/>
      <c r="O341" s="23"/>
      <c r="P341" s="80"/>
      <c r="Q341" s="78"/>
    </row>
    <row r="342" spans="1:17" ht="12.75">
      <c r="A342" s="38" t="s">
        <v>172</v>
      </c>
      <c r="B342" s="192">
        <v>1081.1202</v>
      </c>
      <c r="C342" s="197">
        <v>6044</v>
      </c>
      <c r="D342" s="146">
        <f>692.36</f>
        <v>692.36</v>
      </c>
      <c r="E342" s="146"/>
      <c r="F342" s="134">
        <f t="shared" si="99"/>
        <v>6736.36</v>
      </c>
      <c r="G342" s="263"/>
      <c r="H342" s="7"/>
      <c r="I342" s="244">
        <f aca="true" t="shared" si="100" ref="I342:I355">F342+G342+H342</f>
        <v>6736.36</v>
      </c>
      <c r="J342" s="86"/>
      <c r="K342" s="7"/>
      <c r="L342" s="72"/>
      <c r="M342" s="30"/>
      <c r="N342" s="7"/>
      <c r="O342" s="23"/>
      <c r="P342" s="80"/>
      <c r="Q342" s="78"/>
    </row>
    <row r="343" spans="1:17" ht="12.75">
      <c r="A343" s="38" t="s">
        <v>167</v>
      </c>
      <c r="B343" s="97"/>
      <c r="C343" s="197">
        <v>19868.59</v>
      </c>
      <c r="D343" s="146">
        <f>711.97+10000</f>
        <v>10711.97</v>
      </c>
      <c r="E343" s="146"/>
      <c r="F343" s="134">
        <f t="shared" si="99"/>
        <v>30580.559999999998</v>
      </c>
      <c r="G343" s="263"/>
      <c r="H343" s="7"/>
      <c r="I343" s="244">
        <f t="shared" si="100"/>
        <v>30580.559999999998</v>
      </c>
      <c r="J343" s="86"/>
      <c r="K343" s="7"/>
      <c r="L343" s="72"/>
      <c r="M343" s="30"/>
      <c r="N343" s="7"/>
      <c r="O343" s="23"/>
      <c r="P343" s="80"/>
      <c r="Q343" s="78"/>
    </row>
    <row r="344" spans="1:17" ht="12.75">
      <c r="A344" s="38" t="s">
        <v>284</v>
      </c>
      <c r="B344" s="97"/>
      <c r="C344" s="197">
        <v>5000</v>
      </c>
      <c r="D344" s="146"/>
      <c r="E344" s="146"/>
      <c r="F344" s="134">
        <f t="shared" si="99"/>
        <v>5000</v>
      </c>
      <c r="G344" s="263"/>
      <c r="H344" s="7"/>
      <c r="I344" s="244">
        <f t="shared" si="100"/>
        <v>5000</v>
      </c>
      <c r="J344" s="86"/>
      <c r="K344" s="7"/>
      <c r="L344" s="72"/>
      <c r="M344" s="30"/>
      <c r="N344" s="7"/>
      <c r="O344" s="23"/>
      <c r="P344" s="80"/>
      <c r="Q344" s="78"/>
    </row>
    <row r="345" spans="1:17" ht="12.75">
      <c r="A345" s="38" t="s">
        <v>293</v>
      </c>
      <c r="B345" s="97"/>
      <c r="C345" s="197"/>
      <c r="D345" s="215">
        <f>788.1</f>
        <v>788.1</v>
      </c>
      <c r="E345" s="215"/>
      <c r="F345" s="134">
        <f t="shared" si="99"/>
        <v>788.1</v>
      </c>
      <c r="G345" s="263"/>
      <c r="H345" s="7"/>
      <c r="I345" s="244">
        <f t="shared" si="100"/>
        <v>788.1</v>
      </c>
      <c r="J345" s="86"/>
      <c r="K345" s="7"/>
      <c r="L345" s="72"/>
      <c r="M345" s="30"/>
      <c r="N345" s="7"/>
      <c r="O345" s="23"/>
      <c r="P345" s="80"/>
      <c r="Q345" s="78"/>
    </row>
    <row r="346" spans="1:17" ht="12.75">
      <c r="A346" s="141" t="s">
        <v>233</v>
      </c>
      <c r="B346" s="97"/>
      <c r="C346" s="197">
        <v>400000</v>
      </c>
      <c r="D346" s="216">
        <f>200000+281690.37+30000+150000</f>
        <v>661690.37</v>
      </c>
      <c r="E346" s="216"/>
      <c r="F346" s="134">
        <f t="shared" si="99"/>
        <v>1061690.37</v>
      </c>
      <c r="G346" s="263">
        <f>-3000</f>
        <v>-3000</v>
      </c>
      <c r="H346" s="7"/>
      <c r="I346" s="244">
        <f t="shared" si="100"/>
        <v>1058690.37</v>
      </c>
      <c r="J346" s="86"/>
      <c r="K346" s="7"/>
      <c r="L346" s="72"/>
      <c r="M346" s="30"/>
      <c r="N346" s="7"/>
      <c r="O346" s="23"/>
      <c r="P346" s="80"/>
      <c r="Q346" s="78"/>
    </row>
    <row r="347" spans="1:17" ht="12.75">
      <c r="A347" s="38" t="s">
        <v>294</v>
      </c>
      <c r="B347" s="143">
        <v>212163</v>
      </c>
      <c r="C347" s="197">
        <v>36000</v>
      </c>
      <c r="D347" s="215">
        <f>50274.06+47194.15</f>
        <v>97468.20999999999</v>
      </c>
      <c r="E347" s="215"/>
      <c r="F347" s="134">
        <f t="shared" si="99"/>
        <v>133468.21</v>
      </c>
      <c r="G347" s="263">
        <f>-10-74650</f>
        <v>-74660</v>
      </c>
      <c r="H347" s="7"/>
      <c r="I347" s="244">
        <f t="shared" si="100"/>
        <v>58808.20999999999</v>
      </c>
      <c r="J347" s="86"/>
      <c r="K347" s="7"/>
      <c r="L347" s="72"/>
      <c r="M347" s="30"/>
      <c r="N347" s="7"/>
      <c r="O347" s="23"/>
      <c r="P347" s="80"/>
      <c r="Q347" s="78"/>
    </row>
    <row r="348" spans="1:17" ht="12.75">
      <c r="A348" s="38" t="s">
        <v>237</v>
      </c>
      <c r="B348" s="143">
        <v>22777</v>
      </c>
      <c r="C348" s="197"/>
      <c r="D348" s="215"/>
      <c r="E348" s="215"/>
      <c r="F348" s="134">
        <f t="shared" si="99"/>
        <v>0</v>
      </c>
      <c r="G348" s="263">
        <f>41783.61</f>
        <v>41783.61</v>
      </c>
      <c r="H348" s="7"/>
      <c r="I348" s="244">
        <f t="shared" si="100"/>
        <v>41783.61</v>
      </c>
      <c r="J348" s="86"/>
      <c r="K348" s="7"/>
      <c r="L348" s="72"/>
      <c r="M348" s="30"/>
      <c r="N348" s="7"/>
      <c r="O348" s="23"/>
      <c r="P348" s="80"/>
      <c r="Q348" s="78"/>
    </row>
    <row r="349" spans="1:17" ht="12.75" hidden="1">
      <c r="A349" s="38" t="s">
        <v>277</v>
      </c>
      <c r="B349" s="143">
        <v>98858</v>
      </c>
      <c r="C349" s="197"/>
      <c r="D349" s="215"/>
      <c r="E349" s="215"/>
      <c r="F349" s="134">
        <f t="shared" si="99"/>
        <v>0</v>
      </c>
      <c r="G349" s="263"/>
      <c r="H349" s="7"/>
      <c r="I349" s="244">
        <f t="shared" si="100"/>
        <v>0</v>
      </c>
      <c r="J349" s="86"/>
      <c r="K349" s="7"/>
      <c r="L349" s="72"/>
      <c r="M349" s="30"/>
      <c r="N349" s="7"/>
      <c r="O349" s="23"/>
      <c r="P349" s="80"/>
      <c r="Q349" s="78"/>
    </row>
    <row r="350" spans="1:17" ht="12.75">
      <c r="A350" s="38" t="s">
        <v>168</v>
      </c>
      <c r="B350" s="143">
        <v>212162</v>
      </c>
      <c r="C350" s="197"/>
      <c r="D350" s="215">
        <f>43486.32</f>
        <v>43486.32</v>
      </c>
      <c r="E350" s="215"/>
      <c r="F350" s="134">
        <f t="shared" si="99"/>
        <v>43486.32</v>
      </c>
      <c r="G350" s="263"/>
      <c r="H350" s="7"/>
      <c r="I350" s="244">
        <f t="shared" si="100"/>
        <v>43486.32</v>
      </c>
      <c r="J350" s="86"/>
      <c r="K350" s="7"/>
      <c r="L350" s="72"/>
      <c r="M350" s="30"/>
      <c r="N350" s="7"/>
      <c r="O350" s="23"/>
      <c r="P350" s="80"/>
      <c r="Q350" s="78"/>
    </row>
    <row r="351" spans="1:17" ht="12.75">
      <c r="A351" s="38" t="s">
        <v>333</v>
      </c>
      <c r="B351" s="143"/>
      <c r="C351" s="197"/>
      <c r="D351" s="215">
        <f>2568.52</f>
        <v>2568.52</v>
      </c>
      <c r="E351" s="215"/>
      <c r="F351" s="134">
        <f t="shared" si="99"/>
        <v>2568.52</v>
      </c>
      <c r="G351" s="263">
        <f>22697.25</f>
        <v>22697.25</v>
      </c>
      <c r="H351" s="7"/>
      <c r="I351" s="244">
        <f t="shared" si="100"/>
        <v>25265.77</v>
      </c>
      <c r="J351" s="86"/>
      <c r="K351" s="7"/>
      <c r="L351" s="72"/>
      <c r="M351" s="30"/>
      <c r="N351" s="7"/>
      <c r="O351" s="23"/>
      <c r="P351" s="80"/>
      <c r="Q351" s="78"/>
    </row>
    <row r="352" spans="1:17" ht="12.75">
      <c r="A352" s="38" t="s">
        <v>311</v>
      </c>
      <c r="B352" s="143"/>
      <c r="C352" s="197"/>
      <c r="D352" s="215">
        <f>18961.22</f>
        <v>18961.22</v>
      </c>
      <c r="E352" s="215"/>
      <c r="F352" s="134">
        <f t="shared" si="99"/>
        <v>18961.22</v>
      </c>
      <c r="G352" s="263"/>
      <c r="H352" s="7"/>
      <c r="I352" s="244">
        <f t="shared" si="100"/>
        <v>18961.22</v>
      </c>
      <c r="J352" s="86"/>
      <c r="K352" s="7"/>
      <c r="L352" s="72"/>
      <c r="M352" s="30"/>
      <c r="N352" s="7"/>
      <c r="O352" s="23"/>
      <c r="P352" s="80"/>
      <c r="Q352" s="78"/>
    </row>
    <row r="353" spans="1:17" ht="12.75">
      <c r="A353" s="38" t="s">
        <v>353</v>
      </c>
      <c r="B353" s="143">
        <v>91628</v>
      </c>
      <c r="C353" s="197"/>
      <c r="D353" s="215">
        <f>183880</f>
        <v>183880</v>
      </c>
      <c r="E353" s="215"/>
      <c r="F353" s="134">
        <f t="shared" si="99"/>
        <v>183880</v>
      </c>
      <c r="G353" s="263"/>
      <c r="H353" s="7"/>
      <c r="I353" s="244">
        <f t="shared" si="100"/>
        <v>183880</v>
      </c>
      <c r="J353" s="86"/>
      <c r="K353" s="7"/>
      <c r="L353" s="72"/>
      <c r="M353" s="30"/>
      <c r="N353" s="7"/>
      <c r="O353" s="23"/>
      <c r="P353" s="80"/>
      <c r="Q353" s="78"/>
    </row>
    <row r="354" spans="1:17" ht="12.75">
      <c r="A354" s="38" t="s">
        <v>348</v>
      </c>
      <c r="B354" s="143">
        <v>91628</v>
      </c>
      <c r="C354" s="197"/>
      <c r="D354" s="215"/>
      <c r="E354" s="215"/>
      <c r="F354" s="134">
        <f t="shared" si="99"/>
        <v>0</v>
      </c>
      <c r="G354" s="263">
        <f>8953.48</f>
        <v>8953.48</v>
      </c>
      <c r="H354" s="7"/>
      <c r="I354" s="244">
        <f t="shared" si="100"/>
        <v>8953.48</v>
      </c>
      <c r="J354" s="86"/>
      <c r="K354" s="7"/>
      <c r="L354" s="72"/>
      <c r="M354" s="30"/>
      <c r="N354" s="7"/>
      <c r="O354" s="23"/>
      <c r="P354" s="80"/>
      <c r="Q354" s="78"/>
    </row>
    <row r="355" spans="1:17" ht="12.75" hidden="1">
      <c r="A355" s="38" t="s">
        <v>202</v>
      </c>
      <c r="B355" s="97"/>
      <c r="C355" s="197"/>
      <c r="D355" s="215"/>
      <c r="E355" s="215"/>
      <c r="F355" s="134">
        <f t="shared" si="99"/>
        <v>0</v>
      </c>
      <c r="G355" s="263"/>
      <c r="H355" s="7"/>
      <c r="I355" s="244">
        <f t="shared" si="100"/>
        <v>0</v>
      </c>
      <c r="J355" s="86"/>
      <c r="K355" s="7"/>
      <c r="L355" s="72"/>
      <c r="M355" s="30"/>
      <c r="N355" s="7"/>
      <c r="O355" s="23"/>
      <c r="P355" s="80"/>
      <c r="Q355" s="78"/>
    </row>
    <row r="356" spans="1:17" ht="12.75">
      <c r="A356" s="38" t="s">
        <v>169</v>
      </c>
      <c r="B356" s="97"/>
      <c r="C356" s="197">
        <f>SUM(C357:C368)</f>
        <v>286229</v>
      </c>
      <c r="D356" s="146">
        <f>SUM(D357:D368)</f>
        <v>708676.92</v>
      </c>
      <c r="E356" s="146">
        <f aca="true" t="shared" si="101" ref="E356:Q356">SUM(E357:E368)</f>
        <v>0</v>
      </c>
      <c r="F356" s="134">
        <f t="shared" si="101"/>
        <v>994905.92</v>
      </c>
      <c r="G356" s="263">
        <f t="shared" si="101"/>
        <v>200112.72999999998</v>
      </c>
      <c r="H356" s="113">
        <f t="shared" si="101"/>
        <v>0</v>
      </c>
      <c r="I356" s="244">
        <f t="shared" si="101"/>
        <v>1195018.6500000001</v>
      </c>
      <c r="J356" s="134">
        <f t="shared" si="101"/>
        <v>0</v>
      </c>
      <c r="K356" s="113">
        <f t="shared" si="101"/>
        <v>0</v>
      </c>
      <c r="L356" s="134">
        <f t="shared" si="101"/>
        <v>0</v>
      </c>
      <c r="M356" s="133">
        <f t="shared" si="101"/>
        <v>0</v>
      </c>
      <c r="N356" s="133">
        <f t="shared" si="101"/>
        <v>0</v>
      </c>
      <c r="O356" s="133">
        <f t="shared" si="101"/>
        <v>0</v>
      </c>
      <c r="P356" s="133">
        <f t="shared" si="101"/>
        <v>0</v>
      </c>
      <c r="Q356" s="197">
        <f t="shared" si="101"/>
        <v>0</v>
      </c>
    </row>
    <row r="357" spans="1:17" ht="12.75">
      <c r="A357" s="34" t="s">
        <v>220</v>
      </c>
      <c r="B357" s="97"/>
      <c r="C357" s="202">
        <v>1000</v>
      </c>
      <c r="D357" s="215"/>
      <c r="E357" s="146"/>
      <c r="F357" s="134">
        <f>C357+D357+E357</f>
        <v>1000</v>
      </c>
      <c r="G357" s="263"/>
      <c r="H357" s="7"/>
      <c r="I357" s="244">
        <f aca="true" t="shared" si="102" ref="I357:I368">F357+G357+H357</f>
        <v>1000</v>
      </c>
      <c r="J357" s="86"/>
      <c r="K357" s="7"/>
      <c r="L357" s="72"/>
      <c r="M357" s="30"/>
      <c r="N357" s="7"/>
      <c r="O357" s="23"/>
      <c r="P357" s="80"/>
      <c r="Q357" s="78"/>
    </row>
    <row r="358" spans="1:17" ht="12.75">
      <c r="A358" s="34" t="s">
        <v>177</v>
      </c>
      <c r="B358" s="97"/>
      <c r="C358" s="202"/>
      <c r="D358" s="215">
        <f>2866+68524.41+3958.35</f>
        <v>75348.76000000001</v>
      </c>
      <c r="E358" s="146"/>
      <c r="F358" s="134">
        <f>C358+D358+E358</f>
        <v>75348.76000000001</v>
      </c>
      <c r="G358" s="263">
        <f>9198.7</f>
        <v>9198.7</v>
      </c>
      <c r="H358" s="7"/>
      <c r="I358" s="244">
        <f t="shared" si="102"/>
        <v>84547.46</v>
      </c>
      <c r="J358" s="86"/>
      <c r="K358" s="7"/>
      <c r="L358" s="72"/>
      <c r="M358" s="30"/>
      <c r="N358" s="7"/>
      <c r="O358" s="23"/>
      <c r="P358" s="80"/>
      <c r="Q358" s="78"/>
    </row>
    <row r="359" spans="1:17" ht="12.75">
      <c r="A359" s="34" t="s">
        <v>272</v>
      </c>
      <c r="B359" s="97"/>
      <c r="C359" s="197"/>
      <c r="D359" s="215">
        <f>420+940.71+1399.29</f>
        <v>2760</v>
      </c>
      <c r="E359" s="146"/>
      <c r="F359" s="134">
        <f t="shared" si="99"/>
        <v>2760</v>
      </c>
      <c r="G359" s="263"/>
      <c r="H359" s="7"/>
      <c r="I359" s="244">
        <f t="shared" si="102"/>
        <v>2760</v>
      </c>
      <c r="J359" s="86"/>
      <c r="K359" s="7"/>
      <c r="L359" s="72"/>
      <c r="M359" s="30"/>
      <c r="N359" s="7"/>
      <c r="O359" s="23"/>
      <c r="P359" s="80"/>
      <c r="Q359" s="78"/>
    </row>
    <row r="360" spans="1:17" ht="12.75">
      <c r="A360" s="34" t="s">
        <v>232</v>
      </c>
      <c r="B360" s="97"/>
      <c r="C360" s="197">
        <v>119349</v>
      </c>
      <c r="D360" s="215">
        <f>100000+70380.77</f>
        <v>170380.77000000002</v>
      </c>
      <c r="E360" s="146"/>
      <c r="F360" s="134">
        <f t="shared" si="99"/>
        <v>289729.77</v>
      </c>
      <c r="G360" s="263">
        <f>77371.62+20000</f>
        <v>97371.62</v>
      </c>
      <c r="H360" s="7"/>
      <c r="I360" s="244">
        <f t="shared" si="102"/>
        <v>387101.39</v>
      </c>
      <c r="J360" s="86"/>
      <c r="K360" s="7"/>
      <c r="L360" s="72"/>
      <c r="M360" s="30"/>
      <c r="N360" s="7"/>
      <c r="O360" s="23"/>
      <c r="P360" s="80"/>
      <c r="Q360" s="78"/>
    </row>
    <row r="361" spans="1:19" ht="12.75">
      <c r="A361" s="34" t="s">
        <v>176</v>
      </c>
      <c r="B361" s="97"/>
      <c r="C361" s="197">
        <v>82319</v>
      </c>
      <c r="D361" s="215">
        <f>-70645+813.97+1332.17+1911.58+54.45+1372.24+1188.6+1094.57+4006.77+4204.29+835.25+44.41+352.59</f>
        <v>-53434.11000000001</v>
      </c>
      <c r="E361" s="146"/>
      <c r="F361" s="134">
        <f t="shared" si="99"/>
        <v>28884.889999999992</v>
      </c>
      <c r="G361" s="263">
        <f>2494.52+171.34+43.56+150.04+7114.8+69.39+5410.03+4.84+3956+7.68+2782.77+1222.9+14650+5025.73+150.31+1666</f>
        <v>44919.91</v>
      </c>
      <c r="H361" s="7"/>
      <c r="I361" s="244">
        <f t="shared" si="102"/>
        <v>73804.79999999999</v>
      </c>
      <c r="J361" s="86"/>
      <c r="K361" s="7"/>
      <c r="L361" s="72"/>
      <c r="M361" s="30"/>
      <c r="N361" s="7"/>
      <c r="O361" s="23"/>
      <c r="P361" s="80"/>
      <c r="Q361" s="78"/>
      <c r="S361" s="136"/>
    </row>
    <row r="362" spans="1:17" ht="12.75">
      <c r="A362" s="34" t="s">
        <v>179</v>
      </c>
      <c r="B362" s="97"/>
      <c r="C362" s="197">
        <v>22295</v>
      </c>
      <c r="D362" s="215">
        <f>62130.19+715.39+7090.75+4795.8</f>
        <v>74732.13</v>
      </c>
      <c r="E362" s="146"/>
      <c r="F362" s="134">
        <f t="shared" si="99"/>
        <v>97027.13</v>
      </c>
      <c r="G362" s="263">
        <f>6706.02+356.6+9839.19+900.67+6306.09+1149.61+60000</f>
        <v>85258.18</v>
      </c>
      <c r="H362" s="7"/>
      <c r="I362" s="244">
        <f t="shared" si="102"/>
        <v>182285.31</v>
      </c>
      <c r="J362" s="86"/>
      <c r="K362" s="7"/>
      <c r="L362" s="72"/>
      <c r="M362" s="30"/>
      <c r="N362" s="7"/>
      <c r="O362" s="23"/>
      <c r="P362" s="80"/>
      <c r="Q362" s="78"/>
    </row>
    <row r="363" spans="1:17" ht="12.75">
      <c r="A363" s="34" t="s">
        <v>184</v>
      </c>
      <c r="B363" s="97"/>
      <c r="C363" s="197">
        <v>40400</v>
      </c>
      <c r="D363" s="215">
        <f>-1609-5000-31665+22721.54+1928.95+2312.69-5</f>
        <v>-11315.819999999998</v>
      </c>
      <c r="E363" s="146"/>
      <c r="F363" s="134">
        <f t="shared" si="99"/>
        <v>29084.18</v>
      </c>
      <c r="G363" s="263">
        <f>2247.84+1511.46+1762.83+167.71+573.8+2887.23+22.99+1505.58-2000+801.18</f>
        <v>9480.62</v>
      </c>
      <c r="H363" s="7"/>
      <c r="I363" s="244">
        <f t="shared" si="102"/>
        <v>38564.8</v>
      </c>
      <c r="J363" s="86"/>
      <c r="K363" s="7"/>
      <c r="L363" s="72"/>
      <c r="M363" s="30"/>
      <c r="N363" s="7"/>
      <c r="O363" s="23"/>
      <c r="P363" s="80"/>
      <c r="Q363" s="78"/>
    </row>
    <row r="364" spans="1:17" ht="12.75">
      <c r="A364" s="34" t="s">
        <v>183</v>
      </c>
      <c r="B364" s="97"/>
      <c r="C364" s="197">
        <v>15000</v>
      </c>
      <c r="D364" s="146">
        <f>33882.33+1244.53+9.26+17.97+1775.78-0.27+18.51+8.71+1331.96</f>
        <v>38288.780000000006</v>
      </c>
      <c r="E364" s="146"/>
      <c r="F364" s="134">
        <f t="shared" si="99"/>
        <v>53288.780000000006</v>
      </c>
      <c r="G364" s="263">
        <f>10.89+8.71+8.71+578.26+37.4+31.25+10.69+9.63-8000</f>
        <v>-7304.46</v>
      </c>
      <c r="H364" s="7"/>
      <c r="I364" s="244">
        <f t="shared" si="102"/>
        <v>45984.32000000001</v>
      </c>
      <c r="J364" s="86"/>
      <c r="K364" s="7"/>
      <c r="L364" s="72"/>
      <c r="M364" s="30"/>
      <c r="N364" s="7"/>
      <c r="O364" s="23"/>
      <c r="P364" s="80"/>
      <c r="Q364" s="78"/>
    </row>
    <row r="365" spans="1:17" ht="12.75" hidden="1">
      <c r="A365" s="34" t="s">
        <v>211</v>
      </c>
      <c r="B365" s="97">
        <v>2088</v>
      </c>
      <c r="C365" s="197"/>
      <c r="D365" s="146"/>
      <c r="E365" s="146"/>
      <c r="F365" s="134">
        <f t="shared" si="99"/>
        <v>0</v>
      </c>
      <c r="G365" s="263"/>
      <c r="H365" s="7"/>
      <c r="I365" s="244">
        <f t="shared" si="102"/>
        <v>0</v>
      </c>
      <c r="J365" s="86"/>
      <c r="K365" s="7"/>
      <c r="L365" s="72"/>
      <c r="M365" s="30"/>
      <c r="N365" s="7"/>
      <c r="O365" s="23"/>
      <c r="P365" s="80"/>
      <c r="Q365" s="78"/>
    </row>
    <row r="366" spans="1:17" ht="12.75">
      <c r="A366" s="34" t="s">
        <v>285</v>
      </c>
      <c r="B366" s="97">
        <v>2088</v>
      </c>
      <c r="C366" s="197"/>
      <c r="D366" s="146">
        <f>138935.27</f>
        <v>138935.27</v>
      </c>
      <c r="E366" s="146"/>
      <c r="F366" s="134">
        <f t="shared" si="99"/>
        <v>138935.27</v>
      </c>
      <c r="G366" s="263">
        <f>2469.43-77371.62</f>
        <v>-74902.19</v>
      </c>
      <c r="H366" s="7"/>
      <c r="I366" s="244">
        <f t="shared" si="102"/>
        <v>64033.07999999999</v>
      </c>
      <c r="J366" s="86"/>
      <c r="K366" s="7"/>
      <c r="L366" s="72"/>
      <c r="M366" s="30"/>
      <c r="N366" s="7"/>
      <c r="O366" s="23"/>
      <c r="P366" s="80"/>
      <c r="Q366" s="78"/>
    </row>
    <row r="367" spans="1:17" ht="12.75">
      <c r="A367" s="38" t="s">
        <v>243</v>
      </c>
      <c r="B367" s="97">
        <v>2077</v>
      </c>
      <c r="C367" s="197">
        <v>5866</v>
      </c>
      <c r="D367" s="146">
        <f>1609+5000+31665+70645-2866+116514.28-813.97-799.3-1911.58-54.45-820.8-118.86-1094.57-3413.15-368.93-1399.29+131.48-4.44-558.29</f>
        <v>211341.13000000003</v>
      </c>
      <c r="E367" s="146"/>
      <c r="F367" s="134">
        <f t="shared" si="99"/>
        <v>217207.13000000003</v>
      </c>
      <c r="G367" s="263">
        <f>-1216.49-171.34-26.14-88.94-69.39-5409.18-4.84-3418.56-1672.99-812.92-315.59-13.79-15025.73-480.71</f>
        <v>-28726.61</v>
      </c>
      <c r="H367" s="7"/>
      <c r="I367" s="244">
        <f t="shared" si="102"/>
        <v>188480.52000000002</v>
      </c>
      <c r="J367" s="86"/>
      <c r="K367" s="7"/>
      <c r="L367" s="72"/>
      <c r="M367" s="30"/>
      <c r="N367" s="7"/>
      <c r="O367" s="23"/>
      <c r="P367" s="80"/>
      <c r="Q367" s="78"/>
    </row>
    <row r="368" spans="1:17" ht="12.75">
      <c r="A368" s="45" t="s">
        <v>286</v>
      </c>
      <c r="B368" s="100">
        <v>2099</v>
      </c>
      <c r="C368" s="292"/>
      <c r="D368" s="213">
        <f>68906.93-532.87-1244.53-9.26-1928.95-715.39-17.97-7090.75-551.44-3523.83-1775.78+25164.74+3126.66+19217.2-593.62-2312.69-466.32-4795.8+5241.84-2441.18-148.49-178-30000-358.53-1331.96</f>
        <v>61640.01</v>
      </c>
      <c r="E368" s="213"/>
      <c r="F368" s="229">
        <f t="shared" si="99"/>
        <v>61640.01</v>
      </c>
      <c r="G368" s="268">
        <f>30365.86+16108.22+67.54+2580.64+6945.11-6706.02-1278.03-356.6-10.89-8.71-8.71-2247.84-17.42-61.1-7114.8-578.26-9839.19-0.85-1511.46-2300.27-900.67-37.4-167.71-728.13+2900+34672.14+14458.98-6306.09-90.19-1109.78-409.98-258.21-2887.23-9.2-1149.61-1505.58-9.63+5932+382.5-1666-320.47</f>
        <v>64816.96000000001</v>
      </c>
      <c r="H368" s="10"/>
      <c r="I368" s="248">
        <f t="shared" si="102"/>
        <v>126456.97</v>
      </c>
      <c r="J368" s="86"/>
      <c r="K368" s="7"/>
      <c r="L368" s="72"/>
      <c r="M368" s="30"/>
      <c r="N368" s="7"/>
      <c r="O368" s="23"/>
      <c r="P368" s="80"/>
      <c r="Q368" s="78"/>
    </row>
    <row r="369" spans="1:17" ht="12.75">
      <c r="A369" s="31" t="s">
        <v>92</v>
      </c>
      <c r="B369" s="101"/>
      <c r="C369" s="196">
        <f aca="true" t="shared" si="103" ref="C369:Q369">C370+C394</f>
        <v>251309.76</v>
      </c>
      <c r="D369" s="129">
        <f t="shared" si="103"/>
        <v>1127845.5800000003</v>
      </c>
      <c r="E369" s="129">
        <f t="shared" si="103"/>
        <v>0</v>
      </c>
      <c r="F369" s="140">
        <f t="shared" si="103"/>
        <v>1379155.34</v>
      </c>
      <c r="G369" s="262">
        <f t="shared" si="103"/>
        <v>66243.52</v>
      </c>
      <c r="H369" s="112">
        <f t="shared" si="103"/>
        <v>0</v>
      </c>
      <c r="I369" s="243">
        <f t="shared" si="103"/>
        <v>1445398.8600000003</v>
      </c>
      <c r="J369" s="140">
        <f t="shared" si="103"/>
        <v>0</v>
      </c>
      <c r="K369" s="112">
        <f t="shared" si="103"/>
        <v>0</v>
      </c>
      <c r="L369" s="129">
        <f t="shared" si="103"/>
        <v>273629.44</v>
      </c>
      <c r="M369" s="111">
        <f t="shared" si="103"/>
        <v>0</v>
      </c>
      <c r="N369" s="111">
        <f t="shared" si="103"/>
        <v>0</v>
      </c>
      <c r="O369" s="111">
        <f t="shared" si="103"/>
        <v>273629.44</v>
      </c>
      <c r="P369" s="111">
        <f t="shared" si="103"/>
        <v>0</v>
      </c>
      <c r="Q369" s="196">
        <f t="shared" si="103"/>
        <v>273629.44</v>
      </c>
    </row>
    <row r="370" spans="1:17" ht="12.75">
      <c r="A370" s="40" t="s">
        <v>49</v>
      </c>
      <c r="B370" s="101"/>
      <c r="C370" s="200">
        <f aca="true" t="shared" si="104" ref="C370:Q370">SUM(C372:C393)</f>
        <v>251309.76</v>
      </c>
      <c r="D370" s="149">
        <f t="shared" si="104"/>
        <v>1127845.5800000003</v>
      </c>
      <c r="E370" s="149">
        <f t="shared" si="104"/>
        <v>0</v>
      </c>
      <c r="F370" s="175">
        <f t="shared" si="104"/>
        <v>1379155.34</v>
      </c>
      <c r="G370" s="265">
        <f t="shared" si="104"/>
        <v>66058.17</v>
      </c>
      <c r="H370" s="119">
        <f t="shared" si="104"/>
        <v>0</v>
      </c>
      <c r="I370" s="246">
        <f t="shared" si="104"/>
        <v>1445213.5100000002</v>
      </c>
      <c r="J370" s="175">
        <f t="shared" si="104"/>
        <v>0</v>
      </c>
      <c r="K370" s="119">
        <f t="shared" si="104"/>
        <v>0</v>
      </c>
      <c r="L370" s="149">
        <f t="shared" si="104"/>
        <v>273444.09</v>
      </c>
      <c r="M370" s="118">
        <f t="shared" si="104"/>
        <v>0</v>
      </c>
      <c r="N370" s="118">
        <f t="shared" si="104"/>
        <v>0</v>
      </c>
      <c r="O370" s="118">
        <f t="shared" si="104"/>
        <v>273444.09</v>
      </c>
      <c r="P370" s="118">
        <f t="shared" si="104"/>
        <v>0</v>
      </c>
      <c r="Q370" s="200">
        <f t="shared" si="104"/>
        <v>273444.09</v>
      </c>
    </row>
    <row r="371" spans="1:17" ht="12.75">
      <c r="A371" s="36" t="s">
        <v>26</v>
      </c>
      <c r="B371" s="97"/>
      <c r="C371" s="197"/>
      <c r="D371" s="146"/>
      <c r="E371" s="146"/>
      <c r="F371" s="134"/>
      <c r="G371" s="263"/>
      <c r="H371" s="7"/>
      <c r="I371" s="244"/>
      <c r="J371" s="86"/>
      <c r="K371" s="7"/>
      <c r="L371" s="72"/>
      <c r="M371" s="22"/>
      <c r="N371" s="7"/>
      <c r="O371" s="23"/>
      <c r="P371" s="80"/>
      <c r="Q371" s="78"/>
    </row>
    <row r="372" spans="1:17" ht="12.75">
      <c r="A372" s="261" t="s">
        <v>93</v>
      </c>
      <c r="B372" s="103"/>
      <c r="C372" s="197">
        <v>190000</v>
      </c>
      <c r="D372" s="146">
        <f>35000</f>
        <v>35000</v>
      </c>
      <c r="E372" s="146"/>
      <c r="F372" s="160">
        <f aca="true" t="shared" si="105" ref="F372:F393">C372+D372+E372</f>
        <v>225000</v>
      </c>
      <c r="G372" s="263">
        <f>15000</f>
        <v>15000</v>
      </c>
      <c r="H372" s="7"/>
      <c r="I372" s="244">
        <f>F372+G372+H372</f>
        <v>240000</v>
      </c>
      <c r="J372" s="86"/>
      <c r="K372" s="7"/>
      <c r="L372" s="72">
        <f>I372+J372+K372</f>
        <v>240000</v>
      </c>
      <c r="M372" s="22"/>
      <c r="N372" s="7"/>
      <c r="O372" s="23">
        <f>L372+M372+N372</f>
        <v>240000</v>
      </c>
      <c r="P372" s="80"/>
      <c r="Q372" s="78">
        <f>O372+P372</f>
        <v>240000</v>
      </c>
    </row>
    <row r="373" spans="1:17" ht="12.75" hidden="1">
      <c r="A373" s="98" t="s">
        <v>208</v>
      </c>
      <c r="B373" s="103"/>
      <c r="C373" s="197"/>
      <c r="D373" s="146"/>
      <c r="E373" s="146"/>
      <c r="F373" s="134">
        <f t="shared" si="105"/>
        <v>0</v>
      </c>
      <c r="G373" s="263"/>
      <c r="H373" s="7"/>
      <c r="I373" s="244">
        <f aca="true" t="shared" si="106" ref="I373:I393">F373+G373+H373</f>
        <v>0</v>
      </c>
      <c r="J373" s="86"/>
      <c r="K373" s="7"/>
      <c r="L373" s="72"/>
      <c r="M373" s="22"/>
      <c r="N373" s="7"/>
      <c r="O373" s="23"/>
      <c r="P373" s="80"/>
      <c r="Q373" s="78"/>
    </row>
    <row r="374" spans="1:17" ht="12.75" hidden="1">
      <c r="A374" s="34" t="s">
        <v>145</v>
      </c>
      <c r="B374" s="97"/>
      <c r="C374" s="197"/>
      <c r="D374" s="146"/>
      <c r="E374" s="146"/>
      <c r="F374" s="134">
        <f t="shared" si="105"/>
        <v>0</v>
      </c>
      <c r="G374" s="263"/>
      <c r="H374" s="7"/>
      <c r="I374" s="244">
        <f t="shared" si="106"/>
        <v>0</v>
      </c>
      <c r="J374" s="86"/>
      <c r="K374" s="7"/>
      <c r="L374" s="72">
        <f>I374+J374+K374</f>
        <v>0</v>
      </c>
      <c r="M374" s="22"/>
      <c r="N374" s="7"/>
      <c r="O374" s="23">
        <f>L374+M374+N374</f>
        <v>0</v>
      </c>
      <c r="P374" s="80"/>
      <c r="Q374" s="78">
        <f>O374+P374</f>
        <v>0</v>
      </c>
    </row>
    <row r="375" spans="1:17" ht="12.75">
      <c r="A375" s="34" t="s">
        <v>162</v>
      </c>
      <c r="B375" s="97"/>
      <c r="C375" s="197">
        <v>50000</v>
      </c>
      <c r="D375" s="146">
        <f>5000+1847.46</f>
        <v>6847.46</v>
      </c>
      <c r="E375" s="146"/>
      <c r="F375" s="134">
        <f t="shared" si="105"/>
        <v>56847.46</v>
      </c>
      <c r="G375" s="263">
        <f>17.58+20000</f>
        <v>20017.58</v>
      </c>
      <c r="H375" s="7"/>
      <c r="I375" s="244">
        <f t="shared" si="106"/>
        <v>76865.04000000001</v>
      </c>
      <c r="J375" s="86"/>
      <c r="K375" s="7"/>
      <c r="L375" s="72"/>
      <c r="M375" s="22"/>
      <c r="N375" s="7"/>
      <c r="O375" s="23"/>
      <c r="P375" s="80"/>
      <c r="Q375" s="78"/>
    </row>
    <row r="376" spans="1:17" ht="12.75">
      <c r="A376" s="34" t="s">
        <v>51</v>
      </c>
      <c r="B376" s="97"/>
      <c r="C376" s="197">
        <v>10809.76</v>
      </c>
      <c r="D376" s="146">
        <f>47.41</f>
        <v>47.41</v>
      </c>
      <c r="E376" s="146"/>
      <c r="F376" s="134">
        <f t="shared" si="105"/>
        <v>10857.17</v>
      </c>
      <c r="G376" s="263">
        <f>23.66-185.35-25</f>
        <v>-186.69</v>
      </c>
      <c r="H376" s="7"/>
      <c r="I376" s="244">
        <f t="shared" si="106"/>
        <v>10670.48</v>
      </c>
      <c r="J376" s="86"/>
      <c r="K376" s="7"/>
      <c r="L376" s="72">
        <f>I376+J376+K376</f>
        <v>10670.48</v>
      </c>
      <c r="M376" s="22"/>
      <c r="N376" s="7"/>
      <c r="O376" s="23">
        <f>L376+M376+N376</f>
        <v>10670.48</v>
      </c>
      <c r="P376" s="80"/>
      <c r="Q376" s="78">
        <f>O376+P376</f>
        <v>10670.48</v>
      </c>
    </row>
    <row r="377" spans="1:17" ht="12.75" hidden="1">
      <c r="A377" s="34" t="s">
        <v>65</v>
      </c>
      <c r="B377" s="97"/>
      <c r="C377" s="197"/>
      <c r="D377" s="146"/>
      <c r="E377" s="146"/>
      <c r="F377" s="134">
        <f t="shared" si="105"/>
        <v>0</v>
      </c>
      <c r="G377" s="263"/>
      <c r="H377" s="7"/>
      <c r="I377" s="244">
        <f t="shared" si="106"/>
        <v>0</v>
      </c>
      <c r="J377" s="86"/>
      <c r="K377" s="7"/>
      <c r="L377" s="72">
        <f>I377+J377+K377</f>
        <v>0</v>
      </c>
      <c r="M377" s="22"/>
      <c r="N377" s="7"/>
      <c r="O377" s="23">
        <f>L377+M377+N377</f>
        <v>0</v>
      </c>
      <c r="P377" s="80"/>
      <c r="Q377" s="78">
        <f>O377+P377</f>
        <v>0</v>
      </c>
    </row>
    <row r="378" spans="1:17" ht="12.75">
      <c r="A378" s="34" t="s">
        <v>268</v>
      </c>
      <c r="B378" s="97">
        <v>13013</v>
      </c>
      <c r="C378" s="197"/>
      <c r="D378" s="146"/>
      <c r="E378" s="146"/>
      <c r="F378" s="134">
        <f t="shared" si="105"/>
        <v>0</v>
      </c>
      <c r="G378" s="263">
        <f>1664.94+1323.92</f>
        <v>2988.86</v>
      </c>
      <c r="H378" s="7"/>
      <c r="I378" s="244">
        <f t="shared" si="106"/>
        <v>2988.86</v>
      </c>
      <c r="J378" s="86"/>
      <c r="K378" s="7"/>
      <c r="L378" s="72"/>
      <c r="M378" s="22"/>
      <c r="N378" s="7"/>
      <c r="O378" s="23"/>
      <c r="P378" s="80"/>
      <c r="Q378" s="78"/>
    </row>
    <row r="379" spans="1:17" ht="12.75" hidden="1">
      <c r="A379" s="98" t="s">
        <v>307</v>
      </c>
      <c r="B379" s="97">
        <v>2043</v>
      </c>
      <c r="C379" s="197"/>
      <c r="D379" s="146"/>
      <c r="E379" s="146"/>
      <c r="F379" s="134">
        <f t="shared" si="105"/>
        <v>0</v>
      </c>
      <c r="G379" s="263"/>
      <c r="H379" s="7"/>
      <c r="I379" s="244">
        <f t="shared" si="106"/>
        <v>0</v>
      </c>
      <c r="J379" s="86"/>
      <c r="K379" s="7"/>
      <c r="L379" s="72"/>
      <c r="M379" s="22"/>
      <c r="N379" s="7"/>
      <c r="O379" s="23"/>
      <c r="P379" s="80"/>
      <c r="Q379" s="78"/>
    </row>
    <row r="380" spans="1:17" ht="12.75">
      <c r="A380" s="98" t="s">
        <v>321</v>
      </c>
      <c r="B380" s="97">
        <v>2177</v>
      </c>
      <c r="C380" s="197"/>
      <c r="D380" s="146">
        <f>1910.11</f>
        <v>1910.11</v>
      </c>
      <c r="E380" s="146"/>
      <c r="F380" s="134">
        <f t="shared" si="105"/>
        <v>1910.11</v>
      </c>
      <c r="G380" s="263"/>
      <c r="H380" s="7"/>
      <c r="I380" s="244">
        <f t="shared" si="106"/>
        <v>1910.11</v>
      </c>
      <c r="J380" s="86"/>
      <c r="K380" s="7"/>
      <c r="L380" s="72"/>
      <c r="M380" s="22"/>
      <c r="N380" s="7"/>
      <c r="O380" s="23"/>
      <c r="P380" s="80"/>
      <c r="Q380" s="78"/>
    </row>
    <row r="381" spans="1:17" ht="12.75">
      <c r="A381" s="98" t="s">
        <v>338</v>
      </c>
      <c r="B381" s="97">
        <v>2177</v>
      </c>
      <c r="C381" s="197"/>
      <c r="D381" s="146"/>
      <c r="E381" s="146"/>
      <c r="F381" s="134">
        <f t="shared" si="105"/>
        <v>0</v>
      </c>
      <c r="G381" s="263">
        <f>3267.11</f>
        <v>3267.11</v>
      </c>
      <c r="H381" s="7"/>
      <c r="I381" s="244">
        <f t="shared" si="106"/>
        <v>3267.11</v>
      </c>
      <c r="J381" s="86"/>
      <c r="K381" s="7"/>
      <c r="L381" s="72"/>
      <c r="M381" s="22"/>
      <c r="N381" s="7"/>
      <c r="O381" s="23"/>
      <c r="P381" s="80"/>
      <c r="Q381" s="78"/>
    </row>
    <row r="382" spans="1:17" ht="12.75">
      <c r="A382" s="34" t="s">
        <v>305</v>
      </c>
      <c r="B382" s="97">
        <v>2050</v>
      </c>
      <c r="C382" s="197"/>
      <c r="D382" s="146">
        <f>3899.66</f>
        <v>3899.66</v>
      </c>
      <c r="E382" s="146"/>
      <c r="F382" s="134">
        <f t="shared" si="105"/>
        <v>3899.66</v>
      </c>
      <c r="G382" s="263"/>
      <c r="H382" s="7"/>
      <c r="I382" s="244">
        <f t="shared" si="106"/>
        <v>3899.66</v>
      </c>
      <c r="J382" s="86"/>
      <c r="K382" s="7"/>
      <c r="L382" s="72"/>
      <c r="M382" s="22"/>
      <c r="N382" s="7"/>
      <c r="O382" s="23"/>
      <c r="P382" s="80"/>
      <c r="Q382" s="78"/>
    </row>
    <row r="383" spans="1:17" ht="12.75">
      <c r="A383" s="34" t="s">
        <v>240</v>
      </c>
      <c r="B383" s="97">
        <v>2050</v>
      </c>
      <c r="C383" s="197"/>
      <c r="D383" s="146"/>
      <c r="E383" s="146"/>
      <c r="F383" s="134">
        <f t="shared" si="105"/>
        <v>0</v>
      </c>
      <c r="G383" s="263">
        <f>9217.43</f>
        <v>9217.43</v>
      </c>
      <c r="H383" s="7"/>
      <c r="I383" s="244">
        <f t="shared" si="106"/>
        <v>9217.43</v>
      </c>
      <c r="J383" s="86"/>
      <c r="K383" s="7"/>
      <c r="L383" s="72"/>
      <c r="M383" s="22"/>
      <c r="N383" s="7"/>
      <c r="O383" s="23"/>
      <c r="P383" s="80"/>
      <c r="Q383" s="78"/>
    </row>
    <row r="384" spans="1:17" ht="12.75">
      <c r="A384" s="34" t="s">
        <v>306</v>
      </c>
      <c r="B384" s="97">
        <v>2073</v>
      </c>
      <c r="C384" s="197"/>
      <c r="D384" s="146">
        <f>13080.16</f>
        <v>13080.16</v>
      </c>
      <c r="E384" s="146"/>
      <c r="F384" s="134">
        <f t="shared" si="105"/>
        <v>13080.16</v>
      </c>
      <c r="G384" s="263"/>
      <c r="H384" s="7"/>
      <c r="I384" s="244">
        <f t="shared" si="106"/>
        <v>13080.16</v>
      </c>
      <c r="J384" s="86"/>
      <c r="K384" s="7"/>
      <c r="L384" s="72"/>
      <c r="M384" s="22"/>
      <c r="N384" s="7"/>
      <c r="O384" s="23"/>
      <c r="P384" s="80"/>
      <c r="Q384" s="78"/>
    </row>
    <row r="385" spans="1:17" ht="12.75">
      <c r="A385" s="34" t="s">
        <v>323</v>
      </c>
      <c r="B385" s="97">
        <v>1230</v>
      </c>
      <c r="C385" s="197"/>
      <c r="D385" s="146">
        <f>76480</f>
        <v>76480</v>
      </c>
      <c r="E385" s="146"/>
      <c r="F385" s="134">
        <f t="shared" si="105"/>
        <v>76480</v>
      </c>
      <c r="G385" s="263"/>
      <c r="H385" s="7"/>
      <c r="I385" s="244">
        <f t="shared" si="106"/>
        <v>76480</v>
      </c>
      <c r="J385" s="86"/>
      <c r="K385" s="7"/>
      <c r="L385" s="72"/>
      <c r="M385" s="22"/>
      <c r="N385" s="7"/>
      <c r="O385" s="23"/>
      <c r="P385" s="80"/>
      <c r="Q385" s="78"/>
    </row>
    <row r="386" spans="1:17" ht="12.75">
      <c r="A386" s="34" t="s">
        <v>322</v>
      </c>
      <c r="B386" s="97">
        <v>2080</v>
      </c>
      <c r="C386" s="197"/>
      <c r="D386" s="146">
        <f>6437.87</f>
        <v>6437.87</v>
      </c>
      <c r="E386" s="146"/>
      <c r="F386" s="134">
        <f t="shared" si="105"/>
        <v>6437.87</v>
      </c>
      <c r="G386" s="263"/>
      <c r="H386" s="7"/>
      <c r="I386" s="244">
        <f t="shared" si="106"/>
        <v>6437.87</v>
      </c>
      <c r="J386" s="86"/>
      <c r="K386" s="7"/>
      <c r="L386" s="72"/>
      <c r="M386" s="22"/>
      <c r="N386" s="7"/>
      <c r="O386" s="23"/>
      <c r="P386" s="80"/>
      <c r="Q386" s="78"/>
    </row>
    <row r="387" spans="1:17" ht="12.75">
      <c r="A387" s="43" t="s">
        <v>341</v>
      </c>
      <c r="B387" s="97">
        <v>1233</v>
      </c>
      <c r="C387" s="197"/>
      <c r="D387" s="146"/>
      <c r="E387" s="146"/>
      <c r="F387" s="134">
        <f t="shared" si="105"/>
        <v>0</v>
      </c>
      <c r="G387" s="263">
        <f>15728.88</f>
        <v>15728.88</v>
      </c>
      <c r="H387" s="7"/>
      <c r="I387" s="244">
        <f t="shared" si="106"/>
        <v>15728.88</v>
      </c>
      <c r="J387" s="86"/>
      <c r="K387" s="7"/>
      <c r="L387" s="72"/>
      <c r="M387" s="22"/>
      <c r="N387" s="7"/>
      <c r="O387" s="23"/>
      <c r="P387" s="80"/>
      <c r="Q387" s="78"/>
    </row>
    <row r="388" spans="1:17" ht="12.75">
      <c r="A388" s="43" t="s">
        <v>203</v>
      </c>
      <c r="B388" s="97">
        <v>13305</v>
      </c>
      <c r="C388" s="197"/>
      <c r="D388" s="146">
        <f>960818.68</f>
        <v>960818.68</v>
      </c>
      <c r="E388" s="146"/>
      <c r="F388" s="134">
        <f t="shared" si="105"/>
        <v>960818.68</v>
      </c>
      <c r="G388" s="263"/>
      <c r="H388" s="7"/>
      <c r="I388" s="244">
        <f t="shared" si="106"/>
        <v>960818.68</v>
      </c>
      <c r="J388" s="86"/>
      <c r="K388" s="7"/>
      <c r="L388" s="72"/>
      <c r="M388" s="22"/>
      <c r="N388" s="7"/>
      <c r="O388" s="23"/>
      <c r="P388" s="80"/>
      <c r="Q388" s="78"/>
    </row>
    <row r="389" spans="1:17" ht="12.75">
      <c r="A389" s="34" t="s">
        <v>94</v>
      </c>
      <c r="B389" s="97">
        <v>13307</v>
      </c>
      <c r="C389" s="197"/>
      <c r="D389" s="146">
        <f>7000</f>
        <v>7000</v>
      </c>
      <c r="E389" s="146"/>
      <c r="F389" s="134">
        <f t="shared" si="105"/>
        <v>7000</v>
      </c>
      <c r="G389" s="263"/>
      <c r="H389" s="7"/>
      <c r="I389" s="244">
        <f t="shared" si="106"/>
        <v>7000</v>
      </c>
      <c r="J389" s="86"/>
      <c r="K389" s="7"/>
      <c r="L389" s="72">
        <f>I389+J389+K389</f>
        <v>7000</v>
      </c>
      <c r="M389" s="22"/>
      <c r="N389" s="7"/>
      <c r="O389" s="23">
        <f>L389+M389+N389</f>
        <v>7000</v>
      </c>
      <c r="P389" s="80"/>
      <c r="Q389" s="78">
        <f>O389+P389</f>
        <v>7000</v>
      </c>
    </row>
    <row r="390" spans="1:17" ht="12.75" hidden="1">
      <c r="A390" s="34" t="s">
        <v>144</v>
      </c>
      <c r="B390" s="97">
        <v>14032</v>
      </c>
      <c r="C390" s="197"/>
      <c r="D390" s="146"/>
      <c r="E390" s="146"/>
      <c r="F390" s="134">
        <f t="shared" si="105"/>
        <v>0</v>
      </c>
      <c r="G390" s="263"/>
      <c r="H390" s="7"/>
      <c r="I390" s="244">
        <f t="shared" si="106"/>
        <v>0</v>
      </c>
      <c r="J390" s="86"/>
      <c r="K390" s="7"/>
      <c r="L390" s="72">
        <f>I390+J390+K390</f>
        <v>0</v>
      </c>
      <c r="M390" s="22"/>
      <c r="N390" s="7"/>
      <c r="O390" s="23">
        <f>L390+M390+N390</f>
        <v>0</v>
      </c>
      <c r="P390" s="80"/>
      <c r="Q390" s="78">
        <f>O390+P390</f>
        <v>0</v>
      </c>
    </row>
    <row r="391" spans="1:17" ht="12.75" hidden="1">
      <c r="A391" s="43" t="s">
        <v>151</v>
      </c>
      <c r="B391" s="97">
        <v>4359</v>
      </c>
      <c r="C391" s="197"/>
      <c r="D391" s="146"/>
      <c r="E391" s="146"/>
      <c r="F391" s="134">
        <f t="shared" si="105"/>
        <v>0</v>
      </c>
      <c r="G391" s="263"/>
      <c r="H391" s="7"/>
      <c r="I391" s="244">
        <f t="shared" si="106"/>
        <v>0</v>
      </c>
      <c r="J391" s="86"/>
      <c r="K391" s="7"/>
      <c r="L391" s="72">
        <f>I391+J391+K391</f>
        <v>0</v>
      </c>
      <c r="M391" s="22"/>
      <c r="N391" s="7"/>
      <c r="O391" s="23">
        <f>L391+M391+N391</f>
        <v>0</v>
      </c>
      <c r="P391" s="80"/>
      <c r="Q391" s="78">
        <f>O391+P391</f>
        <v>0</v>
      </c>
    </row>
    <row r="392" spans="1:17" ht="12.75">
      <c r="A392" s="98" t="s">
        <v>331</v>
      </c>
      <c r="B392" s="97"/>
      <c r="C392" s="197"/>
      <c r="D392" s="146">
        <f>1075.62</f>
        <v>1075.62</v>
      </c>
      <c r="E392" s="146"/>
      <c r="F392" s="134">
        <f t="shared" si="105"/>
        <v>1075.62</v>
      </c>
      <c r="G392" s="263"/>
      <c r="H392" s="7"/>
      <c r="I392" s="244">
        <f t="shared" si="106"/>
        <v>1075.62</v>
      </c>
      <c r="J392" s="86"/>
      <c r="K392" s="7"/>
      <c r="L392" s="72"/>
      <c r="M392" s="22"/>
      <c r="N392" s="7"/>
      <c r="O392" s="23"/>
      <c r="P392" s="80"/>
      <c r="Q392" s="78"/>
    </row>
    <row r="393" spans="1:17" ht="12.75">
      <c r="A393" s="34" t="s">
        <v>77</v>
      </c>
      <c r="B393" s="97"/>
      <c r="C393" s="197">
        <v>500</v>
      </c>
      <c r="D393" s="146">
        <f>6743.14+1048.53+269.31+1018.04+3110.79+1558.8+1500</f>
        <v>15248.61</v>
      </c>
      <c r="E393" s="146"/>
      <c r="F393" s="134">
        <f t="shared" si="105"/>
        <v>15748.61</v>
      </c>
      <c r="G393" s="263">
        <f>25</f>
        <v>25</v>
      </c>
      <c r="H393" s="7"/>
      <c r="I393" s="244">
        <f t="shared" si="106"/>
        <v>15773.61</v>
      </c>
      <c r="J393" s="86"/>
      <c r="K393" s="7"/>
      <c r="L393" s="72">
        <f>I393+J393+K393</f>
        <v>15773.61</v>
      </c>
      <c r="M393" s="22"/>
      <c r="N393" s="7"/>
      <c r="O393" s="23">
        <f>L393+M393+N393</f>
        <v>15773.61</v>
      </c>
      <c r="P393" s="80"/>
      <c r="Q393" s="78">
        <f>O393+P393</f>
        <v>15773.61</v>
      </c>
    </row>
    <row r="394" spans="1:17" ht="12.75">
      <c r="A394" s="40" t="s">
        <v>54</v>
      </c>
      <c r="B394" s="101"/>
      <c r="C394" s="200">
        <f>SUM(C396:C398)</f>
        <v>0</v>
      </c>
      <c r="D394" s="149">
        <f aca="true" t="shared" si="107" ref="D394:Q394">SUM(D396:D398)</f>
        <v>0</v>
      </c>
      <c r="E394" s="149">
        <f t="shared" si="107"/>
        <v>0</v>
      </c>
      <c r="F394" s="175">
        <f t="shared" si="107"/>
        <v>0</v>
      </c>
      <c r="G394" s="265">
        <f t="shared" si="107"/>
        <v>185.35</v>
      </c>
      <c r="H394" s="119">
        <f t="shared" si="107"/>
        <v>0</v>
      </c>
      <c r="I394" s="246">
        <f t="shared" si="107"/>
        <v>185.35</v>
      </c>
      <c r="J394" s="175">
        <f t="shared" si="107"/>
        <v>0</v>
      </c>
      <c r="K394" s="119">
        <f t="shared" si="107"/>
        <v>0</v>
      </c>
      <c r="L394" s="149">
        <f t="shared" si="107"/>
        <v>185.35</v>
      </c>
      <c r="M394" s="118">
        <f t="shared" si="107"/>
        <v>0</v>
      </c>
      <c r="N394" s="118">
        <f t="shared" si="107"/>
        <v>0</v>
      </c>
      <c r="O394" s="118">
        <f t="shared" si="107"/>
        <v>185.35</v>
      </c>
      <c r="P394" s="118">
        <f t="shared" si="107"/>
        <v>0</v>
      </c>
      <c r="Q394" s="200">
        <f t="shared" si="107"/>
        <v>185.35</v>
      </c>
    </row>
    <row r="395" spans="1:17" ht="12.75">
      <c r="A395" s="36" t="s">
        <v>26</v>
      </c>
      <c r="B395" s="97"/>
      <c r="C395" s="197"/>
      <c r="D395" s="146"/>
      <c r="E395" s="146"/>
      <c r="F395" s="134"/>
      <c r="G395" s="263"/>
      <c r="H395" s="7"/>
      <c r="I395" s="244"/>
      <c r="J395" s="86"/>
      <c r="K395" s="7"/>
      <c r="L395" s="72"/>
      <c r="M395" s="22"/>
      <c r="N395" s="7"/>
      <c r="O395" s="23"/>
      <c r="P395" s="80"/>
      <c r="Q395" s="78"/>
    </row>
    <row r="396" spans="1:17" ht="12.75" hidden="1">
      <c r="A396" s="34" t="s">
        <v>85</v>
      </c>
      <c r="B396" s="97"/>
      <c r="C396" s="197"/>
      <c r="D396" s="146"/>
      <c r="E396" s="146"/>
      <c r="F396" s="134">
        <f>C396+D396+E396</f>
        <v>0</v>
      </c>
      <c r="G396" s="263"/>
      <c r="H396" s="7"/>
      <c r="I396" s="244">
        <f>F396+G396+H396</f>
        <v>0</v>
      </c>
      <c r="J396" s="86"/>
      <c r="K396" s="7"/>
      <c r="L396" s="72">
        <f>I396+J396+K396</f>
        <v>0</v>
      </c>
      <c r="M396" s="22"/>
      <c r="N396" s="7"/>
      <c r="O396" s="23">
        <f>L396+M396+N396</f>
        <v>0</v>
      </c>
      <c r="P396" s="80"/>
      <c r="Q396" s="78">
        <f>O396+P396</f>
        <v>0</v>
      </c>
    </row>
    <row r="397" spans="1:17" ht="12.75">
      <c r="A397" s="37" t="s">
        <v>55</v>
      </c>
      <c r="B397" s="100"/>
      <c r="C397" s="292"/>
      <c r="D397" s="213"/>
      <c r="E397" s="213"/>
      <c r="F397" s="229">
        <f>C397+D397+E397</f>
        <v>0</v>
      </c>
      <c r="G397" s="268">
        <f>185.35</f>
        <v>185.35</v>
      </c>
      <c r="H397" s="10"/>
      <c r="I397" s="248">
        <f>F397+G397+H397</f>
        <v>185.35</v>
      </c>
      <c r="J397" s="86"/>
      <c r="K397" s="7"/>
      <c r="L397" s="72">
        <f>I397+J397+K397</f>
        <v>185.35</v>
      </c>
      <c r="M397" s="22"/>
      <c r="N397" s="7"/>
      <c r="O397" s="23">
        <f>L397+M397+N397</f>
        <v>185.35</v>
      </c>
      <c r="P397" s="80"/>
      <c r="Q397" s="78">
        <f>O397+P397</f>
        <v>185.35</v>
      </c>
    </row>
    <row r="398" spans="1:17" ht="12.75" hidden="1">
      <c r="A398" s="37" t="s">
        <v>77</v>
      </c>
      <c r="B398" s="100"/>
      <c r="C398" s="292"/>
      <c r="D398" s="213"/>
      <c r="E398" s="213"/>
      <c r="F398" s="229">
        <f>C398+D398+E398</f>
        <v>0</v>
      </c>
      <c r="G398" s="268"/>
      <c r="H398" s="10"/>
      <c r="I398" s="248">
        <f>F398+G398+H398</f>
        <v>0</v>
      </c>
      <c r="J398" s="86"/>
      <c r="K398" s="7"/>
      <c r="L398" s="72">
        <f>I398+J398+K398</f>
        <v>0</v>
      </c>
      <c r="M398" s="22"/>
      <c r="N398" s="7"/>
      <c r="O398" s="23">
        <f>L398+M398+N398</f>
        <v>0</v>
      </c>
      <c r="P398" s="80"/>
      <c r="Q398" s="78">
        <f>O398+P398</f>
        <v>0</v>
      </c>
    </row>
    <row r="399" spans="1:17" ht="12.75">
      <c r="A399" s="35" t="s">
        <v>180</v>
      </c>
      <c r="B399" s="101"/>
      <c r="C399" s="196">
        <f>C400+C414</f>
        <v>10486.07</v>
      </c>
      <c r="D399" s="129">
        <f aca="true" t="shared" si="108" ref="D399:Q399">D400+D414</f>
        <v>18845.8</v>
      </c>
      <c r="E399" s="129">
        <f t="shared" si="108"/>
        <v>0</v>
      </c>
      <c r="F399" s="140">
        <f t="shared" si="108"/>
        <v>29331.87</v>
      </c>
      <c r="G399" s="262">
        <f t="shared" si="108"/>
        <v>4007.84</v>
      </c>
      <c r="H399" s="112">
        <f t="shared" si="108"/>
        <v>0</v>
      </c>
      <c r="I399" s="243">
        <f t="shared" si="108"/>
        <v>33339.71000000001</v>
      </c>
      <c r="J399" s="140">
        <f t="shared" si="108"/>
        <v>0</v>
      </c>
      <c r="K399" s="112">
        <f t="shared" si="108"/>
        <v>0</v>
      </c>
      <c r="L399" s="129">
        <f t="shared" si="108"/>
        <v>27716.08</v>
      </c>
      <c r="M399" s="111">
        <f t="shared" si="108"/>
        <v>0</v>
      </c>
      <c r="N399" s="111">
        <f t="shared" si="108"/>
        <v>0</v>
      </c>
      <c r="O399" s="111">
        <f t="shared" si="108"/>
        <v>27716.08</v>
      </c>
      <c r="P399" s="111">
        <f t="shared" si="108"/>
        <v>0</v>
      </c>
      <c r="Q399" s="196">
        <f t="shared" si="108"/>
        <v>27716.08</v>
      </c>
    </row>
    <row r="400" spans="1:17" ht="12.75">
      <c r="A400" s="40" t="s">
        <v>49</v>
      </c>
      <c r="B400" s="101"/>
      <c r="C400" s="200">
        <f>SUM(C402:C413)</f>
        <v>8486.07</v>
      </c>
      <c r="D400" s="149">
        <f aca="true" t="shared" si="109" ref="D400:Q400">SUM(D402:D413)</f>
        <v>18845.8</v>
      </c>
      <c r="E400" s="149">
        <f t="shared" si="109"/>
        <v>0</v>
      </c>
      <c r="F400" s="175">
        <f t="shared" si="109"/>
        <v>27331.87</v>
      </c>
      <c r="G400" s="265">
        <f t="shared" si="109"/>
        <v>4007.84</v>
      </c>
      <c r="H400" s="119">
        <f t="shared" si="109"/>
        <v>0</v>
      </c>
      <c r="I400" s="246">
        <f t="shared" si="109"/>
        <v>31339.710000000003</v>
      </c>
      <c r="J400" s="175">
        <f t="shared" si="109"/>
        <v>0</v>
      </c>
      <c r="K400" s="119">
        <f t="shared" si="109"/>
        <v>0</v>
      </c>
      <c r="L400" s="149">
        <f t="shared" si="109"/>
        <v>25716.08</v>
      </c>
      <c r="M400" s="118">
        <f t="shared" si="109"/>
        <v>0</v>
      </c>
      <c r="N400" s="118">
        <f t="shared" si="109"/>
        <v>0</v>
      </c>
      <c r="O400" s="118">
        <f t="shared" si="109"/>
        <v>25716.08</v>
      </c>
      <c r="P400" s="118">
        <f t="shared" si="109"/>
        <v>0</v>
      </c>
      <c r="Q400" s="200">
        <f t="shared" si="109"/>
        <v>25716.08</v>
      </c>
    </row>
    <row r="401" spans="1:17" ht="12.75">
      <c r="A401" s="36" t="s">
        <v>26</v>
      </c>
      <c r="B401" s="97"/>
      <c r="C401" s="197"/>
      <c r="D401" s="146"/>
      <c r="E401" s="146"/>
      <c r="F401" s="140"/>
      <c r="G401" s="263"/>
      <c r="H401" s="7"/>
      <c r="I401" s="243"/>
      <c r="J401" s="86"/>
      <c r="K401" s="7"/>
      <c r="L401" s="68"/>
      <c r="M401" s="22"/>
      <c r="N401" s="7"/>
      <c r="O401" s="21"/>
      <c r="P401" s="80"/>
      <c r="Q401" s="78"/>
    </row>
    <row r="402" spans="1:17" ht="12.75">
      <c r="A402" s="34" t="s">
        <v>51</v>
      </c>
      <c r="B402" s="97"/>
      <c r="C402" s="197">
        <v>8486.07</v>
      </c>
      <c r="D402" s="146">
        <f>3643+9200</f>
        <v>12843</v>
      </c>
      <c r="E402" s="146"/>
      <c r="F402" s="134">
        <f aca="true" t="shared" si="110" ref="F402:F413">C402+D402+E402</f>
        <v>21329.07</v>
      </c>
      <c r="G402" s="263">
        <f>241.62+484.9+819.31</f>
        <v>1545.83</v>
      </c>
      <c r="H402" s="7"/>
      <c r="I402" s="244">
        <f>F402+G402+H402</f>
        <v>22874.9</v>
      </c>
      <c r="J402" s="86"/>
      <c r="K402" s="7"/>
      <c r="L402" s="72">
        <f>I402+J402+K402</f>
        <v>22874.9</v>
      </c>
      <c r="M402" s="22"/>
      <c r="N402" s="7"/>
      <c r="O402" s="23">
        <f>L402+M402+N402</f>
        <v>22874.9</v>
      </c>
      <c r="P402" s="80"/>
      <c r="Q402" s="78">
        <f>O402+P402</f>
        <v>22874.9</v>
      </c>
    </row>
    <row r="403" spans="1:17" ht="12.75" hidden="1">
      <c r="A403" s="38" t="s">
        <v>205</v>
      </c>
      <c r="B403" s="97"/>
      <c r="C403" s="197"/>
      <c r="D403" s="146"/>
      <c r="E403" s="146"/>
      <c r="F403" s="134">
        <f t="shared" si="110"/>
        <v>0</v>
      </c>
      <c r="G403" s="263"/>
      <c r="H403" s="7"/>
      <c r="I403" s="244">
        <f aca="true" t="shared" si="111" ref="I403:I413">F403+G403+H403</f>
        <v>0</v>
      </c>
      <c r="J403" s="86"/>
      <c r="K403" s="7"/>
      <c r="L403" s="72">
        <f aca="true" t="shared" si="112" ref="L403:L408">I403+J403+K403</f>
        <v>0</v>
      </c>
      <c r="M403" s="22"/>
      <c r="N403" s="7"/>
      <c r="O403" s="23">
        <f aca="true" t="shared" si="113" ref="O403:O408">L403+M403+N403</f>
        <v>0</v>
      </c>
      <c r="P403" s="80"/>
      <c r="Q403" s="78">
        <f>O403+P403</f>
        <v>0</v>
      </c>
    </row>
    <row r="404" spans="1:17" ht="12.75" hidden="1">
      <c r="A404" s="38" t="s">
        <v>206</v>
      </c>
      <c r="B404" s="97"/>
      <c r="C404" s="197"/>
      <c r="D404" s="146"/>
      <c r="E404" s="146"/>
      <c r="F404" s="134">
        <f t="shared" si="110"/>
        <v>0</v>
      </c>
      <c r="G404" s="263"/>
      <c r="H404" s="7"/>
      <c r="I404" s="244">
        <f t="shared" si="111"/>
        <v>0</v>
      </c>
      <c r="J404" s="86"/>
      <c r="K404" s="7"/>
      <c r="L404" s="72"/>
      <c r="M404" s="22"/>
      <c r="N404" s="7"/>
      <c r="O404" s="23"/>
      <c r="P404" s="80"/>
      <c r="Q404" s="78"/>
    </row>
    <row r="405" spans="1:17" ht="12.75" hidden="1">
      <c r="A405" s="38" t="s">
        <v>209</v>
      </c>
      <c r="B405" s="97">
        <v>1400</v>
      </c>
      <c r="C405" s="197"/>
      <c r="D405" s="215"/>
      <c r="E405" s="146"/>
      <c r="F405" s="134">
        <f t="shared" si="110"/>
        <v>0</v>
      </c>
      <c r="G405" s="263"/>
      <c r="H405" s="7"/>
      <c r="I405" s="244">
        <f t="shared" si="111"/>
        <v>0</v>
      </c>
      <c r="J405" s="86"/>
      <c r="K405" s="7"/>
      <c r="L405" s="72"/>
      <c r="M405" s="22"/>
      <c r="N405" s="7"/>
      <c r="O405" s="23"/>
      <c r="P405" s="80"/>
      <c r="Q405" s="78"/>
    </row>
    <row r="406" spans="1:17" ht="12.75">
      <c r="A406" s="34" t="s">
        <v>77</v>
      </c>
      <c r="B406" s="97"/>
      <c r="C406" s="197"/>
      <c r="D406" s="216">
        <f>400+2441.18+241.62</f>
        <v>3082.7999999999997</v>
      </c>
      <c r="E406" s="146"/>
      <c r="F406" s="134">
        <f t="shared" si="110"/>
        <v>3082.7999999999997</v>
      </c>
      <c r="G406" s="263">
        <f>-241.62</f>
        <v>-241.62</v>
      </c>
      <c r="H406" s="7"/>
      <c r="I406" s="244">
        <f t="shared" si="111"/>
        <v>2841.18</v>
      </c>
      <c r="J406" s="86"/>
      <c r="K406" s="7"/>
      <c r="L406" s="72">
        <f t="shared" si="112"/>
        <v>2841.18</v>
      </c>
      <c r="M406" s="22"/>
      <c r="N406" s="7"/>
      <c r="O406" s="23">
        <f t="shared" si="113"/>
        <v>2841.18</v>
      </c>
      <c r="P406" s="80"/>
      <c r="Q406" s="78">
        <f>O406+P406</f>
        <v>2841.18</v>
      </c>
    </row>
    <row r="407" spans="1:17" ht="12.75" hidden="1">
      <c r="A407" s="34" t="s">
        <v>65</v>
      </c>
      <c r="B407" s="97"/>
      <c r="C407" s="197"/>
      <c r="D407" s="146"/>
      <c r="E407" s="146"/>
      <c r="F407" s="134">
        <f t="shared" si="110"/>
        <v>0</v>
      </c>
      <c r="G407" s="263"/>
      <c r="H407" s="7"/>
      <c r="I407" s="244">
        <f t="shared" si="111"/>
        <v>0</v>
      </c>
      <c r="J407" s="239"/>
      <c r="K407" s="7"/>
      <c r="L407" s="72">
        <f t="shared" si="112"/>
        <v>0</v>
      </c>
      <c r="M407" s="22"/>
      <c r="N407" s="7"/>
      <c r="O407" s="23">
        <f t="shared" si="113"/>
        <v>0</v>
      </c>
      <c r="P407" s="80"/>
      <c r="Q407" s="78">
        <f>O407+P407</f>
        <v>0</v>
      </c>
    </row>
    <row r="408" spans="1:17" ht="12.75" hidden="1">
      <c r="A408" s="34" t="s">
        <v>158</v>
      </c>
      <c r="B408" s="97"/>
      <c r="C408" s="197"/>
      <c r="D408" s="146"/>
      <c r="E408" s="146"/>
      <c r="F408" s="134">
        <f t="shared" si="110"/>
        <v>0</v>
      </c>
      <c r="G408" s="263"/>
      <c r="H408" s="7"/>
      <c r="I408" s="244">
        <f t="shared" si="111"/>
        <v>0</v>
      </c>
      <c r="J408" s="239"/>
      <c r="K408" s="7"/>
      <c r="L408" s="72">
        <f t="shared" si="112"/>
        <v>0</v>
      </c>
      <c r="M408" s="22"/>
      <c r="N408" s="7"/>
      <c r="O408" s="23">
        <f t="shared" si="113"/>
        <v>0</v>
      </c>
      <c r="P408" s="80"/>
      <c r="Q408" s="78">
        <f>O408+P408</f>
        <v>0</v>
      </c>
    </row>
    <row r="409" spans="1:17" ht="12.75">
      <c r="A409" s="43" t="s">
        <v>347</v>
      </c>
      <c r="B409" s="97">
        <v>27009</v>
      </c>
      <c r="C409" s="197"/>
      <c r="D409" s="146"/>
      <c r="E409" s="146"/>
      <c r="F409" s="134">
        <f t="shared" si="110"/>
        <v>0</v>
      </c>
      <c r="G409" s="263">
        <f>1560</f>
        <v>1560</v>
      </c>
      <c r="H409" s="7"/>
      <c r="I409" s="244">
        <f t="shared" si="111"/>
        <v>1560</v>
      </c>
      <c r="J409" s="239"/>
      <c r="K409" s="7"/>
      <c r="L409" s="72"/>
      <c r="M409" s="22"/>
      <c r="N409" s="7"/>
      <c r="O409" s="23"/>
      <c r="P409" s="80"/>
      <c r="Q409" s="78"/>
    </row>
    <row r="410" spans="1:17" ht="12.75">
      <c r="A410" s="34" t="s">
        <v>312</v>
      </c>
      <c r="B410" s="97">
        <v>14034</v>
      </c>
      <c r="C410" s="197"/>
      <c r="D410" s="146">
        <f>1645+1275</f>
        <v>2920</v>
      </c>
      <c r="E410" s="146"/>
      <c r="F410" s="134">
        <f t="shared" si="110"/>
        <v>2920</v>
      </c>
      <c r="G410" s="263"/>
      <c r="H410" s="7"/>
      <c r="I410" s="244">
        <f t="shared" si="111"/>
        <v>2920</v>
      </c>
      <c r="J410" s="239"/>
      <c r="K410" s="7"/>
      <c r="L410" s="72"/>
      <c r="M410" s="22"/>
      <c r="N410" s="7"/>
      <c r="O410" s="23"/>
      <c r="P410" s="80"/>
      <c r="Q410" s="78"/>
    </row>
    <row r="411" spans="1:17" ht="12.75">
      <c r="A411" s="34" t="s">
        <v>257</v>
      </c>
      <c r="B411" s="97">
        <v>98035</v>
      </c>
      <c r="C411" s="197"/>
      <c r="D411" s="146"/>
      <c r="E411" s="146"/>
      <c r="F411" s="134">
        <f t="shared" si="110"/>
        <v>0</v>
      </c>
      <c r="G411" s="263">
        <f>150</f>
        <v>150</v>
      </c>
      <c r="H411" s="7"/>
      <c r="I411" s="244">
        <f t="shared" si="111"/>
        <v>150</v>
      </c>
      <c r="J411" s="239"/>
      <c r="K411" s="7"/>
      <c r="L411" s="72"/>
      <c r="M411" s="22"/>
      <c r="N411" s="7"/>
      <c r="O411" s="23"/>
      <c r="P411" s="80"/>
      <c r="Q411" s="78"/>
    </row>
    <row r="412" spans="1:17" ht="12.75">
      <c r="A412" s="34" t="s">
        <v>343</v>
      </c>
      <c r="B412" s="145" t="s">
        <v>235</v>
      </c>
      <c r="C412" s="197"/>
      <c r="D412" s="146"/>
      <c r="E412" s="146"/>
      <c r="F412" s="134">
        <f t="shared" si="110"/>
        <v>0</v>
      </c>
      <c r="G412" s="263">
        <f>993.63</f>
        <v>993.63</v>
      </c>
      <c r="H412" s="7"/>
      <c r="I412" s="244">
        <f t="shared" si="111"/>
        <v>993.63</v>
      </c>
      <c r="J412" s="239"/>
      <c r="K412" s="7"/>
      <c r="L412" s="72"/>
      <c r="M412" s="22"/>
      <c r="N412" s="7"/>
      <c r="O412" s="23"/>
      <c r="P412" s="80"/>
      <c r="Q412" s="78"/>
    </row>
    <row r="413" spans="1:17" ht="12.75" hidden="1">
      <c r="A413" s="34" t="s">
        <v>234</v>
      </c>
      <c r="B413" s="97">
        <v>33064</v>
      </c>
      <c r="C413" s="197"/>
      <c r="D413" s="146"/>
      <c r="E413" s="146"/>
      <c r="F413" s="134">
        <f t="shared" si="110"/>
        <v>0</v>
      </c>
      <c r="G413" s="263"/>
      <c r="H413" s="7"/>
      <c r="I413" s="244">
        <f t="shared" si="111"/>
        <v>0</v>
      </c>
      <c r="J413" s="239"/>
      <c r="K413" s="7"/>
      <c r="L413" s="72"/>
      <c r="M413" s="22"/>
      <c r="N413" s="7"/>
      <c r="O413" s="23"/>
      <c r="P413" s="80"/>
      <c r="Q413" s="78"/>
    </row>
    <row r="414" spans="1:17" ht="12.75">
      <c r="A414" s="40" t="s">
        <v>54</v>
      </c>
      <c r="B414" s="101"/>
      <c r="C414" s="200">
        <f>SUM(C416:C422)</f>
        <v>2000</v>
      </c>
      <c r="D414" s="149">
        <f aca="true" t="shared" si="114" ref="D414:Q414">SUM(D416:D422)</f>
        <v>0</v>
      </c>
      <c r="E414" s="149">
        <f t="shared" si="114"/>
        <v>0</v>
      </c>
      <c r="F414" s="175">
        <f t="shared" si="114"/>
        <v>2000</v>
      </c>
      <c r="G414" s="265">
        <f t="shared" si="114"/>
        <v>0</v>
      </c>
      <c r="H414" s="119">
        <f t="shared" si="114"/>
        <v>0</v>
      </c>
      <c r="I414" s="246">
        <f t="shared" si="114"/>
        <v>2000</v>
      </c>
      <c r="J414" s="175">
        <f t="shared" si="114"/>
        <v>0</v>
      </c>
      <c r="K414" s="119">
        <f t="shared" si="114"/>
        <v>0</v>
      </c>
      <c r="L414" s="149">
        <f t="shared" si="114"/>
        <v>2000</v>
      </c>
      <c r="M414" s="118">
        <f t="shared" si="114"/>
        <v>0</v>
      </c>
      <c r="N414" s="118">
        <f t="shared" si="114"/>
        <v>0</v>
      </c>
      <c r="O414" s="118">
        <f t="shared" si="114"/>
        <v>2000</v>
      </c>
      <c r="P414" s="118">
        <f t="shared" si="114"/>
        <v>0</v>
      </c>
      <c r="Q414" s="200">
        <f t="shared" si="114"/>
        <v>2000</v>
      </c>
    </row>
    <row r="415" spans="1:17" ht="12.75">
      <c r="A415" s="36" t="s">
        <v>26</v>
      </c>
      <c r="B415" s="97"/>
      <c r="C415" s="197"/>
      <c r="D415" s="146"/>
      <c r="E415" s="146"/>
      <c r="F415" s="134"/>
      <c r="G415" s="263"/>
      <c r="H415" s="7"/>
      <c r="I415" s="244"/>
      <c r="J415" s="86"/>
      <c r="K415" s="7"/>
      <c r="L415" s="72"/>
      <c r="M415" s="22"/>
      <c r="N415" s="7"/>
      <c r="O415" s="23"/>
      <c r="P415" s="80"/>
      <c r="Q415" s="78"/>
    </row>
    <row r="416" spans="1:17" ht="12.75">
      <c r="A416" s="38" t="s">
        <v>69</v>
      </c>
      <c r="B416" s="97"/>
      <c r="C416" s="197"/>
      <c r="D416" s="146">
        <f>2000</f>
        <v>2000</v>
      </c>
      <c r="E416" s="146"/>
      <c r="F416" s="134">
        <f aca="true" t="shared" si="115" ref="F416:F422">C416+D416+E416</f>
        <v>2000</v>
      </c>
      <c r="G416" s="263"/>
      <c r="H416" s="7"/>
      <c r="I416" s="244">
        <f>F416+G416+H416</f>
        <v>2000</v>
      </c>
      <c r="J416" s="86"/>
      <c r="K416" s="7"/>
      <c r="L416" s="72">
        <f>I416+J416+K416</f>
        <v>2000</v>
      </c>
      <c r="M416" s="22"/>
      <c r="N416" s="7"/>
      <c r="O416" s="23">
        <f>L416+M416+N416</f>
        <v>2000</v>
      </c>
      <c r="P416" s="80"/>
      <c r="Q416" s="78">
        <f>O416+P416</f>
        <v>2000</v>
      </c>
    </row>
    <row r="417" spans="1:17" ht="12.75" hidden="1">
      <c r="A417" s="38" t="s">
        <v>191</v>
      </c>
      <c r="B417" s="97"/>
      <c r="C417" s="197"/>
      <c r="D417" s="146"/>
      <c r="E417" s="146"/>
      <c r="F417" s="134">
        <f t="shared" si="115"/>
        <v>0</v>
      </c>
      <c r="G417" s="263"/>
      <c r="H417" s="7"/>
      <c r="I417" s="244"/>
      <c r="J417" s="86"/>
      <c r="K417" s="7"/>
      <c r="L417" s="72"/>
      <c r="M417" s="22"/>
      <c r="N417" s="7"/>
      <c r="O417" s="23"/>
      <c r="P417" s="80"/>
      <c r="Q417" s="78"/>
    </row>
    <row r="418" spans="1:17" ht="12.75" hidden="1">
      <c r="A418" s="38" t="s">
        <v>192</v>
      </c>
      <c r="B418" s="97"/>
      <c r="C418" s="197"/>
      <c r="D418" s="146"/>
      <c r="E418" s="146"/>
      <c r="F418" s="134">
        <f t="shared" si="115"/>
        <v>0</v>
      </c>
      <c r="G418" s="263"/>
      <c r="H418" s="7"/>
      <c r="I418" s="244"/>
      <c r="J418" s="86"/>
      <c r="K418" s="7"/>
      <c r="L418" s="72"/>
      <c r="M418" s="22"/>
      <c r="N418" s="7"/>
      <c r="O418" s="23"/>
      <c r="P418" s="80"/>
      <c r="Q418" s="78"/>
    </row>
    <row r="419" spans="1:17" ht="12.75" hidden="1">
      <c r="A419" s="38" t="s">
        <v>181</v>
      </c>
      <c r="B419" s="97"/>
      <c r="C419" s="197"/>
      <c r="D419" s="146"/>
      <c r="E419" s="146"/>
      <c r="F419" s="134">
        <f t="shared" si="115"/>
        <v>0</v>
      </c>
      <c r="G419" s="263"/>
      <c r="H419" s="7"/>
      <c r="I419" s="244"/>
      <c r="J419" s="86"/>
      <c r="K419" s="7"/>
      <c r="L419" s="72"/>
      <c r="M419" s="22"/>
      <c r="N419" s="7"/>
      <c r="O419" s="23"/>
      <c r="P419" s="80"/>
      <c r="Q419" s="78"/>
    </row>
    <row r="420" spans="1:17" ht="12.75">
      <c r="A420" s="37" t="s">
        <v>55</v>
      </c>
      <c r="B420" s="100"/>
      <c r="C420" s="292">
        <v>2000</v>
      </c>
      <c r="D420" s="213">
        <f>-2000</f>
        <v>-2000</v>
      </c>
      <c r="E420" s="213"/>
      <c r="F420" s="229">
        <f t="shared" si="115"/>
        <v>0</v>
      </c>
      <c r="G420" s="268"/>
      <c r="H420" s="10"/>
      <c r="I420" s="248">
        <f>F420+G420+H420</f>
        <v>0</v>
      </c>
      <c r="J420" s="86"/>
      <c r="K420" s="7"/>
      <c r="L420" s="72">
        <f>I420+J420+K420</f>
        <v>0</v>
      </c>
      <c r="M420" s="22"/>
      <c r="N420" s="7"/>
      <c r="O420" s="23">
        <f>L420+M420+N420</f>
        <v>0</v>
      </c>
      <c r="P420" s="80"/>
      <c r="Q420" s="78">
        <f>O420+P420</f>
        <v>0</v>
      </c>
    </row>
    <row r="421" spans="1:17" ht="12.75" hidden="1">
      <c r="A421" s="37" t="s">
        <v>77</v>
      </c>
      <c r="B421" s="100"/>
      <c r="C421" s="292"/>
      <c r="D421" s="213"/>
      <c r="E421" s="213"/>
      <c r="F421" s="229">
        <f t="shared" si="115"/>
        <v>0</v>
      </c>
      <c r="G421" s="263"/>
      <c r="H421" s="7"/>
      <c r="I421" s="244">
        <f>F421+G421+H421</f>
        <v>0</v>
      </c>
      <c r="J421" s="86"/>
      <c r="K421" s="7"/>
      <c r="L421" s="72">
        <f>I421+J421+K421</f>
        <v>0</v>
      </c>
      <c r="M421" s="22"/>
      <c r="N421" s="7"/>
      <c r="O421" s="23">
        <f>L421+M421+N421</f>
        <v>0</v>
      </c>
      <c r="P421" s="80"/>
      <c r="Q421" s="78">
        <f>O421+P421</f>
        <v>0</v>
      </c>
    </row>
    <row r="422" spans="1:17" ht="12.75" hidden="1">
      <c r="A422" s="44" t="s">
        <v>182</v>
      </c>
      <c r="B422" s="100"/>
      <c r="C422" s="292"/>
      <c r="D422" s="213"/>
      <c r="E422" s="213"/>
      <c r="F422" s="229">
        <f t="shared" si="115"/>
        <v>0</v>
      </c>
      <c r="G422" s="268"/>
      <c r="H422" s="10"/>
      <c r="I422" s="248">
        <f>F422+G422+H422</f>
        <v>0</v>
      </c>
      <c r="J422" s="177"/>
      <c r="K422" s="10"/>
      <c r="L422" s="71">
        <f>I422+J422+K422</f>
        <v>0</v>
      </c>
      <c r="M422" s="26"/>
      <c r="N422" s="10"/>
      <c r="O422" s="27">
        <f>L422+M422+N422</f>
        <v>0</v>
      </c>
      <c r="P422" s="83"/>
      <c r="Q422" s="84">
        <f>O422+P422</f>
        <v>0</v>
      </c>
    </row>
    <row r="423" spans="1:17" ht="12.75">
      <c r="A423" s="31" t="s">
        <v>95</v>
      </c>
      <c r="B423" s="101"/>
      <c r="C423" s="196">
        <f>C424+C427</f>
        <v>3304.9</v>
      </c>
      <c r="D423" s="129">
        <f aca="true" t="shared" si="116" ref="D423:Q423">D424+D427</f>
        <v>0</v>
      </c>
      <c r="E423" s="129">
        <f t="shared" si="116"/>
        <v>0</v>
      </c>
      <c r="F423" s="140">
        <f t="shared" si="116"/>
        <v>3304.9</v>
      </c>
      <c r="G423" s="262">
        <f t="shared" si="116"/>
        <v>0</v>
      </c>
      <c r="H423" s="112">
        <f t="shared" si="116"/>
        <v>0</v>
      </c>
      <c r="I423" s="243">
        <f t="shared" si="116"/>
        <v>3304.9</v>
      </c>
      <c r="J423" s="140">
        <f t="shared" si="116"/>
        <v>0</v>
      </c>
      <c r="K423" s="112">
        <f t="shared" si="116"/>
        <v>0</v>
      </c>
      <c r="L423" s="129">
        <f t="shared" si="116"/>
        <v>3304.9</v>
      </c>
      <c r="M423" s="111">
        <f t="shared" si="116"/>
        <v>0</v>
      </c>
      <c r="N423" s="111">
        <f t="shared" si="116"/>
        <v>0</v>
      </c>
      <c r="O423" s="111">
        <f t="shared" si="116"/>
        <v>3304.9</v>
      </c>
      <c r="P423" s="111">
        <f t="shared" si="116"/>
        <v>0</v>
      </c>
      <c r="Q423" s="196">
        <f t="shared" si="116"/>
        <v>3304.9</v>
      </c>
    </row>
    <row r="424" spans="1:17" ht="12.75">
      <c r="A424" s="40" t="s">
        <v>49</v>
      </c>
      <c r="B424" s="101"/>
      <c r="C424" s="200">
        <f>SUM(C426:C426)</f>
        <v>3304.9</v>
      </c>
      <c r="D424" s="149">
        <f aca="true" t="shared" si="117" ref="D424:Q424">SUM(D426:D426)</f>
        <v>0</v>
      </c>
      <c r="E424" s="149">
        <f t="shared" si="117"/>
        <v>0</v>
      </c>
      <c r="F424" s="175">
        <f t="shared" si="117"/>
        <v>3304.9</v>
      </c>
      <c r="G424" s="265">
        <f t="shared" si="117"/>
        <v>0</v>
      </c>
      <c r="H424" s="119">
        <f t="shared" si="117"/>
        <v>0</v>
      </c>
      <c r="I424" s="246">
        <f t="shared" si="117"/>
        <v>3304.9</v>
      </c>
      <c r="J424" s="175">
        <f t="shared" si="117"/>
        <v>0</v>
      </c>
      <c r="K424" s="119">
        <f t="shared" si="117"/>
        <v>0</v>
      </c>
      <c r="L424" s="149">
        <f t="shared" si="117"/>
        <v>3304.9</v>
      </c>
      <c r="M424" s="118">
        <f t="shared" si="117"/>
        <v>0</v>
      </c>
      <c r="N424" s="118">
        <f t="shared" si="117"/>
        <v>0</v>
      </c>
      <c r="O424" s="118">
        <f t="shared" si="117"/>
        <v>3304.9</v>
      </c>
      <c r="P424" s="118">
        <f t="shared" si="117"/>
        <v>0</v>
      </c>
      <c r="Q424" s="200">
        <f t="shared" si="117"/>
        <v>3304.9</v>
      </c>
    </row>
    <row r="425" spans="1:17" ht="12.75">
      <c r="A425" s="36" t="s">
        <v>26</v>
      </c>
      <c r="B425" s="97"/>
      <c r="C425" s="197"/>
      <c r="D425" s="146"/>
      <c r="E425" s="146"/>
      <c r="F425" s="140"/>
      <c r="G425" s="263"/>
      <c r="H425" s="7"/>
      <c r="I425" s="243"/>
      <c r="J425" s="86"/>
      <c r="K425" s="7"/>
      <c r="L425" s="68"/>
      <c r="M425" s="22"/>
      <c r="N425" s="7"/>
      <c r="O425" s="21"/>
      <c r="P425" s="80"/>
      <c r="Q425" s="78"/>
    </row>
    <row r="426" spans="1:17" ht="12.75">
      <c r="A426" s="37" t="s">
        <v>51</v>
      </c>
      <c r="B426" s="100"/>
      <c r="C426" s="293">
        <v>3304.9</v>
      </c>
      <c r="D426" s="213"/>
      <c r="E426" s="213"/>
      <c r="F426" s="229">
        <f>C426+D426+E426</f>
        <v>3304.9</v>
      </c>
      <c r="G426" s="268"/>
      <c r="H426" s="10"/>
      <c r="I426" s="248">
        <f>F426+G426+H426</f>
        <v>3304.9</v>
      </c>
      <c r="J426" s="86"/>
      <c r="K426" s="7"/>
      <c r="L426" s="72">
        <f>I426+J426+K426</f>
        <v>3304.9</v>
      </c>
      <c r="M426" s="22"/>
      <c r="N426" s="7"/>
      <c r="O426" s="23">
        <f>L426+M426+N426</f>
        <v>3304.9</v>
      </c>
      <c r="P426" s="80"/>
      <c r="Q426" s="78">
        <f>O426+P426</f>
        <v>3304.9</v>
      </c>
    </row>
    <row r="427" spans="1:17" ht="12.75" hidden="1">
      <c r="A427" s="40" t="s">
        <v>54</v>
      </c>
      <c r="B427" s="101"/>
      <c r="C427" s="200">
        <f aca="true" t="shared" si="118" ref="C427:Q427">SUM(C429:C429)</f>
        <v>0</v>
      </c>
      <c r="D427" s="149">
        <f t="shared" si="118"/>
        <v>0</v>
      </c>
      <c r="E427" s="149">
        <f t="shared" si="118"/>
        <v>0</v>
      </c>
      <c r="F427" s="175">
        <f t="shared" si="118"/>
        <v>0</v>
      </c>
      <c r="G427" s="265">
        <f t="shared" si="118"/>
        <v>0</v>
      </c>
      <c r="H427" s="119">
        <f t="shared" si="118"/>
        <v>0</v>
      </c>
      <c r="I427" s="246">
        <f t="shared" si="118"/>
        <v>0</v>
      </c>
      <c r="J427" s="175">
        <f t="shared" si="118"/>
        <v>0</v>
      </c>
      <c r="K427" s="119">
        <f t="shared" si="118"/>
        <v>0</v>
      </c>
      <c r="L427" s="149">
        <f t="shared" si="118"/>
        <v>0</v>
      </c>
      <c r="M427" s="118">
        <f t="shared" si="118"/>
        <v>0</v>
      </c>
      <c r="N427" s="118">
        <f t="shared" si="118"/>
        <v>0</v>
      </c>
      <c r="O427" s="118">
        <f t="shared" si="118"/>
        <v>0</v>
      </c>
      <c r="P427" s="118">
        <f t="shared" si="118"/>
        <v>0</v>
      </c>
      <c r="Q427" s="200">
        <f t="shared" si="118"/>
        <v>0</v>
      </c>
    </row>
    <row r="428" spans="1:17" ht="12.75" hidden="1">
      <c r="A428" s="36" t="s">
        <v>26</v>
      </c>
      <c r="B428" s="97"/>
      <c r="C428" s="197"/>
      <c r="D428" s="146"/>
      <c r="E428" s="146"/>
      <c r="F428" s="134"/>
      <c r="G428" s="263"/>
      <c r="H428" s="7"/>
      <c r="I428" s="244"/>
      <c r="J428" s="86"/>
      <c r="K428" s="7"/>
      <c r="L428" s="72"/>
      <c r="M428" s="22"/>
      <c r="N428" s="7"/>
      <c r="O428" s="23"/>
      <c r="P428" s="80"/>
      <c r="Q428" s="78"/>
    </row>
    <row r="429" spans="1:17" ht="12.75" hidden="1">
      <c r="A429" s="37" t="s">
        <v>55</v>
      </c>
      <c r="B429" s="100"/>
      <c r="C429" s="292"/>
      <c r="D429" s="213"/>
      <c r="E429" s="213"/>
      <c r="F429" s="229">
        <f>C429+D429+E429</f>
        <v>0</v>
      </c>
      <c r="G429" s="268"/>
      <c r="H429" s="10"/>
      <c r="I429" s="248">
        <f>F429+G429+H429</f>
        <v>0</v>
      </c>
      <c r="J429" s="177"/>
      <c r="K429" s="10"/>
      <c r="L429" s="71">
        <f>I429+J429+K429</f>
        <v>0</v>
      </c>
      <c r="M429" s="26"/>
      <c r="N429" s="10"/>
      <c r="O429" s="27">
        <f>L429+M429+N429</f>
        <v>0</v>
      </c>
      <c r="P429" s="83"/>
      <c r="Q429" s="84">
        <f>O429+P429</f>
        <v>0</v>
      </c>
    </row>
    <row r="430" spans="1:17" ht="12.75">
      <c r="A430" s="31" t="s">
        <v>96</v>
      </c>
      <c r="B430" s="101"/>
      <c r="C430" s="196">
        <f aca="true" t="shared" si="119" ref="C430:Q430">C431</f>
        <v>55500</v>
      </c>
      <c r="D430" s="129">
        <f t="shared" si="119"/>
        <v>110819.67000000001</v>
      </c>
      <c r="E430" s="129">
        <f t="shared" si="119"/>
        <v>-10000</v>
      </c>
      <c r="F430" s="140">
        <f t="shared" si="119"/>
        <v>156319.67</v>
      </c>
      <c r="G430" s="262">
        <f t="shared" si="119"/>
        <v>2406.179999999993</v>
      </c>
      <c r="H430" s="112">
        <f t="shared" si="119"/>
        <v>0</v>
      </c>
      <c r="I430" s="243">
        <f t="shared" si="119"/>
        <v>158725.85</v>
      </c>
      <c r="J430" s="140">
        <f t="shared" si="119"/>
        <v>0</v>
      </c>
      <c r="K430" s="112">
        <f t="shared" si="119"/>
        <v>0</v>
      </c>
      <c r="L430" s="129">
        <f t="shared" si="119"/>
        <v>158725.85</v>
      </c>
      <c r="M430" s="111">
        <f t="shared" si="119"/>
        <v>0</v>
      </c>
      <c r="N430" s="111">
        <f t="shared" si="119"/>
        <v>0</v>
      </c>
      <c r="O430" s="111">
        <f t="shared" si="119"/>
        <v>158725.85</v>
      </c>
      <c r="P430" s="111">
        <f t="shared" si="119"/>
        <v>0</v>
      </c>
      <c r="Q430" s="196">
        <f t="shared" si="119"/>
        <v>158725.85</v>
      </c>
    </row>
    <row r="431" spans="1:17" ht="12.75">
      <c r="A431" s="40" t="s">
        <v>49</v>
      </c>
      <c r="B431" s="101"/>
      <c r="C431" s="200">
        <f>SUM(C433:C436)</f>
        <v>55500</v>
      </c>
      <c r="D431" s="149">
        <f aca="true" t="shared" si="120" ref="D431:Q431">SUM(D433:D436)</f>
        <v>110819.67000000001</v>
      </c>
      <c r="E431" s="149">
        <f t="shared" si="120"/>
        <v>-10000</v>
      </c>
      <c r="F431" s="175">
        <f t="shared" si="120"/>
        <v>156319.67</v>
      </c>
      <c r="G431" s="265">
        <f t="shared" si="120"/>
        <v>2406.179999999993</v>
      </c>
      <c r="H431" s="119">
        <f t="shared" si="120"/>
        <v>0</v>
      </c>
      <c r="I431" s="246">
        <f t="shared" si="120"/>
        <v>158725.85</v>
      </c>
      <c r="J431" s="175">
        <f t="shared" si="120"/>
        <v>0</v>
      </c>
      <c r="K431" s="119">
        <f t="shared" si="120"/>
        <v>0</v>
      </c>
      <c r="L431" s="149">
        <f t="shared" si="120"/>
        <v>158725.85</v>
      </c>
      <c r="M431" s="118">
        <f t="shared" si="120"/>
        <v>0</v>
      </c>
      <c r="N431" s="118">
        <f t="shared" si="120"/>
        <v>0</v>
      </c>
      <c r="O431" s="118">
        <f t="shared" si="120"/>
        <v>158725.85</v>
      </c>
      <c r="P431" s="118">
        <f t="shared" si="120"/>
        <v>0</v>
      </c>
      <c r="Q431" s="200">
        <f t="shared" si="120"/>
        <v>158725.85</v>
      </c>
    </row>
    <row r="432" spans="1:17" ht="12.75">
      <c r="A432" s="36" t="s">
        <v>26</v>
      </c>
      <c r="B432" s="97"/>
      <c r="C432" s="196"/>
      <c r="D432" s="129"/>
      <c r="E432" s="129"/>
      <c r="F432" s="140"/>
      <c r="G432" s="262"/>
      <c r="H432" s="6"/>
      <c r="I432" s="243"/>
      <c r="J432" s="130"/>
      <c r="K432" s="6"/>
      <c r="L432" s="68"/>
      <c r="M432" s="20"/>
      <c r="N432" s="6"/>
      <c r="O432" s="21"/>
      <c r="P432" s="80"/>
      <c r="Q432" s="78"/>
    </row>
    <row r="433" spans="1:17" ht="12.75">
      <c r="A433" s="98" t="s">
        <v>193</v>
      </c>
      <c r="B433" s="97"/>
      <c r="C433" s="197">
        <v>15000</v>
      </c>
      <c r="D433" s="146">
        <v>67000</v>
      </c>
      <c r="E433" s="146">
        <v>-10000</v>
      </c>
      <c r="F433" s="134">
        <f>C433+D433+E433</f>
        <v>72000</v>
      </c>
      <c r="G433" s="263">
        <f>140000-137593.82</f>
        <v>2406.179999999993</v>
      </c>
      <c r="H433" s="7"/>
      <c r="I433" s="244">
        <f>F433+G433+H433</f>
        <v>74406.18</v>
      </c>
      <c r="J433" s="239"/>
      <c r="K433" s="7"/>
      <c r="L433" s="72">
        <f>I433+J433+K433</f>
        <v>74406.18</v>
      </c>
      <c r="M433" s="22"/>
      <c r="N433" s="7"/>
      <c r="O433" s="23">
        <f>L433+M433+N433</f>
        <v>74406.18</v>
      </c>
      <c r="P433" s="80"/>
      <c r="Q433" s="78">
        <f>O433+P433</f>
        <v>74406.18</v>
      </c>
    </row>
    <row r="434" spans="1:17" ht="12.75">
      <c r="A434" s="98" t="s">
        <v>97</v>
      </c>
      <c r="B434" s="97"/>
      <c r="C434" s="197"/>
      <c r="D434" s="215">
        <f>26787.85</f>
        <v>26787.85</v>
      </c>
      <c r="E434" s="146"/>
      <c r="F434" s="134">
        <f>C434+D434+E434</f>
        <v>26787.85</v>
      </c>
      <c r="G434" s="263"/>
      <c r="H434" s="7"/>
      <c r="I434" s="244">
        <f>F434+G434+H434</f>
        <v>26787.85</v>
      </c>
      <c r="J434" s="86"/>
      <c r="K434" s="7"/>
      <c r="L434" s="72">
        <f>I434+J434+K434</f>
        <v>26787.85</v>
      </c>
      <c r="M434" s="22"/>
      <c r="N434" s="7"/>
      <c r="O434" s="23">
        <f>L434+M434+N434</f>
        <v>26787.85</v>
      </c>
      <c r="P434" s="80"/>
      <c r="Q434" s="78">
        <f>O434+P434</f>
        <v>26787.85</v>
      </c>
    </row>
    <row r="435" spans="1:17" ht="12.75">
      <c r="A435" s="98" t="s">
        <v>98</v>
      </c>
      <c r="B435" s="97"/>
      <c r="C435" s="197"/>
      <c r="D435" s="146">
        <f>17031.82</f>
        <v>17031.82</v>
      </c>
      <c r="E435" s="146"/>
      <c r="F435" s="134">
        <f>C435+D435+E435</f>
        <v>17031.82</v>
      </c>
      <c r="G435" s="263"/>
      <c r="H435" s="7"/>
      <c r="I435" s="244">
        <f>F435+G435+H435</f>
        <v>17031.82</v>
      </c>
      <c r="J435" s="86"/>
      <c r="K435" s="7"/>
      <c r="L435" s="72">
        <f>I435+J435+K435</f>
        <v>17031.82</v>
      </c>
      <c r="M435" s="22"/>
      <c r="N435" s="7"/>
      <c r="O435" s="23">
        <f>L435+M435+N435</f>
        <v>17031.82</v>
      </c>
      <c r="P435" s="80"/>
      <c r="Q435" s="78">
        <f>O435+P435</f>
        <v>17031.82</v>
      </c>
    </row>
    <row r="436" spans="1:17" ht="12.75">
      <c r="A436" s="37" t="s">
        <v>51</v>
      </c>
      <c r="B436" s="100"/>
      <c r="C436" s="292">
        <v>40500</v>
      </c>
      <c r="D436" s="213"/>
      <c r="E436" s="213"/>
      <c r="F436" s="229">
        <f>C436+D436+E436</f>
        <v>40500</v>
      </c>
      <c r="G436" s="268"/>
      <c r="H436" s="10"/>
      <c r="I436" s="248">
        <f>F436+G436+H436</f>
        <v>40500</v>
      </c>
      <c r="J436" s="177"/>
      <c r="K436" s="10"/>
      <c r="L436" s="71">
        <f>I436+J436+K436</f>
        <v>40500</v>
      </c>
      <c r="M436" s="26"/>
      <c r="N436" s="10"/>
      <c r="O436" s="27">
        <f>L436+M436+N436</f>
        <v>40500</v>
      </c>
      <c r="P436" s="83"/>
      <c r="Q436" s="84">
        <f>O436+P436</f>
        <v>40500</v>
      </c>
    </row>
    <row r="437" spans="1:17" ht="12.75">
      <c r="A437" s="31" t="s">
        <v>166</v>
      </c>
      <c r="B437" s="101"/>
      <c r="C437" s="196">
        <f aca="true" t="shared" si="121" ref="C437:Q437">C438+C452</f>
        <v>185407.7</v>
      </c>
      <c r="D437" s="129">
        <f t="shared" si="121"/>
        <v>44177.64</v>
      </c>
      <c r="E437" s="129">
        <f t="shared" si="121"/>
        <v>1900</v>
      </c>
      <c r="F437" s="140">
        <f t="shared" si="121"/>
        <v>231485.34</v>
      </c>
      <c r="G437" s="262">
        <f t="shared" si="121"/>
        <v>0</v>
      </c>
      <c r="H437" s="112">
        <f t="shared" si="121"/>
        <v>0</v>
      </c>
      <c r="I437" s="243">
        <f t="shared" si="121"/>
        <v>231485.34000000003</v>
      </c>
      <c r="J437" s="140">
        <f t="shared" si="121"/>
        <v>0</v>
      </c>
      <c r="K437" s="112">
        <f t="shared" si="121"/>
        <v>0</v>
      </c>
      <c r="L437" s="129">
        <f t="shared" si="121"/>
        <v>0</v>
      </c>
      <c r="M437" s="111">
        <f t="shared" si="121"/>
        <v>0</v>
      </c>
      <c r="N437" s="111">
        <f t="shared" si="121"/>
        <v>0</v>
      </c>
      <c r="O437" s="111">
        <f t="shared" si="121"/>
        <v>0</v>
      </c>
      <c r="P437" s="111">
        <f t="shared" si="121"/>
        <v>0</v>
      </c>
      <c r="Q437" s="196">
        <f t="shared" si="121"/>
        <v>0</v>
      </c>
    </row>
    <row r="438" spans="1:17" ht="12.75">
      <c r="A438" s="40" t="s">
        <v>49</v>
      </c>
      <c r="B438" s="101"/>
      <c r="C438" s="200">
        <f>SUM(C440:C451)</f>
        <v>130807.7</v>
      </c>
      <c r="D438" s="149">
        <f>SUM(D440:D451)</f>
        <v>10517.640000000001</v>
      </c>
      <c r="E438" s="149">
        <f>SUM(E439:E451)</f>
        <v>-23.4</v>
      </c>
      <c r="F438" s="175">
        <f>SUM(F440:F451)</f>
        <v>141301.94</v>
      </c>
      <c r="G438" s="265">
        <f aca="true" t="shared" si="122" ref="G438:Q438">SUM(G439:G451)</f>
        <v>-26064</v>
      </c>
      <c r="H438" s="119">
        <f t="shared" si="122"/>
        <v>0</v>
      </c>
      <c r="I438" s="246">
        <f t="shared" si="122"/>
        <v>115237.94000000002</v>
      </c>
      <c r="J438" s="175">
        <f t="shared" si="122"/>
        <v>0</v>
      </c>
      <c r="K438" s="119">
        <f t="shared" si="122"/>
        <v>0</v>
      </c>
      <c r="L438" s="149">
        <f t="shared" si="122"/>
        <v>0</v>
      </c>
      <c r="M438" s="118">
        <f t="shared" si="122"/>
        <v>0</v>
      </c>
      <c r="N438" s="118">
        <f t="shared" si="122"/>
        <v>0</v>
      </c>
      <c r="O438" s="118">
        <f t="shared" si="122"/>
        <v>0</v>
      </c>
      <c r="P438" s="118">
        <f t="shared" si="122"/>
        <v>0</v>
      </c>
      <c r="Q438" s="200">
        <f t="shared" si="122"/>
        <v>0</v>
      </c>
    </row>
    <row r="439" spans="1:17" ht="12.75">
      <c r="A439" s="36" t="s">
        <v>26</v>
      </c>
      <c r="B439" s="97"/>
      <c r="C439" s="197"/>
      <c r="D439" s="146"/>
      <c r="E439" s="146"/>
      <c r="F439" s="134"/>
      <c r="G439" s="263"/>
      <c r="H439" s="7"/>
      <c r="I439" s="244"/>
      <c r="J439" s="86"/>
      <c r="K439" s="7"/>
      <c r="L439" s="72"/>
      <c r="M439" s="22"/>
      <c r="N439" s="7"/>
      <c r="O439" s="23"/>
      <c r="P439" s="80"/>
      <c r="Q439" s="78"/>
    </row>
    <row r="440" spans="1:17" ht="12.75">
      <c r="A440" s="34" t="s">
        <v>253</v>
      </c>
      <c r="B440" s="97">
        <v>1202</v>
      </c>
      <c r="C440" s="197">
        <v>15900</v>
      </c>
      <c r="D440" s="146">
        <f>6660.58-4000</f>
        <v>2660.58</v>
      </c>
      <c r="E440" s="146"/>
      <c r="F440" s="134">
        <f aca="true" t="shared" si="123" ref="F440:F451">C440+D440+E440</f>
        <v>18560.58</v>
      </c>
      <c r="G440" s="263">
        <f>-607</f>
        <v>-607</v>
      </c>
      <c r="H440" s="7"/>
      <c r="I440" s="244">
        <f>F440+G440+H440</f>
        <v>17953.58</v>
      </c>
      <c r="J440" s="86"/>
      <c r="K440" s="7"/>
      <c r="L440" s="72"/>
      <c r="M440" s="22"/>
      <c r="N440" s="7"/>
      <c r="O440" s="23"/>
      <c r="P440" s="80"/>
      <c r="Q440" s="78"/>
    </row>
    <row r="441" spans="1:17" ht="12.75">
      <c r="A441" s="34" t="s">
        <v>185</v>
      </c>
      <c r="B441" s="97">
        <v>1208</v>
      </c>
      <c r="C441" s="197">
        <v>4500</v>
      </c>
      <c r="D441" s="146">
        <f>20.18</f>
        <v>20.18</v>
      </c>
      <c r="E441" s="146"/>
      <c r="F441" s="134">
        <f t="shared" si="123"/>
        <v>4520.18</v>
      </c>
      <c r="G441" s="263"/>
      <c r="H441" s="7"/>
      <c r="I441" s="244">
        <f aca="true" t="shared" si="124" ref="I441:I451">F441+G441+H441</f>
        <v>4520.18</v>
      </c>
      <c r="J441" s="86"/>
      <c r="K441" s="7"/>
      <c r="L441" s="72"/>
      <c r="M441" s="22"/>
      <c r="N441" s="7"/>
      <c r="O441" s="23"/>
      <c r="P441" s="80"/>
      <c r="Q441" s="78"/>
    </row>
    <row r="442" spans="1:17" ht="12.75">
      <c r="A442" s="34" t="s">
        <v>186</v>
      </c>
      <c r="B442" s="97">
        <v>1207</v>
      </c>
      <c r="C442" s="197">
        <v>10600</v>
      </c>
      <c r="D442" s="146">
        <f>114.87+1430</f>
        <v>1544.87</v>
      </c>
      <c r="E442" s="146"/>
      <c r="F442" s="134">
        <f t="shared" si="123"/>
        <v>12144.869999999999</v>
      </c>
      <c r="G442" s="263"/>
      <c r="H442" s="7"/>
      <c r="I442" s="244">
        <f t="shared" si="124"/>
        <v>12144.869999999999</v>
      </c>
      <c r="J442" s="86"/>
      <c r="K442" s="7"/>
      <c r="L442" s="72"/>
      <c r="M442" s="22"/>
      <c r="N442" s="7"/>
      <c r="O442" s="23"/>
      <c r="P442" s="80"/>
      <c r="Q442" s="78"/>
    </row>
    <row r="443" spans="1:17" ht="12.75">
      <c r="A443" s="38" t="s">
        <v>274</v>
      </c>
      <c r="B443" s="97">
        <v>1209</v>
      </c>
      <c r="C443" s="197">
        <v>2860</v>
      </c>
      <c r="D443" s="146">
        <f>781+88.6+11.32</f>
        <v>880.9200000000001</v>
      </c>
      <c r="E443" s="146"/>
      <c r="F443" s="134">
        <f t="shared" si="123"/>
        <v>3740.92</v>
      </c>
      <c r="G443" s="263"/>
      <c r="H443" s="7"/>
      <c r="I443" s="244">
        <f t="shared" si="124"/>
        <v>3740.92</v>
      </c>
      <c r="J443" s="86"/>
      <c r="K443" s="7"/>
      <c r="L443" s="72"/>
      <c r="M443" s="22"/>
      <c r="N443" s="7"/>
      <c r="O443" s="23"/>
      <c r="P443" s="80"/>
      <c r="Q443" s="78"/>
    </row>
    <row r="444" spans="1:17" ht="12.75">
      <c r="A444" s="34" t="s">
        <v>187</v>
      </c>
      <c r="B444" s="97">
        <v>1211</v>
      </c>
      <c r="C444" s="197">
        <v>3900</v>
      </c>
      <c r="D444" s="215">
        <f>125.1</f>
        <v>125.1</v>
      </c>
      <c r="E444" s="215"/>
      <c r="F444" s="134">
        <f t="shared" si="123"/>
        <v>4025.1</v>
      </c>
      <c r="G444" s="263"/>
      <c r="H444" s="7"/>
      <c r="I444" s="244">
        <f t="shared" si="124"/>
        <v>4025.1</v>
      </c>
      <c r="J444" s="86"/>
      <c r="K444" s="7"/>
      <c r="L444" s="72"/>
      <c r="M444" s="22"/>
      <c r="N444" s="7"/>
      <c r="O444" s="23"/>
      <c r="P444" s="80"/>
      <c r="Q444" s="78"/>
    </row>
    <row r="445" spans="1:17" ht="12.75">
      <c r="A445" s="34" t="s">
        <v>238</v>
      </c>
      <c r="B445" s="97">
        <v>1214</v>
      </c>
      <c r="C445" s="197">
        <v>2800</v>
      </c>
      <c r="D445" s="215">
        <f>70.05</f>
        <v>70.05</v>
      </c>
      <c r="E445" s="146"/>
      <c r="F445" s="134">
        <f t="shared" si="123"/>
        <v>2870.05</v>
      </c>
      <c r="G445" s="263"/>
      <c r="H445" s="7"/>
      <c r="I445" s="244">
        <f t="shared" si="124"/>
        <v>2870.05</v>
      </c>
      <c r="J445" s="86"/>
      <c r="K445" s="7"/>
      <c r="L445" s="72"/>
      <c r="M445" s="22"/>
      <c r="N445" s="7"/>
      <c r="O445" s="23"/>
      <c r="P445" s="80"/>
      <c r="Q445" s="78"/>
    </row>
    <row r="446" spans="1:17" ht="12.75">
      <c r="A446" s="34" t="s">
        <v>239</v>
      </c>
      <c r="B446" s="97">
        <v>1213</v>
      </c>
      <c r="C446" s="197">
        <v>1500</v>
      </c>
      <c r="D446" s="215">
        <f>53.5</f>
        <v>53.5</v>
      </c>
      <c r="E446" s="146"/>
      <c r="F446" s="134">
        <f t="shared" si="123"/>
        <v>1553.5</v>
      </c>
      <c r="G446" s="263"/>
      <c r="H446" s="7"/>
      <c r="I446" s="244">
        <f t="shared" si="124"/>
        <v>1553.5</v>
      </c>
      <c r="J446" s="86"/>
      <c r="K446" s="7"/>
      <c r="L446" s="72"/>
      <c r="M446" s="22"/>
      <c r="N446" s="7"/>
      <c r="O446" s="23"/>
      <c r="P446" s="80"/>
      <c r="Q446" s="78"/>
    </row>
    <row r="447" spans="1:17" ht="12.75">
      <c r="A447" s="34" t="s">
        <v>273</v>
      </c>
      <c r="B447" s="97">
        <v>1216</v>
      </c>
      <c r="C447" s="197">
        <v>22000</v>
      </c>
      <c r="D447" s="146">
        <f>2369.13-221</f>
        <v>2148.13</v>
      </c>
      <c r="E447" s="146"/>
      <c r="F447" s="134">
        <f t="shared" si="123"/>
        <v>24148.13</v>
      </c>
      <c r="G447" s="263"/>
      <c r="H447" s="7"/>
      <c r="I447" s="244">
        <f t="shared" si="124"/>
        <v>24148.13</v>
      </c>
      <c r="J447" s="86"/>
      <c r="K447" s="7"/>
      <c r="L447" s="72"/>
      <c r="M447" s="22"/>
      <c r="N447" s="7"/>
      <c r="O447" s="23"/>
      <c r="P447" s="80"/>
      <c r="Q447" s="78"/>
    </row>
    <row r="448" spans="1:17" ht="12.75">
      <c r="A448" s="34" t="s">
        <v>188</v>
      </c>
      <c r="B448" s="97">
        <v>1239</v>
      </c>
      <c r="C448" s="197">
        <v>21900</v>
      </c>
      <c r="D448" s="146">
        <f>2000-15000+1000+500+500+8323.45</f>
        <v>-2676.5499999999993</v>
      </c>
      <c r="E448" s="146"/>
      <c r="F448" s="134">
        <f t="shared" si="123"/>
        <v>19223.45</v>
      </c>
      <c r="G448" s="263">
        <f>-489-9150</f>
        <v>-9639</v>
      </c>
      <c r="H448" s="7"/>
      <c r="I448" s="244">
        <f t="shared" si="124"/>
        <v>9584.45</v>
      </c>
      <c r="J448" s="86"/>
      <c r="K448" s="7"/>
      <c r="L448" s="72"/>
      <c r="M448" s="22"/>
      <c r="N448" s="7"/>
      <c r="O448" s="23"/>
      <c r="P448" s="80"/>
      <c r="Q448" s="78"/>
    </row>
    <row r="449" spans="1:17" ht="12.75">
      <c r="A449" s="34" t="s">
        <v>210</v>
      </c>
      <c r="B449" s="97">
        <v>1300</v>
      </c>
      <c r="C449" s="197">
        <v>29845.7</v>
      </c>
      <c r="D449" s="146">
        <f>-1050-9000+8724.02</f>
        <v>-1325.9799999999996</v>
      </c>
      <c r="E449" s="146">
        <v>-23.4</v>
      </c>
      <c r="F449" s="134">
        <f t="shared" si="123"/>
        <v>28496.32</v>
      </c>
      <c r="G449" s="263"/>
      <c r="H449" s="7"/>
      <c r="I449" s="244">
        <f t="shared" si="124"/>
        <v>28496.32</v>
      </c>
      <c r="J449" s="86"/>
      <c r="K449" s="7"/>
      <c r="L449" s="72"/>
      <c r="M449" s="22"/>
      <c r="N449" s="7"/>
      <c r="O449" s="23"/>
      <c r="P449" s="80"/>
      <c r="Q449" s="78"/>
    </row>
    <row r="450" spans="1:17" ht="12.75">
      <c r="A450" s="34" t="s">
        <v>189</v>
      </c>
      <c r="B450" s="97">
        <v>1110</v>
      </c>
      <c r="C450" s="197">
        <v>15000</v>
      </c>
      <c r="D450" s="146">
        <f>5000+928.52</f>
        <v>5928.52</v>
      </c>
      <c r="E450" s="146"/>
      <c r="F450" s="134">
        <f t="shared" si="123"/>
        <v>20928.52</v>
      </c>
      <c r="G450" s="263">
        <f>-15818</f>
        <v>-15818</v>
      </c>
      <c r="H450" s="7"/>
      <c r="I450" s="244">
        <f t="shared" si="124"/>
        <v>5110.52</v>
      </c>
      <c r="J450" s="86"/>
      <c r="K450" s="7"/>
      <c r="L450" s="72"/>
      <c r="M450" s="22"/>
      <c r="N450" s="7"/>
      <c r="O450" s="23"/>
      <c r="P450" s="80"/>
      <c r="Q450" s="78"/>
    </row>
    <row r="451" spans="1:17" ht="12.75">
      <c r="A451" s="34" t="s">
        <v>252</v>
      </c>
      <c r="B451" s="97"/>
      <c r="C451" s="197">
        <v>2</v>
      </c>
      <c r="D451" s="146">
        <f>1088.32</f>
        <v>1088.32</v>
      </c>
      <c r="E451" s="146"/>
      <c r="F451" s="134">
        <f t="shared" si="123"/>
        <v>1090.32</v>
      </c>
      <c r="G451" s="263"/>
      <c r="H451" s="7"/>
      <c r="I451" s="244">
        <f t="shared" si="124"/>
        <v>1090.32</v>
      </c>
      <c r="J451" s="86"/>
      <c r="K451" s="7"/>
      <c r="L451" s="72"/>
      <c r="M451" s="22"/>
      <c r="N451" s="7"/>
      <c r="O451" s="23"/>
      <c r="P451" s="80"/>
      <c r="Q451" s="78"/>
    </row>
    <row r="452" spans="1:17" ht="12.75">
      <c r="A452" s="40" t="s">
        <v>54</v>
      </c>
      <c r="B452" s="101"/>
      <c r="C452" s="200">
        <f>SUM(C454:C461)</f>
        <v>54600</v>
      </c>
      <c r="D452" s="149">
        <f aca="true" t="shared" si="125" ref="D452:Q452">SUM(D454:D461)</f>
        <v>33660</v>
      </c>
      <c r="E452" s="149">
        <f t="shared" si="125"/>
        <v>1923.4</v>
      </c>
      <c r="F452" s="175">
        <f t="shared" si="125"/>
        <v>90183.4</v>
      </c>
      <c r="G452" s="265">
        <f t="shared" si="125"/>
        <v>26064</v>
      </c>
      <c r="H452" s="119">
        <f t="shared" si="125"/>
        <v>0</v>
      </c>
      <c r="I452" s="246">
        <f t="shared" si="125"/>
        <v>116247.4</v>
      </c>
      <c r="J452" s="175">
        <f t="shared" si="125"/>
        <v>0</v>
      </c>
      <c r="K452" s="119">
        <f t="shared" si="125"/>
        <v>0</v>
      </c>
      <c r="L452" s="149">
        <f t="shared" si="125"/>
        <v>0</v>
      </c>
      <c r="M452" s="118">
        <f t="shared" si="125"/>
        <v>0</v>
      </c>
      <c r="N452" s="118">
        <f t="shared" si="125"/>
        <v>0</v>
      </c>
      <c r="O452" s="118">
        <f t="shared" si="125"/>
        <v>0</v>
      </c>
      <c r="P452" s="118">
        <f t="shared" si="125"/>
        <v>0</v>
      </c>
      <c r="Q452" s="200">
        <f t="shared" si="125"/>
        <v>0</v>
      </c>
    </row>
    <row r="453" spans="1:17" ht="12.75">
      <c r="A453" s="36" t="s">
        <v>26</v>
      </c>
      <c r="B453" s="97"/>
      <c r="C453" s="197"/>
      <c r="D453" s="146"/>
      <c r="E453" s="146"/>
      <c r="F453" s="134"/>
      <c r="G453" s="263"/>
      <c r="H453" s="7"/>
      <c r="I453" s="244"/>
      <c r="J453" s="86"/>
      <c r="K453" s="7"/>
      <c r="L453" s="72"/>
      <c r="M453" s="22"/>
      <c r="N453" s="7"/>
      <c r="O453" s="23"/>
      <c r="P453" s="80"/>
      <c r="Q453" s="78"/>
    </row>
    <row r="454" spans="1:17" ht="12.75">
      <c r="A454" s="38" t="s">
        <v>287</v>
      </c>
      <c r="B454" s="97">
        <v>1239</v>
      </c>
      <c r="C454" s="197">
        <v>8000</v>
      </c>
      <c r="D454" s="146">
        <f>270</f>
        <v>270</v>
      </c>
      <c r="E454" s="146"/>
      <c r="F454" s="134">
        <f aca="true" t="shared" si="126" ref="F454:F461">C454+D454+E454</f>
        <v>8270</v>
      </c>
      <c r="G454" s="263"/>
      <c r="H454" s="7"/>
      <c r="I454" s="244">
        <f aca="true" t="shared" si="127" ref="I454:I461">F454+G454+H454</f>
        <v>8270</v>
      </c>
      <c r="J454" s="86"/>
      <c r="K454" s="7"/>
      <c r="L454" s="72"/>
      <c r="M454" s="22"/>
      <c r="N454" s="7"/>
      <c r="O454" s="23"/>
      <c r="P454" s="80"/>
      <c r="Q454" s="78"/>
    </row>
    <row r="455" spans="1:17" ht="12.75" hidden="1">
      <c r="A455" s="38" t="s">
        <v>324</v>
      </c>
      <c r="B455" s="97">
        <v>1214</v>
      </c>
      <c r="C455" s="197"/>
      <c r="D455" s="146"/>
      <c r="E455" s="146"/>
      <c r="F455" s="134">
        <f t="shared" si="126"/>
        <v>0</v>
      </c>
      <c r="G455" s="263"/>
      <c r="H455" s="7"/>
      <c r="I455" s="244">
        <f t="shared" si="127"/>
        <v>0</v>
      </c>
      <c r="J455" s="86"/>
      <c r="K455" s="7"/>
      <c r="L455" s="72"/>
      <c r="M455" s="22"/>
      <c r="N455" s="7"/>
      <c r="O455" s="23"/>
      <c r="P455" s="80"/>
      <c r="Q455" s="78"/>
    </row>
    <row r="456" spans="1:17" ht="12.75">
      <c r="A456" s="38" t="s">
        <v>288</v>
      </c>
      <c r="B456" s="97">
        <v>1209</v>
      </c>
      <c r="C456" s="197">
        <v>600</v>
      </c>
      <c r="D456" s="146">
        <f>219</f>
        <v>219</v>
      </c>
      <c r="E456" s="146"/>
      <c r="F456" s="134">
        <f t="shared" si="126"/>
        <v>819</v>
      </c>
      <c r="G456" s="263"/>
      <c r="H456" s="7"/>
      <c r="I456" s="244">
        <f t="shared" si="127"/>
        <v>819</v>
      </c>
      <c r="J456" s="86"/>
      <c r="K456" s="7"/>
      <c r="L456" s="72"/>
      <c r="M456" s="22"/>
      <c r="N456" s="7"/>
      <c r="O456" s="23"/>
      <c r="P456" s="80"/>
      <c r="Q456" s="78"/>
    </row>
    <row r="457" spans="1:17" ht="12.75">
      <c r="A457" s="34" t="s">
        <v>289</v>
      </c>
      <c r="B457" s="97">
        <v>1202</v>
      </c>
      <c r="C457" s="197"/>
      <c r="D457" s="146"/>
      <c r="E457" s="146"/>
      <c r="F457" s="134">
        <f t="shared" si="126"/>
        <v>0</v>
      </c>
      <c r="G457" s="263">
        <f>607</f>
        <v>607</v>
      </c>
      <c r="H457" s="7"/>
      <c r="I457" s="244">
        <f t="shared" si="127"/>
        <v>607</v>
      </c>
      <c r="J457" s="86"/>
      <c r="K457" s="7"/>
      <c r="L457" s="72"/>
      <c r="M457" s="22"/>
      <c r="N457" s="7"/>
      <c r="O457" s="23"/>
      <c r="P457" s="80"/>
      <c r="Q457" s="78"/>
    </row>
    <row r="458" spans="1:17" ht="12.75">
      <c r="A458" s="37" t="s">
        <v>326</v>
      </c>
      <c r="B458" s="100">
        <v>1216</v>
      </c>
      <c r="C458" s="292"/>
      <c r="D458" s="213">
        <f>221</f>
        <v>221</v>
      </c>
      <c r="E458" s="213"/>
      <c r="F458" s="229">
        <f t="shared" si="126"/>
        <v>221</v>
      </c>
      <c r="G458" s="268"/>
      <c r="H458" s="10"/>
      <c r="I458" s="248">
        <f t="shared" si="127"/>
        <v>221</v>
      </c>
      <c r="J458" s="86"/>
      <c r="K458" s="7"/>
      <c r="L458" s="72"/>
      <c r="M458" s="22"/>
      <c r="N458" s="7"/>
      <c r="O458" s="23"/>
      <c r="P458" s="80"/>
      <c r="Q458" s="78"/>
    </row>
    <row r="459" spans="1:17" ht="12.75">
      <c r="A459" s="34" t="s">
        <v>332</v>
      </c>
      <c r="B459" s="97">
        <v>1239</v>
      </c>
      <c r="C459" s="197"/>
      <c r="D459" s="146">
        <f>10000+2000+13500+2500+3000</f>
        <v>31000</v>
      </c>
      <c r="E459" s="146"/>
      <c r="F459" s="134">
        <f t="shared" si="126"/>
        <v>31000</v>
      </c>
      <c r="G459" s="263">
        <f>489+9150</f>
        <v>9639</v>
      </c>
      <c r="H459" s="7"/>
      <c r="I459" s="244">
        <f t="shared" si="127"/>
        <v>40639</v>
      </c>
      <c r="J459" s="86"/>
      <c r="K459" s="7"/>
      <c r="L459" s="72"/>
      <c r="M459" s="22"/>
      <c r="N459" s="7"/>
      <c r="O459" s="23"/>
      <c r="P459" s="80"/>
      <c r="Q459" s="78"/>
    </row>
    <row r="460" spans="1:17" ht="12.75">
      <c r="A460" s="38" t="s">
        <v>290</v>
      </c>
      <c r="B460" s="97">
        <v>1300</v>
      </c>
      <c r="C460" s="197">
        <v>16000</v>
      </c>
      <c r="D460" s="146">
        <f>1050+900</f>
        <v>1950</v>
      </c>
      <c r="E460" s="146">
        <f>23.4+1900</f>
        <v>1923.4</v>
      </c>
      <c r="F460" s="134">
        <f t="shared" si="126"/>
        <v>19873.4</v>
      </c>
      <c r="G460" s="263"/>
      <c r="H460" s="7"/>
      <c r="I460" s="244">
        <f t="shared" si="127"/>
        <v>19873.4</v>
      </c>
      <c r="J460" s="86"/>
      <c r="K460" s="7"/>
      <c r="L460" s="72"/>
      <c r="M460" s="22"/>
      <c r="N460" s="7"/>
      <c r="O460" s="23"/>
      <c r="P460" s="80"/>
      <c r="Q460" s="78"/>
    </row>
    <row r="461" spans="1:17" ht="12.75">
      <c r="A461" s="37" t="s">
        <v>325</v>
      </c>
      <c r="B461" s="100">
        <v>1110</v>
      </c>
      <c r="C461" s="294">
        <v>30000</v>
      </c>
      <c r="D461" s="213"/>
      <c r="E461" s="213"/>
      <c r="F461" s="229">
        <f t="shared" si="126"/>
        <v>30000</v>
      </c>
      <c r="G461" s="268">
        <f>15818</f>
        <v>15818</v>
      </c>
      <c r="H461" s="10"/>
      <c r="I461" s="248">
        <f t="shared" si="127"/>
        <v>45818</v>
      </c>
      <c r="J461" s="86"/>
      <c r="K461" s="7"/>
      <c r="L461" s="72"/>
      <c r="M461" s="22"/>
      <c r="N461" s="7"/>
      <c r="O461" s="23"/>
      <c r="P461" s="80"/>
      <c r="Q461" s="78"/>
    </row>
    <row r="462" spans="1:17" ht="12.75">
      <c r="A462" s="31" t="s">
        <v>141</v>
      </c>
      <c r="B462" s="101"/>
      <c r="C462" s="196">
        <f aca="true" t="shared" si="128" ref="C462:Q462">C463</f>
        <v>1</v>
      </c>
      <c r="D462" s="129">
        <f t="shared" si="128"/>
        <v>2347.5</v>
      </c>
      <c r="E462" s="129">
        <f t="shared" si="128"/>
        <v>0</v>
      </c>
      <c r="F462" s="140">
        <f t="shared" si="128"/>
        <v>2348.5</v>
      </c>
      <c r="G462" s="262">
        <f t="shared" si="128"/>
        <v>0</v>
      </c>
      <c r="H462" s="112">
        <f t="shared" si="128"/>
        <v>0</v>
      </c>
      <c r="I462" s="243">
        <f t="shared" si="128"/>
        <v>2348.5</v>
      </c>
      <c r="J462" s="140">
        <f t="shared" si="128"/>
        <v>0</v>
      </c>
      <c r="K462" s="112">
        <f t="shared" si="128"/>
        <v>0</v>
      </c>
      <c r="L462" s="129">
        <f t="shared" si="128"/>
        <v>2348.5</v>
      </c>
      <c r="M462" s="111">
        <f t="shared" si="128"/>
        <v>0</v>
      </c>
      <c r="N462" s="111">
        <f t="shared" si="128"/>
        <v>0</v>
      </c>
      <c r="O462" s="111">
        <f t="shared" si="128"/>
        <v>2348.5</v>
      </c>
      <c r="P462" s="111">
        <f t="shared" si="128"/>
        <v>0</v>
      </c>
      <c r="Q462" s="196">
        <f t="shared" si="128"/>
        <v>2348.5</v>
      </c>
    </row>
    <row r="463" spans="1:17" ht="12.75">
      <c r="A463" s="40" t="s">
        <v>49</v>
      </c>
      <c r="B463" s="101"/>
      <c r="C463" s="200">
        <f>C465</f>
        <v>1</v>
      </c>
      <c r="D463" s="149">
        <f aca="true" t="shared" si="129" ref="D463:Q463">D465</f>
        <v>2347.5</v>
      </c>
      <c r="E463" s="149">
        <f t="shared" si="129"/>
        <v>0</v>
      </c>
      <c r="F463" s="175">
        <f t="shared" si="129"/>
        <v>2348.5</v>
      </c>
      <c r="G463" s="265">
        <f t="shared" si="129"/>
        <v>0</v>
      </c>
      <c r="H463" s="119">
        <f t="shared" si="129"/>
        <v>0</v>
      </c>
      <c r="I463" s="246">
        <f t="shared" si="129"/>
        <v>2348.5</v>
      </c>
      <c r="J463" s="175">
        <f t="shared" si="129"/>
        <v>0</v>
      </c>
      <c r="K463" s="119">
        <f t="shared" si="129"/>
        <v>0</v>
      </c>
      <c r="L463" s="149">
        <f t="shared" si="129"/>
        <v>2348.5</v>
      </c>
      <c r="M463" s="118">
        <f t="shared" si="129"/>
        <v>0</v>
      </c>
      <c r="N463" s="118">
        <f t="shared" si="129"/>
        <v>0</v>
      </c>
      <c r="O463" s="118">
        <f t="shared" si="129"/>
        <v>2348.5</v>
      </c>
      <c r="P463" s="118">
        <f t="shared" si="129"/>
        <v>0</v>
      </c>
      <c r="Q463" s="200">
        <f t="shared" si="129"/>
        <v>2348.5</v>
      </c>
    </row>
    <row r="464" spans="1:17" ht="12.75">
      <c r="A464" s="36" t="s">
        <v>26</v>
      </c>
      <c r="B464" s="97"/>
      <c r="C464" s="197"/>
      <c r="D464" s="146"/>
      <c r="E464" s="146"/>
      <c r="F464" s="134"/>
      <c r="G464" s="263"/>
      <c r="H464" s="7"/>
      <c r="I464" s="244"/>
      <c r="J464" s="86"/>
      <c r="K464" s="7"/>
      <c r="L464" s="72"/>
      <c r="M464" s="22"/>
      <c r="N464" s="7"/>
      <c r="O464" s="23"/>
      <c r="P464" s="80"/>
      <c r="Q464" s="78"/>
    </row>
    <row r="465" spans="1:17" ht="12.75">
      <c r="A465" s="223" t="s">
        <v>51</v>
      </c>
      <c r="B465" s="224"/>
      <c r="C465" s="292">
        <v>1</v>
      </c>
      <c r="D465" s="213">
        <f>5347.5-3000</f>
        <v>2347.5</v>
      </c>
      <c r="E465" s="225"/>
      <c r="F465" s="231">
        <f>C465+D465+E465</f>
        <v>2348.5</v>
      </c>
      <c r="G465" s="268"/>
      <c r="H465" s="10"/>
      <c r="I465" s="248">
        <f>F465+G465+H465</f>
        <v>2348.5</v>
      </c>
      <c r="J465" s="177"/>
      <c r="K465" s="10"/>
      <c r="L465" s="71">
        <f>I465+J465+K465</f>
        <v>2348.5</v>
      </c>
      <c r="M465" s="26"/>
      <c r="N465" s="10"/>
      <c r="O465" s="27">
        <f>L465+M465+N465</f>
        <v>2348.5</v>
      </c>
      <c r="P465" s="83"/>
      <c r="Q465" s="84">
        <f>O465+P465</f>
        <v>2348.5</v>
      </c>
    </row>
    <row r="466" spans="1:17" ht="12.75">
      <c r="A466" s="31" t="s">
        <v>99</v>
      </c>
      <c r="B466" s="101"/>
      <c r="C466" s="196">
        <f>C468+C469</f>
        <v>671652</v>
      </c>
      <c r="D466" s="129">
        <f aca="true" t="shared" si="130" ref="D466:Q466">D468+D469</f>
        <v>572038.9000000001</v>
      </c>
      <c r="E466" s="129">
        <f t="shared" si="130"/>
        <v>0</v>
      </c>
      <c r="F466" s="140">
        <f t="shared" si="130"/>
        <v>1243690.9000000001</v>
      </c>
      <c r="G466" s="262">
        <f t="shared" si="130"/>
        <v>21127.149999999998</v>
      </c>
      <c r="H466" s="112">
        <f t="shared" si="130"/>
        <v>0</v>
      </c>
      <c r="I466" s="243">
        <f t="shared" si="130"/>
        <v>1264818.0500000003</v>
      </c>
      <c r="J466" s="140">
        <f t="shared" si="130"/>
        <v>0</v>
      </c>
      <c r="K466" s="112">
        <f t="shared" si="130"/>
        <v>0</v>
      </c>
      <c r="L466" s="129">
        <f t="shared" si="130"/>
        <v>1217683.7000000002</v>
      </c>
      <c r="M466" s="111">
        <f t="shared" si="130"/>
        <v>0</v>
      </c>
      <c r="N466" s="111">
        <f t="shared" si="130"/>
        <v>0</v>
      </c>
      <c r="O466" s="111">
        <f t="shared" si="130"/>
        <v>1217683.7000000002</v>
      </c>
      <c r="P466" s="111">
        <f t="shared" si="130"/>
        <v>0</v>
      </c>
      <c r="Q466" s="196">
        <f t="shared" si="130"/>
        <v>1217683.7000000002</v>
      </c>
    </row>
    <row r="467" spans="1:17" ht="12.75">
      <c r="A467" s="33" t="s">
        <v>26</v>
      </c>
      <c r="B467" s="97"/>
      <c r="C467" s="196"/>
      <c r="D467" s="129"/>
      <c r="E467" s="129"/>
      <c r="F467" s="140"/>
      <c r="G467" s="262"/>
      <c r="H467" s="112"/>
      <c r="I467" s="243"/>
      <c r="J467" s="140"/>
      <c r="K467" s="112"/>
      <c r="L467" s="129"/>
      <c r="M467" s="111"/>
      <c r="N467" s="111"/>
      <c r="O467" s="111"/>
      <c r="P467" s="111"/>
      <c r="Q467" s="196"/>
    </row>
    <row r="468" spans="1:17" ht="12.75">
      <c r="A468" s="31" t="s">
        <v>49</v>
      </c>
      <c r="B468" s="101"/>
      <c r="C468" s="199">
        <f>C475+C477+C489+C491+C496+C507+C492+C482+C509+C484+C513</f>
        <v>42850.65</v>
      </c>
      <c r="D468" s="147">
        <f>D475+D477+D489+D491+D496+D507+D492+D482+D509+D484+D513</f>
        <v>10290.630000000001</v>
      </c>
      <c r="E468" s="147">
        <f>E475+E477+E489+E491+E496+E507+E492+E482+E509+E484+E513</f>
        <v>0</v>
      </c>
      <c r="F468" s="232">
        <f>F475+F477+F489+F491+F496+F507+F492+F482+F509+F484+F513</f>
        <v>53141.28</v>
      </c>
      <c r="G468" s="267">
        <f aca="true" t="shared" si="131" ref="G468:Q468">G475+G477+G489+G491+G496+G507+G492+G482+G509+G484+G513</f>
        <v>4810.8</v>
      </c>
      <c r="H468" s="116">
        <f t="shared" si="131"/>
        <v>0</v>
      </c>
      <c r="I468" s="226">
        <f t="shared" si="131"/>
        <v>57952.08</v>
      </c>
      <c r="J468" s="161">
        <f t="shared" si="131"/>
        <v>0</v>
      </c>
      <c r="K468" s="193">
        <f t="shared" si="131"/>
        <v>0</v>
      </c>
      <c r="L468" s="193">
        <f t="shared" si="131"/>
        <v>52942.08</v>
      </c>
      <c r="M468" s="193">
        <f t="shared" si="131"/>
        <v>0</v>
      </c>
      <c r="N468" s="193">
        <f t="shared" si="131"/>
        <v>0</v>
      </c>
      <c r="O468" s="193">
        <f t="shared" si="131"/>
        <v>52942.08</v>
      </c>
      <c r="P468" s="193">
        <f t="shared" si="131"/>
        <v>0</v>
      </c>
      <c r="Q468" s="193">
        <f t="shared" si="131"/>
        <v>52942.08</v>
      </c>
    </row>
    <row r="469" spans="1:17" ht="12.75">
      <c r="A469" s="31" t="s">
        <v>54</v>
      </c>
      <c r="B469" s="101"/>
      <c r="C469" s="199">
        <f>+C472+C473+C474+C478+C479+C481+C483+C485+C487+C488+C490+C493+C495+C497+C498+C500+C501+C503+C504+C506+C508+C510+C512</f>
        <v>628801.35</v>
      </c>
      <c r="D469" s="147">
        <f>+D472+D473+D474+D478+D479+D481+D483+D485+D487+D488+D490+D493+D495+D497+D498+D500+D501+D503+D504+D506+D508+D510+D512</f>
        <v>561748.2700000001</v>
      </c>
      <c r="E469" s="147">
        <f>+E472+E473+E474+E478+E479+E481+E483+E485+E487+E488+E490+E493+E495+E497+E498+E500+E501+E503+E504+E506+E508+E510+E512</f>
        <v>0</v>
      </c>
      <c r="F469" s="232">
        <f>+F472+F473+F474+F478+F479+F481+F483+F485+F487+F488+F490+F493+F495+F497+F498+F500+F501+F503+F504+F506+F508+F510+F512</f>
        <v>1190549.62</v>
      </c>
      <c r="G469" s="267">
        <f aca="true" t="shared" si="132" ref="G469:Q469">+G472+G473+G474+G478+G479+G481+G483+G485+G487+G488+G490+G493+G495+G497+G498+G500+G501+G503+G504+G506+G508+G510+G512</f>
        <v>16316.349999999999</v>
      </c>
      <c r="H469" s="116">
        <f t="shared" si="132"/>
        <v>0</v>
      </c>
      <c r="I469" s="226">
        <f t="shared" si="132"/>
        <v>1206865.9700000002</v>
      </c>
      <c r="J469" s="161">
        <f t="shared" si="132"/>
        <v>0</v>
      </c>
      <c r="K469" s="193">
        <f t="shared" si="132"/>
        <v>0</v>
      </c>
      <c r="L469" s="193">
        <f t="shared" si="132"/>
        <v>1164741.62</v>
      </c>
      <c r="M469" s="193">
        <f t="shared" si="132"/>
        <v>0</v>
      </c>
      <c r="N469" s="193">
        <f t="shared" si="132"/>
        <v>0</v>
      </c>
      <c r="O469" s="193">
        <f t="shared" si="132"/>
        <v>1164741.62</v>
      </c>
      <c r="P469" s="193">
        <f t="shared" si="132"/>
        <v>0</v>
      </c>
      <c r="Q469" s="193">
        <f t="shared" si="132"/>
        <v>1164741.62</v>
      </c>
    </row>
    <row r="470" spans="1:17" ht="12.75">
      <c r="A470" s="32" t="s">
        <v>100</v>
      </c>
      <c r="B470" s="97"/>
      <c r="C470" s="196"/>
      <c r="D470" s="129"/>
      <c r="E470" s="129"/>
      <c r="F470" s="140"/>
      <c r="G470" s="262"/>
      <c r="H470" s="6"/>
      <c r="I470" s="243"/>
      <c r="J470" s="130"/>
      <c r="K470" s="6"/>
      <c r="L470" s="68"/>
      <c r="M470" s="20"/>
      <c r="N470" s="6"/>
      <c r="O470" s="21"/>
      <c r="P470" s="80"/>
      <c r="Q470" s="78"/>
    </row>
    <row r="471" spans="1:17" ht="12.75">
      <c r="A471" s="33" t="s">
        <v>104</v>
      </c>
      <c r="B471" s="97">
        <v>10</v>
      </c>
      <c r="C471" s="197">
        <f>SUM(C472:C475)</f>
        <v>155000</v>
      </c>
      <c r="D471" s="146">
        <f aca="true" t="shared" si="133" ref="D471:Q471">SUM(D472:D475)</f>
        <v>67670.95999999999</v>
      </c>
      <c r="E471" s="146">
        <f t="shared" si="133"/>
        <v>0</v>
      </c>
      <c r="F471" s="134">
        <f t="shared" si="133"/>
        <v>222670.96000000002</v>
      </c>
      <c r="G471" s="263">
        <f t="shared" si="133"/>
        <v>16146.619999999999</v>
      </c>
      <c r="H471" s="113">
        <f t="shared" si="133"/>
        <v>0</v>
      </c>
      <c r="I471" s="244">
        <f t="shared" si="133"/>
        <v>238817.58000000002</v>
      </c>
      <c r="J471" s="160">
        <f t="shared" si="133"/>
        <v>0</v>
      </c>
      <c r="K471" s="160">
        <f t="shared" si="133"/>
        <v>0</v>
      </c>
      <c r="L471" s="160">
        <f t="shared" si="133"/>
        <v>238817.58000000002</v>
      </c>
      <c r="M471" s="160">
        <f t="shared" si="133"/>
        <v>0</v>
      </c>
      <c r="N471" s="160">
        <f t="shared" si="133"/>
        <v>0</v>
      </c>
      <c r="O471" s="160">
        <f t="shared" si="133"/>
        <v>238817.58000000002</v>
      </c>
      <c r="P471" s="160">
        <f t="shared" si="133"/>
        <v>0</v>
      </c>
      <c r="Q471" s="160">
        <f t="shared" si="133"/>
        <v>238817.58000000002</v>
      </c>
    </row>
    <row r="472" spans="1:17" ht="12.75" hidden="1">
      <c r="A472" s="33" t="s">
        <v>105</v>
      </c>
      <c r="B472" s="97"/>
      <c r="C472" s="197"/>
      <c r="D472" s="146"/>
      <c r="E472" s="146"/>
      <c r="F472" s="134">
        <f aca="true" t="shared" si="134" ref="F472:F516">C472+D472+E472</f>
        <v>0</v>
      </c>
      <c r="G472" s="263"/>
      <c r="H472" s="7"/>
      <c r="I472" s="244">
        <f>F472+G472+H472</f>
        <v>0</v>
      </c>
      <c r="J472" s="86"/>
      <c r="K472" s="7"/>
      <c r="L472" s="72">
        <f>I472+J472+K472</f>
        <v>0</v>
      </c>
      <c r="M472" s="22"/>
      <c r="N472" s="7"/>
      <c r="O472" s="23">
        <f>L472+M472+N472</f>
        <v>0</v>
      </c>
      <c r="P472" s="80"/>
      <c r="Q472" s="78">
        <f>O472+P472</f>
        <v>0</v>
      </c>
    </row>
    <row r="473" spans="1:17" ht="12.75">
      <c r="A473" s="98" t="s">
        <v>102</v>
      </c>
      <c r="B473" s="97"/>
      <c r="C473" s="197">
        <v>140000</v>
      </c>
      <c r="D473" s="215">
        <f>24156.01+55000</f>
        <v>79156.01</v>
      </c>
      <c r="E473" s="215"/>
      <c r="F473" s="134">
        <f t="shared" si="134"/>
        <v>219156.01</v>
      </c>
      <c r="G473" s="263">
        <f>14000</f>
        <v>14000</v>
      </c>
      <c r="H473" s="7"/>
      <c r="I473" s="244">
        <f>F473+G473+H473</f>
        <v>233156.01</v>
      </c>
      <c r="J473" s="86"/>
      <c r="K473" s="7"/>
      <c r="L473" s="72">
        <f>I473+J473+K473</f>
        <v>233156.01</v>
      </c>
      <c r="M473" s="22"/>
      <c r="N473" s="7"/>
      <c r="O473" s="23">
        <f>L473+M473+N473</f>
        <v>233156.01</v>
      </c>
      <c r="P473" s="80"/>
      <c r="Q473" s="78">
        <f>O473+P473</f>
        <v>233156.01</v>
      </c>
    </row>
    <row r="474" spans="1:17" ht="12.75">
      <c r="A474" s="33" t="s">
        <v>103</v>
      </c>
      <c r="B474" s="97"/>
      <c r="C474" s="197"/>
      <c r="D474" s="146">
        <f>1000</f>
        <v>1000</v>
      </c>
      <c r="E474" s="146"/>
      <c r="F474" s="134">
        <f t="shared" si="134"/>
        <v>1000</v>
      </c>
      <c r="G474" s="263">
        <f>1146.62</f>
        <v>1146.62</v>
      </c>
      <c r="H474" s="7"/>
      <c r="I474" s="244">
        <f>F474+G474+H474</f>
        <v>2146.62</v>
      </c>
      <c r="J474" s="86"/>
      <c r="K474" s="7"/>
      <c r="L474" s="72">
        <f>I474+J474+K474</f>
        <v>2146.62</v>
      </c>
      <c r="M474" s="22"/>
      <c r="N474" s="7"/>
      <c r="O474" s="23">
        <f>L474+M474+N474</f>
        <v>2146.62</v>
      </c>
      <c r="P474" s="80"/>
      <c r="Q474" s="78">
        <f>O474+P474</f>
        <v>2146.62</v>
      </c>
    </row>
    <row r="475" spans="1:17" ht="12.75">
      <c r="A475" s="34" t="s">
        <v>132</v>
      </c>
      <c r="B475" s="97"/>
      <c r="C475" s="197">
        <v>15000</v>
      </c>
      <c r="D475" s="283">
        <f>-12485.05</f>
        <v>-12485.05</v>
      </c>
      <c r="E475" s="146"/>
      <c r="F475" s="134">
        <f t="shared" si="134"/>
        <v>2514.9500000000007</v>
      </c>
      <c r="G475" s="263">
        <f>1000</f>
        <v>1000</v>
      </c>
      <c r="H475" s="7"/>
      <c r="I475" s="244">
        <f>F475+G475+H475</f>
        <v>3514.9500000000007</v>
      </c>
      <c r="J475" s="86"/>
      <c r="K475" s="7"/>
      <c r="L475" s="72">
        <f>I475+J475+K475</f>
        <v>3514.9500000000007</v>
      </c>
      <c r="M475" s="22"/>
      <c r="N475" s="7"/>
      <c r="O475" s="23">
        <f>L475+M475+N475</f>
        <v>3514.9500000000007</v>
      </c>
      <c r="P475" s="80"/>
      <c r="Q475" s="78">
        <f>O475+P475</f>
        <v>3514.9500000000007</v>
      </c>
    </row>
    <row r="476" spans="1:17" ht="12.75">
      <c r="A476" s="33" t="s">
        <v>107</v>
      </c>
      <c r="B476" s="97">
        <v>12</v>
      </c>
      <c r="C476" s="197">
        <f aca="true" t="shared" si="135" ref="C476:Q476">C477+C478+C479</f>
        <v>46500</v>
      </c>
      <c r="D476" s="146">
        <f t="shared" si="135"/>
        <v>103625.43000000001</v>
      </c>
      <c r="E476" s="146">
        <f t="shared" si="135"/>
        <v>0</v>
      </c>
      <c r="F476" s="134">
        <f t="shared" si="135"/>
        <v>150125.43000000002</v>
      </c>
      <c r="G476" s="263">
        <f t="shared" si="135"/>
        <v>-20000</v>
      </c>
      <c r="H476" s="113">
        <f t="shared" si="135"/>
        <v>0</v>
      </c>
      <c r="I476" s="244">
        <f t="shared" si="135"/>
        <v>130125.43000000001</v>
      </c>
      <c r="J476" s="160">
        <f t="shared" si="135"/>
        <v>0</v>
      </c>
      <c r="K476" s="160">
        <f t="shared" si="135"/>
        <v>0</v>
      </c>
      <c r="L476" s="160">
        <f t="shared" si="135"/>
        <v>130125.43000000001</v>
      </c>
      <c r="M476" s="160">
        <f t="shared" si="135"/>
        <v>0</v>
      </c>
      <c r="N476" s="160">
        <f t="shared" si="135"/>
        <v>0</v>
      </c>
      <c r="O476" s="160">
        <f t="shared" si="135"/>
        <v>130125.43000000001</v>
      </c>
      <c r="P476" s="160">
        <f t="shared" si="135"/>
        <v>0</v>
      </c>
      <c r="Q476" s="160">
        <f t="shared" si="135"/>
        <v>130125.43000000001</v>
      </c>
    </row>
    <row r="477" spans="1:17" ht="12.75">
      <c r="A477" s="33" t="s">
        <v>108</v>
      </c>
      <c r="B477" s="97"/>
      <c r="C477" s="197">
        <v>3249.65</v>
      </c>
      <c r="D477" s="146">
        <f>1639.99</f>
        <v>1639.99</v>
      </c>
      <c r="E477" s="146"/>
      <c r="F477" s="134">
        <f t="shared" si="134"/>
        <v>4889.64</v>
      </c>
      <c r="G477" s="263"/>
      <c r="H477" s="7"/>
      <c r="I477" s="244">
        <f>F477+G477+H477</f>
        <v>4889.64</v>
      </c>
      <c r="J477" s="86"/>
      <c r="K477" s="7"/>
      <c r="L477" s="72">
        <f>I477+J477+K477</f>
        <v>4889.64</v>
      </c>
      <c r="M477" s="22"/>
      <c r="N477" s="7"/>
      <c r="O477" s="23">
        <f>L477+M477+N477</f>
        <v>4889.64</v>
      </c>
      <c r="P477" s="80"/>
      <c r="Q477" s="78">
        <f>O477+P477</f>
        <v>4889.64</v>
      </c>
    </row>
    <row r="478" spans="1:17" ht="12.75">
      <c r="A478" s="33" t="s">
        <v>106</v>
      </c>
      <c r="B478" s="97"/>
      <c r="C478" s="197">
        <v>41500</v>
      </c>
      <c r="D478" s="146">
        <f>102295.44</f>
        <v>102295.44</v>
      </c>
      <c r="E478" s="146"/>
      <c r="F478" s="134">
        <f t="shared" si="134"/>
        <v>143795.44</v>
      </c>
      <c r="G478" s="263">
        <f>-20000</f>
        <v>-20000</v>
      </c>
      <c r="H478" s="7"/>
      <c r="I478" s="244">
        <f>F478+G478+H478</f>
        <v>123795.44</v>
      </c>
      <c r="J478" s="86"/>
      <c r="K478" s="7"/>
      <c r="L478" s="72">
        <f>I478+J478+K478</f>
        <v>123795.44</v>
      </c>
      <c r="M478" s="22"/>
      <c r="N478" s="7"/>
      <c r="O478" s="23">
        <f>L478+M478+N478</f>
        <v>123795.44</v>
      </c>
      <c r="P478" s="80"/>
      <c r="Q478" s="78">
        <f>O478+P478</f>
        <v>123795.44</v>
      </c>
    </row>
    <row r="479" spans="1:17" ht="12.75" customHeight="1">
      <c r="A479" s="33" t="s">
        <v>103</v>
      </c>
      <c r="B479" s="97"/>
      <c r="C479" s="197">
        <v>1750.35</v>
      </c>
      <c r="D479" s="146">
        <f>-310</f>
        <v>-310</v>
      </c>
      <c r="E479" s="146"/>
      <c r="F479" s="134">
        <f t="shared" si="134"/>
        <v>1440.35</v>
      </c>
      <c r="G479" s="263">
        <f>1251.29-1251.29</f>
        <v>0</v>
      </c>
      <c r="H479" s="7"/>
      <c r="I479" s="244">
        <f>F479+G479+H479</f>
        <v>1440.35</v>
      </c>
      <c r="J479" s="86"/>
      <c r="K479" s="7"/>
      <c r="L479" s="72">
        <f>I479+J479+K479</f>
        <v>1440.35</v>
      </c>
      <c r="M479" s="22"/>
      <c r="N479" s="7"/>
      <c r="O479" s="23">
        <f>L479+M479+N479</f>
        <v>1440.35</v>
      </c>
      <c r="P479" s="80"/>
      <c r="Q479" s="78">
        <f>O479+P479</f>
        <v>1440.35</v>
      </c>
    </row>
    <row r="480" spans="1:17" ht="12.75">
      <c r="A480" s="33" t="s">
        <v>109</v>
      </c>
      <c r="B480" s="97">
        <v>14</v>
      </c>
      <c r="C480" s="197">
        <f>SUM(C481:C485)</f>
        <v>100000</v>
      </c>
      <c r="D480" s="146">
        <f aca="true" t="shared" si="136" ref="D480:Q480">SUM(D481:D485)</f>
        <v>89233.02</v>
      </c>
      <c r="E480" s="146">
        <f t="shared" si="136"/>
        <v>0</v>
      </c>
      <c r="F480" s="134">
        <f t="shared" si="136"/>
        <v>189233.02</v>
      </c>
      <c r="G480" s="263">
        <f t="shared" si="136"/>
        <v>24980.53</v>
      </c>
      <c r="H480" s="113">
        <f t="shared" si="136"/>
        <v>0</v>
      </c>
      <c r="I480" s="244">
        <f t="shared" si="136"/>
        <v>214213.55</v>
      </c>
      <c r="J480" s="160">
        <f t="shared" si="136"/>
        <v>0</v>
      </c>
      <c r="K480" s="160">
        <f t="shared" si="136"/>
        <v>0</v>
      </c>
      <c r="L480" s="160">
        <f t="shared" si="136"/>
        <v>214213.55</v>
      </c>
      <c r="M480" s="160">
        <f t="shared" si="136"/>
        <v>0</v>
      </c>
      <c r="N480" s="160">
        <f t="shared" si="136"/>
        <v>0</v>
      </c>
      <c r="O480" s="160">
        <f t="shared" si="136"/>
        <v>214213.55</v>
      </c>
      <c r="P480" s="160">
        <f t="shared" si="136"/>
        <v>0</v>
      </c>
      <c r="Q480" s="160">
        <f t="shared" si="136"/>
        <v>214213.55</v>
      </c>
    </row>
    <row r="481" spans="1:17" ht="12.75">
      <c r="A481" s="33" t="s">
        <v>110</v>
      </c>
      <c r="B481" s="97"/>
      <c r="C481" s="197">
        <v>64700</v>
      </c>
      <c r="D481" s="215">
        <f>45466.63-500+500</f>
        <v>45466.63</v>
      </c>
      <c r="E481" s="215"/>
      <c r="F481" s="134">
        <f t="shared" si="134"/>
        <v>110166.63</v>
      </c>
      <c r="G481" s="263">
        <f>560+56.73+2258+7350</f>
        <v>10224.73</v>
      </c>
      <c r="H481" s="7"/>
      <c r="I481" s="244">
        <f>F481+G481+H481</f>
        <v>120391.36</v>
      </c>
      <c r="J481" s="86"/>
      <c r="K481" s="7"/>
      <c r="L481" s="72">
        <f>I481+J481+K481</f>
        <v>120391.36</v>
      </c>
      <c r="M481" s="22"/>
      <c r="N481" s="7"/>
      <c r="O481" s="23">
        <f>L481+M481+N481</f>
        <v>120391.36</v>
      </c>
      <c r="P481" s="80"/>
      <c r="Q481" s="78">
        <f aca="true" t="shared" si="137" ref="Q481:Q527">O481+P481</f>
        <v>120391.36</v>
      </c>
    </row>
    <row r="482" spans="1:17" ht="12.75">
      <c r="A482" s="33" t="s">
        <v>111</v>
      </c>
      <c r="B482" s="97"/>
      <c r="C482" s="197">
        <v>15300</v>
      </c>
      <c r="D482" s="146">
        <f>7126.46</f>
        <v>7126.46</v>
      </c>
      <c r="E482" s="146"/>
      <c r="F482" s="134">
        <f t="shared" si="134"/>
        <v>22426.46</v>
      </c>
      <c r="G482" s="263">
        <f>-60+40.8-2000+1150</f>
        <v>-869.2</v>
      </c>
      <c r="H482" s="7"/>
      <c r="I482" s="244">
        <f>F482+G482+H482</f>
        <v>21557.26</v>
      </c>
      <c r="J482" s="86"/>
      <c r="K482" s="7"/>
      <c r="L482" s="72">
        <f>I482+J482+K482</f>
        <v>21557.26</v>
      </c>
      <c r="M482" s="22"/>
      <c r="N482" s="7"/>
      <c r="O482" s="23">
        <f>L482+M482+N482</f>
        <v>21557.26</v>
      </c>
      <c r="P482" s="80"/>
      <c r="Q482" s="78">
        <f t="shared" si="137"/>
        <v>21557.26</v>
      </c>
    </row>
    <row r="483" spans="1:17" ht="13.5" customHeight="1">
      <c r="A483" s="33" t="s">
        <v>112</v>
      </c>
      <c r="B483" s="97"/>
      <c r="C483" s="197">
        <v>11000</v>
      </c>
      <c r="D483" s="146">
        <f>30396.63+500+4500</f>
        <v>35396.630000000005</v>
      </c>
      <c r="E483" s="146"/>
      <c r="F483" s="134">
        <f t="shared" si="134"/>
        <v>46396.630000000005</v>
      </c>
      <c r="G483" s="263">
        <f>-500+3-873.75+16500-120</f>
        <v>15009.25</v>
      </c>
      <c r="H483" s="7"/>
      <c r="I483" s="244">
        <f>F483+G483+H483</f>
        <v>61405.880000000005</v>
      </c>
      <c r="J483" s="86"/>
      <c r="K483" s="7"/>
      <c r="L483" s="72">
        <f>I483+J483+K483</f>
        <v>61405.880000000005</v>
      </c>
      <c r="M483" s="22"/>
      <c r="N483" s="7"/>
      <c r="O483" s="23">
        <f>L483+M483+N483</f>
        <v>61405.880000000005</v>
      </c>
      <c r="P483" s="80"/>
      <c r="Q483" s="78">
        <f t="shared" si="137"/>
        <v>61405.880000000005</v>
      </c>
    </row>
    <row r="484" spans="1:17" ht="13.5" customHeight="1">
      <c r="A484" s="34" t="s">
        <v>132</v>
      </c>
      <c r="B484" s="97"/>
      <c r="C484" s="197">
        <v>9000</v>
      </c>
      <c r="D484" s="146">
        <f>1179.05</f>
        <v>1179.05</v>
      </c>
      <c r="E484" s="146"/>
      <c r="F484" s="134">
        <f t="shared" si="134"/>
        <v>10179.05</v>
      </c>
      <c r="G484" s="263">
        <f>680</f>
        <v>680</v>
      </c>
      <c r="H484" s="7"/>
      <c r="I484" s="244">
        <f>F484+G484+H484</f>
        <v>10859.05</v>
      </c>
      <c r="J484" s="86"/>
      <c r="K484" s="7"/>
      <c r="L484" s="72">
        <f>I484+J484+K484</f>
        <v>10859.05</v>
      </c>
      <c r="M484" s="22"/>
      <c r="N484" s="7"/>
      <c r="O484" s="23">
        <f>L484+M484+N484</f>
        <v>10859.05</v>
      </c>
      <c r="P484" s="80"/>
      <c r="Q484" s="78">
        <f t="shared" si="137"/>
        <v>10859.05</v>
      </c>
    </row>
    <row r="485" spans="1:17" ht="12.75">
      <c r="A485" s="33" t="s">
        <v>113</v>
      </c>
      <c r="B485" s="97"/>
      <c r="C485" s="197">
        <v>0</v>
      </c>
      <c r="D485" s="146">
        <f>64.25</f>
        <v>64.25</v>
      </c>
      <c r="E485" s="146"/>
      <c r="F485" s="134">
        <f t="shared" si="134"/>
        <v>64.25</v>
      </c>
      <c r="G485" s="263">
        <f>-64.25</f>
        <v>-64.25</v>
      </c>
      <c r="H485" s="7"/>
      <c r="I485" s="244">
        <f>F485+G485+H485</f>
        <v>0</v>
      </c>
      <c r="J485" s="86"/>
      <c r="K485" s="7"/>
      <c r="L485" s="72">
        <f>I485+J485+K485</f>
        <v>0</v>
      </c>
      <c r="M485" s="22"/>
      <c r="N485" s="7"/>
      <c r="O485" s="23">
        <f>L485+M485+N485</f>
        <v>0</v>
      </c>
      <c r="P485" s="80"/>
      <c r="Q485" s="78">
        <f t="shared" si="137"/>
        <v>0</v>
      </c>
    </row>
    <row r="486" spans="1:17" ht="12.75">
      <c r="A486" s="33" t="s">
        <v>114</v>
      </c>
      <c r="B486" s="97">
        <v>15</v>
      </c>
      <c r="C486" s="197">
        <f>SUM(C487:C493)</f>
        <v>250000</v>
      </c>
      <c r="D486" s="146">
        <f aca="true" t="shared" si="138" ref="D486:Q486">SUM(D487:D493)</f>
        <v>167727.81000000003</v>
      </c>
      <c r="E486" s="146">
        <f t="shared" si="138"/>
        <v>0</v>
      </c>
      <c r="F486" s="134">
        <f t="shared" si="138"/>
        <v>417727.81000000006</v>
      </c>
      <c r="G486" s="263">
        <f t="shared" si="138"/>
        <v>0</v>
      </c>
      <c r="H486" s="113">
        <f t="shared" si="138"/>
        <v>0</v>
      </c>
      <c r="I486" s="244">
        <f t="shared" si="138"/>
        <v>417727.81000000006</v>
      </c>
      <c r="J486" s="134">
        <f t="shared" si="138"/>
        <v>0</v>
      </c>
      <c r="K486" s="113">
        <f t="shared" si="138"/>
        <v>0</v>
      </c>
      <c r="L486" s="146">
        <f t="shared" si="138"/>
        <v>417727.81000000006</v>
      </c>
      <c r="M486" s="114">
        <f t="shared" si="138"/>
        <v>0</v>
      </c>
      <c r="N486" s="114">
        <f t="shared" si="138"/>
        <v>0</v>
      </c>
      <c r="O486" s="114">
        <f t="shared" si="138"/>
        <v>417727.81000000006</v>
      </c>
      <c r="P486" s="114">
        <f t="shared" si="138"/>
        <v>0</v>
      </c>
      <c r="Q486" s="197">
        <f t="shared" si="138"/>
        <v>417727.81000000006</v>
      </c>
    </row>
    <row r="487" spans="1:17" ht="12.75">
      <c r="A487" s="33" t="s">
        <v>115</v>
      </c>
      <c r="B487" s="97"/>
      <c r="C487" s="197">
        <v>218384.89</v>
      </c>
      <c r="D487" s="146">
        <f>335900.53-200000</f>
        <v>135900.53000000003</v>
      </c>
      <c r="E487" s="146"/>
      <c r="F487" s="134">
        <f t="shared" si="134"/>
        <v>354285.42000000004</v>
      </c>
      <c r="G487" s="263">
        <f>1300</f>
        <v>1300</v>
      </c>
      <c r="H487" s="7"/>
      <c r="I487" s="244">
        <f aca="true" t="shared" si="139" ref="I487:I493">F487+G487+H487</f>
        <v>355585.42000000004</v>
      </c>
      <c r="J487" s="86"/>
      <c r="K487" s="7"/>
      <c r="L487" s="72">
        <f aca="true" t="shared" si="140" ref="L487:L493">I487+J487+K487</f>
        <v>355585.42000000004</v>
      </c>
      <c r="M487" s="22"/>
      <c r="N487" s="7"/>
      <c r="O487" s="23">
        <f aca="true" t="shared" si="141" ref="O487:O493">L487+M487+N487</f>
        <v>355585.42000000004</v>
      </c>
      <c r="P487" s="80"/>
      <c r="Q487" s="78">
        <f t="shared" si="137"/>
        <v>355585.42000000004</v>
      </c>
    </row>
    <row r="488" spans="1:17" ht="12.75" hidden="1">
      <c r="A488" s="33" t="s">
        <v>116</v>
      </c>
      <c r="B488" s="97"/>
      <c r="C488" s="197"/>
      <c r="D488" s="146"/>
      <c r="E488" s="146"/>
      <c r="F488" s="134">
        <f t="shared" si="134"/>
        <v>0</v>
      </c>
      <c r="G488" s="263"/>
      <c r="H488" s="7"/>
      <c r="I488" s="244">
        <f t="shared" si="139"/>
        <v>0</v>
      </c>
      <c r="J488" s="86"/>
      <c r="K488" s="7"/>
      <c r="L488" s="72">
        <f t="shared" si="140"/>
        <v>0</v>
      </c>
      <c r="M488" s="22"/>
      <c r="N488" s="7"/>
      <c r="O488" s="23">
        <f t="shared" si="141"/>
        <v>0</v>
      </c>
      <c r="P488" s="80"/>
      <c r="Q488" s="78">
        <f t="shared" si="137"/>
        <v>0</v>
      </c>
    </row>
    <row r="489" spans="1:17" ht="12.75" hidden="1">
      <c r="A489" s="33" t="s">
        <v>117</v>
      </c>
      <c r="B489" s="97"/>
      <c r="C489" s="197"/>
      <c r="D489" s="215"/>
      <c r="E489" s="215"/>
      <c r="F489" s="134">
        <f t="shared" si="134"/>
        <v>0</v>
      </c>
      <c r="G489" s="263"/>
      <c r="H489" s="7"/>
      <c r="I489" s="244">
        <f t="shared" si="139"/>
        <v>0</v>
      </c>
      <c r="J489" s="86"/>
      <c r="K489" s="7"/>
      <c r="L489" s="72">
        <f t="shared" si="140"/>
        <v>0</v>
      </c>
      <c r="M489" s="22"/>
      <c r="N489" s="7"/>
      <c r="O489" s="23">
        <f t="shared" si="141"/>
        <v>0</v>
      </c>
      <c r="P489" s="80"/>
      <c r="Q489" s="78">
        <f t="shared" si="137"/>
        <v>0</v>
      </c>
    </row>
    <row r="490" spans="1:17" ht="12.75">
      <c r="A490" s="33" t="s">
        <v>118</v>
      </c>
      <c r="B490" s="97"/>
      <c r="C490" s="197">
        <v>28865.11</v>
      </c>
      <c r="D490" s="146">
        <f>8982.01+600</f>
        <v>9582.01</v>
      </c>
      <c r="E490" s="146"/>
      <c r="F490" s="134">
        <f t="shared" si="134"/>
        <v>38447.12</v>
      </c>
      <c r="G490" s="263"/>
      <c r="H490" s="7"/>
      <c r="I490" s="244">
        <f t="shared" si="139"/>
        <v>38447.12</v>
      </c>
      <c r="J490" s="86"/>
      <c r="K490" s="7"/>
      <c r="L490" s="72">
        <f t="shared" si="140"/>
        <v>38447.12</v>
      </c>
      <c r="M490" s="22"/>
      <c r="N490" s="7"/>
      <c r="O490" s="23">
        <f t="shared" si="141"/>
        <v>38447.12</v>
      </c>
      <c r="P490" s="80"/>
      <c r="Q490" s="78">
        <f t="shared" si="137"/>
        <v>38447.12</v>
      </c>
    </row>
    <row r="491" spans="1:17" ht="12.75">
      <c r="A491" s="33" t="s">
        <v>119</v>
      </c>
      <c r="B491" s="97"/>
      <c r="C491" s="197">
        <v>200</v>
      </c>
      <c r="D491" s="146">
        <f>745.74</f>
        <v>745.74</v>
      </c>
      <c r="E491" s="146"/>
      <c r="F491" s="134">
        <f t="shared" si="134"/>
        <v>945.74</v>
      </c>
      <c r="G491" s="263"/>
      <c r="H491" s="7"/>
      <c r="I491" s="244">
        <f t="shared" si="139"/>
        <v>945.74</v>
      </c>
      <c r="J491" s="239"/>
      <c r="K491" s="7"/>
      <c r="L491" s="72">
        <f t="shared" si="140"/>
        <v>945.74</v>
      </c>
      <c r="M491" s="22"/>
      <c r="N491" s="7"/>
      <c r="O491" s="23">
        <f t="shared" si="141"/>
        <v>945.74</v>
      </c>
      <c r="P491" s="80"/>
      <c r="Q491" s="78">
        <f t="shared" si="137"/>
        <v>945.74</v>
      </c>
    </row>
    <row r="492" spans="1:17" ht="12.75">
      <c r="A492" s="33" t="s">
        <v>120</v>
      </c>
      <c r="B492" s="97"/>
      <c r="C492" s="197">
        <v>0</v>
      </c>
      <c r="D492" s="146">
        <f>6940.44</f>
        <v>6940.44</v>
      </c>
      <c r="E492" s="146"/>
      <c r="F492" s="134">
        <f t="shared" si="134"/>
        <v>6940.44</v>
      </c>
      <c r="G492" s="263">
        <f>4000</f>
        <v>4000</v>
      </c>
      <c r="H492" s="7"/>
      <c r="I492" s="244">
        <f t="shared" si="139"/>
        <v>10940.439999999999</v>
      </c>
      <c r="J492" s="86"/>
      <c r="K492" s="7"/>
      <c r="L492" s="72">
        <f t="shared" si="140"/>
        <v>10940.439999999999</v>
      </c>
      <c r="M492" s="22"/>
      <c r="N492" s="7"/>
      <c r="O492" s="23">
        <f t="shared" si="141"/>
        <v>10940.439999999999</v>
      </c>
      <c r="P492" s="80"/>
      <c r="Q492" s="78">
        <f t="shared" si="137"/>
        <v>10940.439999999999</v>
      </c>
    </row>
    <row r="493" spans="1:17" ht="12.75">
      <c r="A493" s="33" t="s">
        <v>113</v>
      </c>
      <c r="B493" s="97"/>
      <c r="C493" s="197">
        <v>2550</v>
      </c>
      <c r="D493" s="146">
        <f>14559.09</f>
        <v>14559.09</v>
      </c>
      <c r="E493" s="146"/>
      <c r="F493" s="134">
        <f t="shared" si="134"/>
        <v>17109.09</v>
      </c>
      <c r="G493" s="263">
        <f>-5300</f>
        <v>-5300</v>
      </c>
      <c r="H493" s="7"/>
      <c r="I493" s="244">
        <f t="shared" si="139"/>
        <v>11809.09</v>
      </c>
      <c r="J493" s="86"/>
      <c r="K493" s="7"/>
      <c r="L493" s="72">
        <f t="shared" si="140"/>
        <v>11809.09</v>
      </c>
      <c r="M493" s="22"/>
      <c r="N493" s="7"/>
      <c r="O493" s="23">
        <f t="shared" si="141"/>
        <v>11809.09</v>
      </c>
      <c r="P493" s="80"/>
      <c r="Q493" s="78">
        <f t="shared" si="137"/>
        <v>11809.09</v>
      </c>
    </row>
    <row r="494" spans="1:17" ht="12.75">
      <c r="A494" s="33" t="s">
        <v>121</v>
      </c>
      <c r="B494" s="97">
        <v>16</v>
      </c>
      <c r="C494" s="197">
        <f>SUM(C495:C498)</f>
        <v>5000</v>
      </c>
      <c r="D494" s="146">
        <f aca="true" t="shared" si="142" ref="D494:Q494">SUM(D495:D498)</f>
        <v>36342.310000000005</v>
      </c>
      <c r="E494" s="146">
        <f t="shared" si="142"/>
        <v>0</v>
      </c>
      <c r="F494" s="134">
        <f t="shared" si="142"/>
        <v>41342.310000000005</v>
      </c>
      <c r="G494" s="263">
        <f t="shared" si="142"/>
        <v>0</v>
      </c>
      <c r="H494" s="113">
        <f t="shared" si="142"/>
        <v>0</v>
      </c>
      <c r="I494" s="244">
        <f t="shared" si="142"/>
        <v>41342.310000000005</v>
      </c>
      <c r="J494" s="134">
        <f t="shared" si="142"/>
        <v>0</v>
      </c>
      <c r="K494" s="113">
        <f t="shared" si="142"/>
        <v>0</v>
      </c>
      <c r="L494" s="146">
        <f t="shared" si="142"/>
        <v>41342.310000000005</v>
      </c>
      <c r="M494" s="114">
        <f t="shared" si="142"/>
        <v>0</v>
      </c>
      <c r="N494" s="114">
        <f t="shared" si="142"/>
        <v>0</v>
      </c>
      <c r="O494" s="114">
        <f t="shared" si="142"/>
        <v>41342.310000000005</v>
      </c>
      <c r="P494" s="114">
        <f t="shared" si="142"/>
        <v>0</v>
      </c>
      <c r="Q494" s="197">
        <f t="shared" si="142"/>
        <v>41342.310000000005</v>
      </c>
    </row>
    <row r="495" spans="1:17" ht="12.75">
      <c r="A495" s="33" t="s">
        <v>110</v>
      </c>
      <c r="B495" s="97"/>
      <c r="C495" s="197">
        <v>3201</v>
      </c>
      <c r="D495" s="146">
        <f>1700</f>
        <v>1700</v>
      </c>
      <c r="E495" s="146"/>
      <c r="F495" s="134">
        <f t="shared" si="134"/>
        <v>4901</v>
      </c>
      <c r="G495" s="263"/>
      <c r="H495" s="7"/>
      <c r="I495" s="244">
        <f>F495+G495+H495</f>
        <v>4901</v>
      </c>
      <c r="J495" s="86"/>
      <c r="K495" s="7"/>
      <c r="L495" s="72">
        <f>I495+J495+K495</f>
        <v>4901</v>
      </c>
      <c r="M495" s="22"/>
      <c r="N495" s="7"/>
      <c r="O495" s="23">
        <f>L495+M495+N495</f>
        <v>4901</v>
      </c>
      <c r="P495" s="80"/>
      <c r="Q495" s="78">
        <f t="shared" si="137"/>
        <v>4901</v>
      </c>
    </row>
    <row r="496" spans="1:17" ht="12.75">
      <c r="A496" s="33" t="s">
        <v>111</v>
      </c>
      <c r="B496" s="97"/>
      <c r="C496" s="197">
        <v>99</v>
      </c>
      <c r="D496" s="146"/>
      <c r="E496" s="146"/>
      <c r="F496" s="134">
        <f t="shared" si="134"/>
        <v>99</v>
      </c>
      <c r="G496" s="263"/>
      <c r="H496" s="7"/>
      <c r="I496" s="244">
        <f>F496+G496+H496</f>
        <v>99</v>
      </c>
      <c r="J496" s="86"/>
      <c r="K496" s="7"/>
      <c r="L496" s="72">
        <f>I496+J496+K496</f>
        <v>99</v>
      </c>
      <c r="M496" s="22"/>
      <c r="N496" s="7"/>
      <c r="O496" s="23">
        <f>L496+M496+N496</f>
        <v>99</v>
      </c>
      <c r="P496" s="80"/>
      <c r="Q496" s="78">
        <f t="shared" si="137"/>
        <v>99</v>
      </c>
    </row>
    <row r="497" spans="1:17" ht="12.75">
      <c r="A497" s="33" t="s">
        <v>112</v>
      </c>
      <c r="B497" s="97"/>
      <c r="C497" s="197">
        <v>1500</v>
      </c>
      <c r="D497" s="146">
        <f>34515.41</f>
        <v>34515.41</v>
      </c>
      <c r="E497" s="146"/>
      <c r="F497" s="134">
        <f t="shared" si="134"/>
        <v>36015.41</v>
      </c>
      <c r="G497" s="263"/>
      <c r="H497" s="7"/>
      <c r="I497" s="244">
        <f>F497+G497+H497</f>
        <v>36015.41</v>
      </c>
      <c r="J497" s="86"/>
      <c r="K497" s="7"/>
      <c r="L497" s="72">
        <f>I497+J497+K497</f>
        <v>36015.41</v>
      </c>
      <c r="M497" s="22"/>
      <c r="N497" s="7"/>
      <c r="O497" s="23">
        <f>L497+M497+N497</f>
        <v>36015.41</v>
      </c>
      <c r="P497" s="80"/>
      <c r="Q497" s="78">
        <f t="shared" si="137"/>
        <v>36015.41</v>
      </c>
    </row>
    <row r="498" spans="1:17" ht="12.75">
      <c r="A498" s="33" t="s">
        <v>113</v>
      </c>
      <c r="B498" s="97"/>
      <c r="C498" s="197">
        <v>200</v>
      </c>
      <c r="D498" s="146">
        <f>126.9</f>
        <v>126.9</v>
      </c>
      <c r="E498" s="146"/>
      <c r="F498" s="134">
        <f t="shared" si="134"/>
        <v>326.9</v>
      </c>
      <c r="G498" s="263"/>
      <c r="H498" s="7"/>
      <c r="I498" s="244">
        <f>F498+G498+H498</f>
        <v>326.9</v>
      </c>
      <c r="J498" s="86"/>
      <c r="K498" s="7"/>
      <c r="L498" s="72">
        <f>I498+J498+K498</f>
        <v>326.9</v>
      </c>
      <c r="M498" s="22"/>
      <c r="N498" s="7"/>
      <c r="O498" s="23">
        <f>L498+M498+N498</f>
        <v>326.9</v>
      </c>
      <c r="P498" s="80"/>
      <c r="Q498" s="78">
        <f t="shared" si="137"/>
        <v>326.9</v>
      </c>
    </row>
    <row r="499" spans="1:17" ht="12.75">
      <c r="A499" s="33" t="s">
        <v>101</v>
      </c>
      <c r="B499" s="97">
        <v>18</v>
      </c>
      <c r="C499" s="197">
        <f>C500+C501</f>
        <v>1650</v>
      </c>
      <c r="D499" s="146">
        <f>D500+D501</f>
        <v>172.18</v>
      </c>
      <c r="E499" s="146">
        <f>E500+E501</f>
        <v>0</v>
      </c>
      <c r="F499" s="134">
        <f>F500+F501</f>
        <v>1822.18</v>
      </c>
      <c r="G499" s="263">
        <f aca="true" t="shared" si="143" ref="G499:Q499">G500+G501</f>
        <v>0</v>
      </c>
      <c r="H499" s="113">
        <f t="shared" si="143"/>
        <v>0</v>
      </c>
      <c r="I499" s="244">
        <f t="shared" si="143"/>
        <v>1822.18</v>
      </c>
      <c r="J499" s="160">
        <f t="shared" si="143"/>
        <v>0</v>
      </c>
      <c r="K499" s="160">
        <f t="shared" si="143"/>
        <v>0</v>
      </c>
      <c r="L499" s="160">
        <f t="shared" si="143"/>
        <v>0</v>
      </c>
      <c r="M499" s="160">
        <f t="shared" si="143"/>
        <v>0</v>
      </c>
      <c r="N499" s="160">
        <f t="shared" si="143"/>
        <v>0</v>
      </c>
      <c r="O499" s="160">
        <f t="shared" si="143"/>
        <v>0</v>
      </c>
      <c r="P499" s="160">
        <f t="shared" si="143"/>
        <v>0</v>
      </c>
      <c r="Q499" s="160">
        <f t="shared" si="143"/>
        <v>0</v>
      </c>
    </row>
    <row r="500" spans="1:17" ht="12.75">
      <c r="A500" s="33" t="s">
        <v>102</v>
      </c>
      <c r="B500" s="97"/>
      <c r="C500" s="197">
        <v>1650</v>
      </c>
      <c r="D500" s="146">
        <f>172.18</f>
        <v>172.18</v>
      </c>
      <c r="E500" s="146"/>
      <c r="F500" s="134">
        <f>C500+D500+E500</f>
        <v>1822.18</v>
      </c>
      <c r="G500" s="263"/>
      <c r="H500" s="7"/>
      <c r="I500" s="244">
        <f>F500+G500+H500</f>
        <v>1822.18</v>
      </c>
      <c r="J500" s="86"/>
      <c r="K500" s="7"/>
      <c r="L500" s="86"/>
      <c r="M500" s="22"/>
      <c r="N500" s="128"/>
      <c r="O500" s="86"/>
      <c r="P500" s="80"/>
      <c r="Q500" s="78"/>
    </row>
    <row r="501" spans="1:17" ht="12.75" hidden="1">
      <c r="A501" s="33" t="s">
        <v>103</v>
      </c>
      <c r="B501" s="97"/>
      <c r="C501" s="197">
        <v>0</v>
      </c>
      <c r="D501" s="146"/>
      <c r="E501" s="146"/>
      <c r="F501" s="134">
        <f>C501+D501+E501</f>
        <v>0</v>
      </c>
      <c r="G501" s="263"/>
      <c r="H501" s="7"/>
      <c r="I501" s="244"/>
      <c r="J501" s="86"/>
      <c r="K501" s="7"/>
      <c r="L501" s="86"/>
      <c r="M501" s="22"/>
      <c r="N501" s="128"/>
      <c r="O501" s="86"/>
      <c r="P501" s="80"/>
      <c r="Q501" s="78"/>
    </row>
    <row r="502" spans="1:17" ht="12.75">
      <c r="A502" s="98" t="s">
        <v>254</v>
      </c>
      <c r="B502" s="97">
        <v>19</v>
      </c>
      <c r="C502" s="197">
        <f>C503+C504</f>
        <v>5000</v>
      </c>
      <c r="D502" s="146">
        <f>D503+D504</f>
        <v>33902.079999999994</v>
      </c>
      <c r="E502" s="146">
        <f>E503+E504</f>
        <v>0</v>
      </c>
      <c r="F502" s="134">
        <f>F503+F504</f>
        <v>38902.079999999994</v>
      </c>
      <c r="G502" s="263">
        <f aca="true" t="shared" si="144" ref="G502:Q502">G503+G504</f>
        <v>0</v>
      </c>
      <c r="H502" s="113">
        <f t="shared" si="144"/>
        <v>0</v>
      </c>
      <c r="I502" s="244">
        <f t="shared" si="144"/>
        <v>38902.079999999994</v>
      </c>
      <c r="J502" s="160">
        <f t="shared" si="144"/>
        <v>0</v>
      </c>
      <c r="K502" s="160">
        <f t="shared" si="144"/>
        <v>0</v>
      </c>
      <c r="L502" s="160">
        <f t="shared" si="144"/>
        <v>0</v>
      </c>
      <c r="M502" s="160">
        <f t="shared" si="144"/>
        <v>0</v>
      </c>
      <c r="N502" s="160">
        <f t="shared" si="144"/>
        <v>0</v>
      </c>
      <c r="O502" s="160">
        <f t="shared" si="144"/>
        <v>0</v>
      </c>
      <c r="P502" s="160">
        <f t="shared" si="144"/>
        <v>0</v>
      </c>
      <c r="Q502" s="160">
        <f t="shared" si="144"/>
        <v>0</v>
      </c>
    </row>
    <row r="503" spans="1:17" ht="12.75">
      <c r="A503" s="33" t="s">
        <v>102</v>
      </c>
      <c r="B503" s="97"/>
      <c r="C503" s="197">
        <v>5000</v>
      </c>
      <c r="D503" s="146">
        <f>33312.31</f>
        <v>33312.31</v>
      </c>
      <c r="E503" s="146"/>
      <c r="F503" s="134">
        <f>C503+D503+E503</f>
        <v>38312.31</v>
      </c>
      <c r="G503" s="263"/>
      <c r="H503" s="7"/>
      <c r="I503" s="244">
        <f>F503+G503+H503</f>
        <v>38312.31</v>
      </c>
      <c r="J503" s="86"/>
      <c r="K503" s="7"/>
      <c r="L503" s="86"/>
      <c r="M503" s="22"/>
      <c r="N503" s="128"/>
      <c r="O503" s="86"/>
      <c r="P503" s="80"/>
      <c r="Q503" s="78"/>
    </row>
    <row r="504" spans="1:17" ht="12.75">
      <c r="A504" s="33" t="s">
        <v>103</v>
      </c>
      <c r="B504" s="97"/>
      <c r="C504" s="197"/>
      <c r="D504" s="146">
        <f>589.77</f>
        <v>589.77</v>
      </c>
      <c r="E504" s="146"/>
      <c r="F504" s="134">
        <f>C504+D504+E504</f>
        <v>589.77</v>
      </c>
      <c r="G504" s="263"/>
      <c r="H504" s="7"/>
      <c r="I504" s="244">
        <f>F504+G504+H504</f>
        <v>589.77</v>
      </c>
      <c r="J504" s="86"/>
      <c r="K504" s="7"/>
      <c r="L504" s="86"/>
      <c r="M504" s="22"/>
      <c r="N504" s="128"/>
      <c r="O504" s="86"/>
      <c r="P504" s="80"/>
      <c r="Q504" s="78"/>
    </row>
    <row r="505" spans="1:17" ht="12.75">
      <c r="A505" s="33" t="s">
        <v>122</v>
      </c>
      <c r="B505" s="97">
        <v>28</v>
      </c>
      <c r="C505" s="197">
        <f>SUM(C506:C510)</f>
        <v>108500</v>
      </c>
      <c r="D505" s="146">
        <f aca="true" t="shared" si="145" ref="D505:Q505">SUM(D506:D510)</f>
        <v>66957.02</v>
      </c>
      <c r="E505" s="146">
        <f t="shared" si="145"/>
        <v>0</v>
      </c>
      <c r="F505" s="134">
        <f t="shared" si="145"/>
        <v>175457.02</v>
      </c>
      <c r="G505" s="263">
        <f t="shared" si="145"/>
        <v>0</v>
      </c>
      <c r="H505" s="113">
        <f t="shared" si="145"/>
        <v>0</v>
      </c>
      <c r="I505" s="244">
        <f t="shared" si="145"/>
        <v>175457.02</v>
      </c>
      <c r="J505" s="134">
        <f t="shared" si="145"/>
        <v>0</v>
      </c>
      <c r="K505" s="113">
        <f t="shared" si="145"/>
        <v>0</v>
      </c>
      <c r="L505" s="146">
        <f t="shared" si="145"/>
        <v>175457.02</v>
      </c>
      <c r="M505" s="114">
        <f t="shared" si="145"/>
        <v>0</v>
      </c>
      <c r="N505" s="114">
        <f t="shared" si="145"/>
        <v>0</v>
      </c>
      <c r="O505" s="114">
        <f t="shared" si="145"/>
        <v>175457.02</v>
      </c>
      <c r="P505" s="114">
        <f t="shared" si="145"/>
        <v>0</v>
      </c>
      <c r="Q505" s="197">
        <f t="shared" si="145"/>
        <v>175457.02</v>
      </c>
    </row>
    <row r="506" spans="1:17" ht="12.75">
      <c r="A506" s="33" t="s">
        <v>110</v>
      </c>
      <c r="B506" s="97"/>
      <c r="C506" s="197">
        <v>2300</v>
      </c>
      <c r="D506" s="146">
        <f>4708.41-136</f>
        <v>4572.41</v>
      </c>
      <c r="E506" s="146"/>
      <c r="F506" s="134">
        <f t="shared" si="134"/>
        <v>6872.41</v>
      </c>
      <c r="G506" s="263">
        <f>3500</f>
        <v>3500</v>
      </c>
      <c r="H506" s="7"/>
      <c r="I506" s="244">
        <f>F506+G506+H506</f>
        <v>10372.41</v>
      </c>
      <c r="J506" s="86"/>
      <c r="K506" s="7"/>
      <c r="L506" s="72">
        <f>I506+J506+K506</f>
        <v>10372.41</v>
      </c>
      <c r="M506" s="22"/>
      <c r="N506" s="7"/>
      <c r="O506" s="23">
        <f>L506+M506+N506</f>
        <v>10372.41</v>
      </c>
      <c r="P506" s="80"/>
      <c r="Q506" s="78">
        <f t="shared" si="137"/>
        <v>10372.41</v>
      </c>
    </row>
    <row r="507" spans="1:17" ht="12.75">
      <c r="A507" s="33" t="s">
        <v>111</v>
      </c>
      <c r="B507" s="97"/>
      <c r="C507" s="197">
        <v>0</v>
      </c>
      <c r="D507" s="146">
        <f>136</f>
        <v>136</v>
      </c>
      <c r="E507" s="146"/>
      <c r="F507" s="134">
        <f t="shared" si="134"/>
        <v>136</v>
      </c>
      <c r="G507" s="263"/>
      <c r="H507" s="7"/>
      <c r="I507" s="244">
        <f>F507+G507+H507</f>
        <v>136</v>
      </c>
      <c r="J507" s="86"/>
      <c r="K507" s="7"/>
      <c r="L507" s="72">
        <f>I507+J507+K507</f>
        <v>136</v>
      </c>
      <c r="M507" s="22"/>
      <c r="N507" s="7"/>
      <c r="O507" s="23">
        <f>L507+M507+N507</f>
        <v>136</v>
      </c>
      <c r="P507" s="80"/>
      <c r="Q507" s="78">
        <f t="shared" si="137"/>
        <v>136</v>
      </c>
    </row>
    <row r="508" spans="1:17" ht="12.75">
      <c r="A508" s="33" t="s">
        <v>123</v>
      </c>
      <c r="B508" s="97"/>
      <c r="C508" s="197">
        <v>106200</v>
      </c>
      <c r="D508" s="146">
        <f>58216.48+4032.13</f>
        <v>62248.61</v>
      </c>
      <c r="E508" s="146"/>
      <c r="F508" s="134">
        <f t="shared" si="134"/>
        <v>168448.61</v>
      </c>
      <c r="G508" s="263">
        <f>-3500</f>
        <v>-3500</v>
      </c>
      <c r="H508" s="7"/>
      <c r="I508" s="244">
        <f>F508+G508+H508</f>
        <v>164948.61</v>
      </c>
      <c r="J508" s="86"/>
      <c r="K508" s="7"/>
      <c r="L508" s="72">
        <f>I508+J508+K508</f>
        <v>164948.61</v>
      </c>
      <c r="M508" s="22"/>
      <c r="N508" s="7"/>
      <c r="O508" s="23">
        <f>L508+M508+N508</f>
        <v>164948.61</v>
      </c>
      <c r="P508" s="80"/>
      <c r="Q508" s="78">
        <f t="shared" si="137"/>
        <v>164948.61</v>
      </c>
    </row>
    <row r="509" spans="1:17" ht="12.75" hidden="1">
      <c r="A509" s="33" t="s">
        <v>120</v>
      </c>
      <c r="B509" s="97"/>
      <c r="C509" s="197"/>
      <c r="D509" s="146"/>
      <c r="E509" s="146"/>
      <c r="F509" s="134">
        <f t="shared" si="134"/>
        <v>0</v>
      </c>
      <c r="G509" s="263"/>
      <c r="H509" s="7"/>
      <c r="I509" s="244">
        <f>F509+G509+H509</f>
        <v>0</v>
      </c>
      <c r="J509" s="86"/>
      <c r="K509" s="7"/>
      <c r="L509" s="72">
        <f>I509+J509+K509</f>
        <v>0</v>
      </c>
      <c r="M509" s="22"/>
      <c r="N509" s="7"/>
      <c r="O509" s="23">
        <f>L509+M509+N509</f>
        <v>0</v>
      </c>
      <c r="P509" s="80"/>
      <c r="Q509" s="78">
        <f t="shared" si="137"/>
        <v>0</v>
      </c>
    </row>
    <row r="510" spans="1:17" ht="12.75" hidden="1">
      <c r="A510" s="33" t="s">
        <v>113</v>
      </c>
      <c r="B510" s="97"/>
      <c r="C510" s="197">
        <v>0</v>
      </c>
      <c r="D510" s="215">
        <f>4032.13-4032.13</f>
        <v>0</v>
      </c>
      <c r="E510" s="146"/>
      <c r="F510" s="134">
        <f t="shared" si="134"/>
        <v>0</v>
      </c>
      <c r="G510" s="263"/>
      <c r="H510" s="7"/>
      <c r="I510" s="244">
        <f>F510+G510+H510</f>
        <v>0</v>
      </c>
      <c r="J510" s="86"/>
      <c r="K510" s="7"/>
      <c r="L510" s="72">
        <f>I510+J510+K510</f>
        <v>0</v>
      </c>
      <c r="M510" s="22"/>
      <c r="N510" s="7"/>
      <c r="O510" s="23">
        <f>L510+M510+N510</f>
        <v>0</v>
      </c>
      <c r="P510" s="80"/>
      <c r="Q510" s="78">
        <f t="shared" si="137"/>
        <v>0</v>
      </c>
    </row>
    <row r="511" spans="1:17" ht="12.75">
      <c r="A511" s="34" t="s">
        <v>124</v>
      </c>
      <c r="B511" s="97"/>
      <c r="C511" s="197">
        <f>C512+C513</f>
        <v>2</v>
      </c>
      <c r="D511" s="146">
        <f aca="true" t="shared" si="146" ref="D511:Q511">D512+D513</f>
        <v>6408.09</v>
      </c>
      <c r="E511" s="146">
        <f t="shared" si="146"/>
        <v>0</v>
      </c>
      <c r="F511" s="134">
        <f t="shared" si="146"/>
        <v>6410.09</v>
      </c>
      <c r="G511" s="263">
        <f t="shared" si="146"/>
        <v>0</v>
      </c>
      <c r="H511" s="113">
        <f t="shared" si="146"/>
        <v>0</v>
      </c>
      <c r="I511" s="244">
        <f t="shared" si="146"/>
        <v>6410.09</v>
      </c>
      <c r="J511" s="134">
        <f t="shared" si="146"/>
        <v>0</v>
      </c>
      <c r="K511" s="113">
        <f t="shared" si="146"/>
        <v>0</v>
      </c>
      <c r="L511" s="134">
        <f t="shared" si="146"/>
        <v>0</v>
      </c>
      <c r="M511" s="133">
        <f t="shared" si="146"/>
        <v>0</v>
      </c>
      <c r="N511" s="133">
        <f t="shared" si="146"/>
        <v>0</v>
      </c>
      <c r="O511" s="133">
        <f t="shared" si="146"/>
        <v>0</v>
      </c>
      <c r="P511" s="133">
        <f t="shared" si="146"/>
        <v>0</v>
      </c>
      <c r="Q511" s="197">
        <f t="shared" si="146"/>
        <v>0</v>
      </c>
    </row>
    <row r="512" spans="1:17" ht="12.75">
      <c r="A512" s="34" t="s">
        <v>236</v>
      </c>
      <c r="B512" s="97"/>
      <c r="C512" s="197"/>
      <c r="D512" s="146">
        <f>133.71+1256.65+9.73</f>
        <v>1400.0900000000001</v>
      </c>
      <c r="E512" s="146"/>
      <c r="F512" s="134">
        <f t="shared" si="134"/>
        <v>1400.0900000000001</v>
      </c>
      <c r="G512" s="263"/>
      <c r="H512" s="7"/>
      <c r="I512" s="244">
        <f>F512+G512+H512</f>
        <v>1400.0900000000001</v>
      </c>
      <c r="J512" s="86"/>
      <c r="K512" s="7"/>
      <c r="L512" s="72"/>
      <c r="M512" s="22"/>
      <c r="N512" s="7"/>
      <c r="O512" s="23"/>
      <c r="P512" s="80"/>
      <c r="Q512" s="78"/>
    </row>
    <row r="513" spans="1:17" ht="12.75">
      <c r="A513" s="37" t="s">
        <v>280</v>
      </c>
      <c r="B513" s="100"/>
      <c r="C513" s="292">
        <v>2</v>
      </c>
      <c r="D513" s="213">
        <f>5000+8</f>
        <v>5008</v>
      </c>
      <c r="E513" s="213"/>
      <c r="F513" s="229">
        <f t="shared" si="134"/>
        <v>5010</v>
      </c>
      <c r="G513" s="268"/>
      <c r="H513" s="10"/>
      <c r="I513" s="248">
        <f>F513+G513+H513</f>
        <v>5010</v>
      </c>
      <c r="J513" s="86"/>
      <c r="K513" s="7"/>
      <c r="L513" s="72"/>
      <c r="M513" s="22"/>
      <c r="N513" s="7"/>
      <c r="O513" s="23"/>
      <c r="P513" s="80"/>
      <c r="Q513" s="78"/>
    </row>
    <row r="514" spans="1:17" ht="13.5" thickBot="1">
      <c r="A514" s="47" t="s">
        <v>125</v>
      </c>
      <c r="B514" s="101"/>
      <c r="C514" s="199">
        <v>8581.04</v>
      </c>
      <c r="D514" s="146"/>
      <c r="E514" s="147"/>
      <c r="F514" s="131">
        <f t="shared" si="134"/>
        <v>8581.04</v>
      </c>
      <c r="G514" s="267"/>
      <c r="H514" s="8"/>
      <c r="I514" s="226">
        <f>SUM(F514:H514)</f>
        <v>8581.04</v>
      </c>
      <c r="J514" s="173"/>
      <c r="K514" s="8"/>
      <c r="L514" s="190">
        <f>SUM(I514:K514)</f>
        <v>8581.04</v>
      </c>
      <c r="M514" s="24"/>
      <c r="N514" s="8"/>
      <c r="O514" s="25">
        <f>SUM(L514:N514)</f>
        <v>8581.04</v>
      </c>
      <c r="P514" s="81"/>
      <c r="Q514" s="28">
        <f>O514+P514</f>
        <v>8581.04</v>
      </c>
    </row>
    <row r="515" spans="1:17" ht="14.25" thickBot="1">
      <c r="A515" s="48" t="s">
        <v>126</v>
      </c>
      <c r="B515" s="104"/>
      <c r="C515" s="203">
        <f>+C82+C102+C113+C131+C143+C173+C220+C241+C269+C290+C369+C399+C423+C430+C462+C466+C514+C437+C314+C262</f>
        <v>5413094.04</v>
      </c>
      <c r="D515" s="217">
        <f>+D82+D102+D113+D131+D143+D173+D220+D241+D269+D290+D369+D399+D423+D430+D462+D466+D514+D437+D314+D262</f>
        <v>12808395.800000003</v>
      </c>
      <c r="E515" s="138">
        <f>+E82+E102+E113+E131+E143+E173+E220+E241+E269+E290+E369+E399+E423+E430+E462+E466+E514+E437+E314</f>
        <v>1900</v>
      </c>
      <c r="F515" s="137">
        <f aca="true" t="shared" si="147" ref="F515:Q515">+F82+F102+F113+F131+F143+F173+F220+F241+F269+F290+F369+F399+F423+F430+F462+F466+F514+F437+F314+F262</f>
        <v>18223389.84</v>
      </c>
      <c r="G515" s="270">
        <f t="shared" si="147"/>
        <v>394935.7099999999</v>
      </c>
      <c r="H515" s="125">
        <f t="shared" si="147"/>
        <v>0</v>
      </c>
      <c r="I515" s="251">
        <f t="shared" si="147"/>
        <v>18618325.55</v>
      </c>
      <c r="J515" s="165">
        <f t="shared" si="147"/>
        <v>0</v>
      </c>
      <c r="K515" s="203">
        <f t="shared" si="147"/>
        <v>0</v>
      </c>
      <c r="L515" s="203">
        <f t="shared" si="147"/>
        <v>5715247.5200000005</v>
      </c>
      <c r="M515" s="203">
        <f t="shared" si="147"/>
        <v>0</v>
      </c>
      <c r="N515" s="203">
        <f t="shared" si="147"/>
        <v>0</v>
      </c>
      <c r="O515" s="203">
        <f t="shared" si="147"/>
        <v>5715247.5200000005</v>
      </c>
      <c r="P515" s="203">
        <f t="shared" si="147"/>
        <v>0</v>
      </c>
      <c r="Q515" s="203">
        <f t="shared" si="147"/>
        <v>5715247.5200000005</v>
      </c>
    </row>
    <row r="516" spans="1:17" ht="13.5" thickBot="1">
      <c r="A516" s="49" t="s">
        <v>127</v>
      </c>
      <c r="B516" s="104"/>
      <c r="C516" s="204">
        <v>-8581.04</v>
      </c>
      <c r="D516" s="284"/>
      <c r="E516" s="178"/>
      <c r="F516" s="233">
        <f t="shared" si="134"/>
        <v>-8581.04</v>
      </c>
      <c r="G516" s="271"/>
      <c r="H516" s="252"/>
      <c r="I516" s="226">
        <f>SUM(F516:H516)</f>
        <v>-8581.04</v>
      </c>
      <c r="J516" s="178"/>
      <c r="K516" s="154"/>
      <c r="L516" s="154"/>
      <c r="M516" s="154"/>
      <c r="N516" s="154"/>
      <c r="O516" s="154"/>
      <c r="P516" s="154"/>
      <c r="Q516" s="204"/>
    </row>
    <row r="517" spans="1:17" ht="15.75" thickBot="1">
      <c r="A517" s="50" t="s">
        <v>128</v>
      </c>
      <c r="B517" s="104"/>
      <c r="C517" s="295">
        <f aca="true" t="shared" si="148" ref="C517:Q517">C515+C516</f>
        <v>5404513</v>
      </c>
      <c r="D517" s="148">
        <f t="shared" si="148"/>
        <v>12808395.800000003</v>
      </c>
      <c r="E517" s="179">
        <f t="shared" si="148"/>
        <v>1900</v>
      </c>
      <c r="F517" s="234">
        <f t="shared" si="148"/>
        <v>18214808.8</v>
      </c>
      <c r="G517" s="272">
        <f t="shared" si="148"/>
        <v>394935.7099999999</v>
      </c>
      <c r="H517" s="253">
        <f t="shared" si="148"/>
        <v>0</v>
      </c>
      <c r="I517" s="227">
        <f t="shared" si="148"/>
        <v>18609744.51</v>
      </c>
      <c r="J517" s="240">
        <f t="shared" si="148"/>
        <v>0</v>
      </c>
      <c r="K517" s="123">
        <f t="shared" si="148"/>
        <v>0</v>
      </c>
      <c r="L517" s="123">
        <f t="shared" si="148"/>
        <v>5715247.5200000005</v>
      </c>
      <c r="M517" s="123">
        <f t="shared" si="148"/>
        <v>0</v>
      </c>
      <c r="N517" s="123">
        <f t="shared" si="148"/>
        <v>0</v>
      </c>
      <c r="O517" s="123">
        <f t="shared" si="148"/>
        <v>5715247.5200000005</v>
      </c>
      <c r="P517" s="123">
        <f t="shared" si="148"/>
        <v>0</v>
      </c>
      <c r="Q517" s="123">
        <f t="shared" si="148"/>
        <v>5715247.5200000005</v>
      </c>
    </row>
    <row r="518" spans="1:17" ht="15">
      <c r="A518" s="51" t="s">
        <v>26</v>
      </c>
      <c r="B518" s="105"/>
      <c r="C518" s="205"/>
      <c r="D518" s="285"/>
      <c r="E518" s="180"/>
      <c r="F518" s="235"/>
      <c r="G518" s="273"/>
      <c r="H518" s="126"/>
      <c r="I518" s="254"/>
      <c r="J518" s="180"/>
      <c r="K518" s="155"/>
      <c r="L518" s="155"/>
      <c r="M518" s="155"/>
      <c r="N518" s="155"/>
      <c r="O518" s="155"/>
      <c r="P518" s="155"/>
      <c r="Q518" s="205"/>
    </row>
    <row r="519" spans="1:17" ht="15">
      <c r="A519" s="52" t="s">
        <v>225</v>
      </c>
      <c r="B519" s="106"/>
      <c r="C519" s="206">
        <f>+C83+C103+C114+C132+C144+C174+C221+C242+C270+C291+C370+C400+C424+C431+C463+C468+C514+C516+C438+C315+C263</f>
        <v>3910350.0599999996</v>
      </c>
      <c r="D519" s="286">
        <f>+D83+D103+D114+D132+D144+D174+D221+D242+D270+D291+D370+D400+D424+D431+D463+D468+D514+D516+D438+D315+D263</f>
        <v>10193611.760000004</v>
      </c>
      <c r="E519" s="181">
        <f>+E83+E103+E114+E132+E144+E174+E221+E242+E270+E291+E370+E400+E424+E431+E463+E468+E514+E516+E438+E315</f>
        <v>-23.4</v>
      </c>
      <c r="F519" s="156">
        <f aca="true" t="shared" si="149" ref="F519:Q519">+F83+F103+F114+F132+F144+F174+F221+F242+F270+F291+F370+F400+F424+F431+F463+F468+F514+F516+F438+F315+F263</f>
        <v>14103938.419999998</v>
      </c>
      <c r="G519" s="274">
        <f t="shared" si="149"/>
        <v>151525.65999999995</v>
      </c>
      <c r="H519" s="221">
        <f t="shared" si="149"/>
        <v>0</v>
      </c>
      <c r="I519" s="255">
        <f t="shared" si="149"/>
        <v>14255464.079999996</v>
      </c>
      <c r="J519" s="241">
        <f t="shared" si="149"/>
        <v>0</v>
      </c>
      <c r="K519" s="206">
        <f t="shared" si="149"/>
        <v>0</v>
      </c>
      <c r="L519" s="206">
        <f t="shared" si="149"/>
        <v>4427270.22</v>
      </c>
      <c r="M519" s="206">
        <f t="shared" si="149"/>
        <v>0</v>
      </c>
      <c r="N519" s="206">
        <f t="shared" si="149"/>
        <v>0</v>
      </c>
      <c r="O519" s="206">
        <f t="shared" si="149"/>
        <v>4427270.22</v>
      </c>
      <c r="P519" s="206">
        <f t="shared" si="149"/>
        <v>0</v>
      </c>
      <c r="Q519" s="206">
        <f t="shared" si="149"/>
        <v>4427270.22</v>
      </c>
    </row>
    <row r="520" spans="1:17" ht="15.75" thickBot="1">
      <c r="A520" s="39" t="s">
        <v>226</v>
      </c>
      <c r="B520" s="107"/>
      <c r="C520" s="207">
        <f>+C92+C110+C126+C137+C164+C211+C234+C255+C283+C310+C394+C414+C427+C469+C452+C339+C266</f>
        <v>1494162.94</v>
      </c>
      <c r="D520" s="287">
        <f>+D92+D110+D126+D137+D164+D211+D234+D255+D283+D310+D394+D414+D427+D469+D452+D339+D266</f>
        <v>2614784.04</v>
      </c>
      <c r="E520" s="182">
        <f>+E92+E110+E126+E137+E164+E211+E234+E255+E283+E310+E394+E414+E427+E469+E452+E339</f>
        <v>1923.4</v>
      </c>
      <c r="F520" s="157">
        <f aca="true" t="shared" si="150" ref="F520:Q520">+F92+F110+F126+F137+F164+F211+F234+F255+F283+F310+F394+F414+F427+F469+F452+F339+F266</f>
        <v>4110870.38</v>
      </c>
      <c r="G520" s="275">
        <f t="shared" si="150"/>
        <v>243410.05</v>
      </c>
      <c r="H520" s="222">
        <f t="shared" si="150"/>
        <v>0</v>
      </c>
      <c r="I520" s="256">
        <f t="shared" si="150"/>
        <v>4354280.430000001</v>
      </c>
      <c r="J520" s="242">
        <f t="shared" si="150"/>
        <v>0</v>
      </c>
      <c r="K520" s="207">
        <f t="shared" si="150"/>
        <v>0</v>
      </c>
      <c r="L520" s="207">
        <f t="shared" si="150"/>
        <v>1287977.3</v>
      </c>
      <c r="M520" s="207">
        <f t="shared" si="150"/>
        <v>0</v>
      </c>
      <c r="N520" s="207">
        <f t="shared" si="150"/>
        <v>0</v>
      </c>
      <c r="O520" s="207">
        <f t="shared" si="150"/>
        <v>1287977.3</v>
      </c>
      <c r="P520" s="207">
        <f t="shared" si="150"/>
        <v>0</v>
      </c>
      <c r="Q520" s="207">
        <f t="shared" si="150"/>
        <v>1287977.3</v>
      </c>
    </row>
    <row r="521" spans="1:17" ht="15.75" thickBot="1">
      <c r="A521" s="52" t="s">
        <v>219</v>
      </c>
      <c r="B521" s="106"/>
      <c r="C521" s="203">
        <f aca="true" t="shared" si="151" ref="C521:Q521">C80-C517</f>
        <v>-400000</v>
      </c>
      <c r="D521" s="217">
        <f t="shared" si="151"/>
        <v>-3079643.6800000016</v>
      </c>
      <c r="E521" s="217">
        <f t="shared" si="151"/>
        <v>-1900</v>
      </c>
      <c r="F521" s="138">
        <f t="shared" si="151"/>
        <v>-3481543.6800000016</v>
      </c>
      <c r="G521" s="270">
        <f t="shared" si="151"/>
        <v>-2633.619999999937</v>
      </c>
      <c r="H521" s="125">
        <f t="shared" si="151"/>
        <v>0</v>
      </c>
      <c r="I521" s="251">
        <f t="shared" si="151"/>
        <v>-3484177.3000000007</v>
      </c>
      <c r="J521" s="165">
        <f t="shared" si="151"/>
        <v>0</v>
      </c>
      <c r="K521" s="165">
        <f t="shared" si="151"/>
        <v>0</v>
      </c>
      <c r="L521" s="165">
        <f t="shared" si="151"/>
        <v>4823174.100000002</v>
      </c>
      <c r="M521" s="165">
        <f t="shared" si="151"/>
        <v>0</v>
      </c>
      <c r="N521" s="165">
        <f t="shared" si="151"/>
        <v>0</v>
      </c>
      <c r="O521" s="165">
        <f t="shared" si="151"/>
        <v>4823174.100000002</v>
      </c>
      <c r="P521" s="165">
        <f t="shared" si="151"/>
        <v>0</v>
      </c>
      <c r="Q521" s="165">
        <f t="shared" si="151"/>
        <v>4823174.100000002</v>
      </c>
    </row>
    <row r="522" spans="1:17" ht="15">
      <c r="A522" s="51" t="s">
        <v>227</v>
      </c>
      <c r="B522" s="105"/>
      <c r="C522" s="296">
        <f>SUM(C524:C527)</f>
        <v>400000</v>
      </c>
      <c r="D522" s="152">
        <f aca="true" t="shared" si="152" ref="D522:Q522">SUM(D524:D527)</f>
        <v>3079643.6800000006</v>
      </c>
      <c r="E522" s="152">
        <f t="shared" si="152"/>
        <v>1900</v>
      </c>
      <c r="F522" s="183">
        <f t="shared" si="152"/>
        <v>3481543.6800000006</v>
      </c>
      <c r="G522" s="276">
        <f t="shared" si="152"/>
        <v>2633.62</v>
      </c>
      <c r="H522" s="127">
        <f t="shared" si="152"/>
        <v>0</v>
      </c>
      <c r="I522" s="257">
        <f t="shared" si="152"/>
        <v>3484177.3000000007</v>
      </c>
      <c r="J522" s="166">
        <f t="shared" si="152"/>
        <v>0</v>
      </c>
      <c r="K522" s="166">
        <f t="shared" si="152"/>
        <v>0</v>
      </c>
      <c r="L522" s="166">
        <f t="shared" si="152"/>
        <v>3484177.3000000007</v>
      </c>
      <c r="M522" s="166">
        <f t="shared" si="152"/>
        <v>0</v>
      </c>
      <c r="N522" s="166">
        <f t="shared" si="152"/>
        <v>0</v>
      </c>
      <c r="O522" s="166">
        <f t="shared" si="152"/>
        <v>3484177.3000000007</v>
      </c>
      <c r="P522" s="166">
        <f t="shared" si="152"/>
        <v>0</v>
      </c>
      <c r="Q522" s="166">
        <f t="shared" si="152"/>
        <v>3484177.3000000007</v>
      </c>
    </row>
    <row r="523" spans="1:17" ht="12.75" customHeight="1">
      <c r="A523" s="53" t="s">
        <v>26</v>
      </c>
      <c r="B523" s="108"/>
      <c r="C523" s="297"/>
      <c r="D523" s="218"/>
      <c r="E523" s="218"/>
      <c r="F523" s="236"/>
      <c r="G523" s="277"/>
      <c r="H523" s="12"/>
      <c r="I523" s="258"/>
      <c r="J523" s="184"/>
      <c r="K523" s="12"/>
      <c r="L523" s="168"/>
      <c r="M523" s="15"/>
      <c r="N523" s="12"/>
      <c r="O523" s="61"/>
      <c r="P523" s="80"/>
      <c r="Q523" s="78"/>
    </row>
    <row r="524" spans="1:17" ht="13.5">
      <c r="A524" s="53" t="s">
        <v>129</v>
      </c>
      <c r="B524" s="108"/>
      <c r="C524" s="298">
        <v>400000</v>
      </c>
      <c r="D524" s="219">
        <v>500000</v>
      </c>
      <c r="E524" s="219"/>
      <c r="F524" s="237">
        <f>SUM(C524:E524)</f>
        <v>900000</v>
      </c>
      <c r="G524" s="278"/>
      <c r="H524" s="13"/>
      <c r="I524" s="259">
        <f>SUM(F524:H524)</f>
        <v>900000</v>
      </c>
      <c r="J524" s="185"/>
      <c r="K524" s="13"/>
      <c r="L524" s="168">
        <f>SUM(I524:K524)</f>
        <v>900000</v>
      </c>
      <c r="M524" s="16"/>
      <c r="N524" s="13"/>
      <c r="O524" s="61">
        <f>SUM(L524:N524)</f>
        <v>900000</v>
      </c>
      <c r="P524" s="80"/>
      <c r="Q524" s="78">
        <f t="shared" si="137"/>
        <v>900000</v>
      </c>
    </row>
    <row r="525" spans="1:17" ht="13.5" hidden="1">
      <c r="A525" s="54" t="s">
        <v>137</v>
      </c>
      <c r="B525" s="108"/>
      <c r="C525" s="298"/>
      <c r="D525" s="219"/>
      <c r="E525" s="219"/>
      <c r="F525" s="237">
        <f>SUM(C525:E525)</f>
        <v>0</v>
      </c>
      <c r="G525" s="278"/>
      <c r="H525" s="13"/>
      <c r="I525" s="259">
        <f>SUM(F525:H525)</f>
        <v>0</v>
      </c>
      <c r="J525" s="185"/>
      <c r="K525" s="13"/>
      <c r="L525" s="168">
        <f>SUM(I525:K525)</f>
        <v>0</v>
      </c>
      <c r="M525" s="16"/>
      <c r="N525" s="13"/>
      <c r="O525" s="61">
        <f>SUM(L525:N525)</f>
        <v>0</v>
      </c>
      <c r="P525" s="80"/>
      <c r="Q525" s="78">
        <f t="shared" si="137"/>
        <v>0</v>
      </c>
    </row>
    <row r="526" spans="1:17" ht="14.25" thickBot="1">
      <c r="A526" s="66" t="s">
        <v>130</v>
      </c>
      <c r="B526" s="109"/>
      <c r="C526" s="299"/>
      <c r="D526" s="220">
        <f>9657.33+24251.16+1733.68+710100.27+1033269.62+82262.27+5044.79+2000+1088.6+6.55+1818.82+2299.64+4394+3641.06+9011+200+51667.77+3643+200+15521.76+5347.5+118315.07+7243.82+14128.69+2179.42+7455.91+79590.79+5458.46+26046.79+2198.98+1029.92+26218.9+450+269.44+556+6011.14+1000+47194.15-0.27-5+131.48+1328.86+360+9.73+0.04+29670.7+241.62+235400.22</f>
        <v>2579643.6800000006</v>
      </c>
      <c r="E526" s="220">
        <v>1900</v>
      </c>
      <c r="F526" s="238">
        <f>SUM(C526:E526)</f>
        <v>2581543.6800000006</v>
      </c>
      <c r="G526" s="282">
        <f>135.18+2498.44</f>
        <v>2633.62</v>
      </c>
      <c r="H526" s="14"/>
      <c r="I526" s="260">
        <f>SUM(F526:H526)</f>
        <v>2584177.3000000007</v>
      </c>
      <c r="J526" s="186"/>
      <c r="K526" s="14"/>
      <c r="L526" s="169">
        <f>SUM(I526:K526)</f>
        <v>2584177.3000000007</v>
      </c>
      <c r="M526" s="65"/>
      <c r="N526" s="14"/>
      <c r="O526" s="63">
        <f>SUM(L526:N526)</f>
        <v>2584177.3000000007</v>
      </c>
      <c r="P526" s="82"/>
      <c r="Q526" s="79">
        <f t="shared" si="137"/>
        <v>2584177.3000000007</v>
      </c>
    </row>
    <row r="527" spans="1:17" ht="14.25" hidden="1" thickBot="1">
      <c r="A527" s="66" t="s">
        <v>149</v>
      </c>
      <c r="B527" s="109"/>
      <c r="C527" s="158"/>
      <c r="D527" s="144" t="s">
        <v>198</v>
      </c>
      <c r="E527" s="144"/>
      <c r="F527" s="167">
        <f>SUM(C527:E527)</f>
        <v>0</v>
      </c>
      <c r="G527" s="279"/>
      <c r="H527" s="14"/>
      <c r="I527" s="228">
        <f>SUM(F527:H527)</f>
        <v>0</v>
      </c>
      <c r="J527" s="189">
        <v>0</v>
      </c>
      <c r="K527" s="14">
        <v>0</v>
      </c>
      <c r="L527" s="169">
        <f>SUM(I527:K527)</f>
        <v>0</v>
      </c>
      <c r="M527" s="65"/>
      <c r="N527" s="14"/>
      <c r="O527" s="63">
        <f>SUM(L527:N527)</f>
        <v>0</v>
      </c>
      <c r="P527" s="82"/>
      <c r="Q527" s="79">
        <f t="shared" si="137"/>
        <v>0</v>
      </c>
    </row>
    <row r="528" spans="2:17" ht="12.75">
      <c r="B528" s="110"/>
      <c r="C528" s="124">
        <f aca="true" t="shared" si="153" ref="C528:Q528">C80+C522-C517</f>
        <v>0</v>
      </c>
      <c r="D528" s="124">
        <f t="shared" si="153"/>
        <v>0</v>
      </c>
      <c r="E528" s="124">
        <f t="shared" si="153"/>
        <v>0</v>
      </c>
      <c r="F528" s="124">
        <f t="shared" si="153"/>
        <v>0</v>
      </c>
      <c r="G528" s="136">
        <f>G80+G522-G517</f>
        <v>0</v>
      </c>
      <c r="H528" s="64">
        <f t="shared" si="153"/>
        <v>0</v>
      </c>
      <c r="I528" s="136">
        <f t="shared" si="153"/>
        <v>0</v>
      </c>
      <c r="J528" s="64">
        <f t="shared" si="153"/>
        <v>0</v>
      </c>
      <c r="K528" s="64">
        <f t="shared" si="153"/>
        <v>0</v>
      </c>
      <c r="L528" s="64">
        <f t="shared" si="153"/>
        <v>8307351.400000003</v>
      </c>
      <c r="M528" s="64">
        <f t="shared" si="153"/>
        <v>0</v>
      </c>
      <c r="N528" s="64">
        <f t="shared" si="153"/>
        <v>0</v>
      </c>
      <c r="O528" s="64">
        <f t="shared" si="153"/>
        <v>8307351.400000003</v>
      </c>
      <c r="P528" s="64">
        <f t="shared" si="153"/>
        <v>0</v>
      </c>
      <c r="Q528" s="64">
        <f t="shared" si="153"/>
        <v>8307351.400000003</v>
      </c>
    </row>
    <row r="529" spans="2:16" ht="12.75">
      <c r="B529" s="110"/>
      <c r="G529" s="136"/>
      <c r="P529" s="64"/>
    </row>
    <row r="530" spans="2:16" ht="12.75">
      <c r="B530" s="110"/>
      <c r="D530" s="136"/>
      <c r="G530" s="136"/>
      <c r="P530" s="64"/>
    </row>
    <row r="531" spans="2:16" ht="12.75">
      <c r="B531" s="110"/>
      <c r="G531" s="136"/>
      <c r="P531" s="64"/>
    </row>
    <row r="532" spans="2:16" ht="12.75">
      <c r="B532" s="110"/>
      <c r="G532" s="136"/>
      <c r="P532" s="64"/>
    </row>
    <row r="533" spans="2:16" ht="12.75">
      <c r="B533" s="110"/>
      <c r="G533" s="136"/>
      <c r="P533" s="64"/>
    </row>
    <row r="534" spans="2:16" ht="12.75">
      <c r="B534" s="110"/>
      <c r="G534" s="136"/>
      <c r="P534" s="64"/>
    </row>
    <row r="535" spans="2:16" ht="12.75">
      <c r="B535" s="110"/>
      <c r="G535" s="136"/>
      <c r="P535" s="64"/>
    </row>
    <row r="536" spans="2:16" ht="12.75">
      <c r="B536" s="110"/>
      <c r="G536" s="136"/>
      <c r="P536" s="64"/>
    </row>
    <row r="537" spans="2:16" ht="12.75">
      <c r="B537" s="110"/>
      <c r="G537" s="136"/>
      <c r="P537" s="64"/>
    </row>
    <row r="538" spans="2:16" ht="12.75">
      <c r="B538" s="110"/>
      <c r="G538" s="136"/>
      <c r="P538" s="64"/>
    </row>
    <row r="539" spans="2:16" ht="12.75">
      <c r="B539" s="110"/>
      <c r="G539" s="136"/>
      <c r="P539" s="64"/>
    </row>
    <row r="540" spans="2:16" ht="12.75">
      <c r="B540" s="110"/>
      <c r="G540" s="136"/>
      <c r="P540" s="64"/>
    </row>
    <row r="541" spans="2:16" ht="12.75">
      <c r="B541" s="110"/>
      <c r="G541" s="136"/>
      <c r="P541" s="64"/>
    </row>
    <row r="542" spans="2:16" ht="12.75">
      <c r="B542" s="110"/>
      <c r="G542" s="136"/>
      <c r="P542" s="64"/>
    </row>
    <row r="543" spans="2:16" ht="12.75">
      <c r="B543" s="110"/>
      <c r="G543" s="136"/>
      <c r="P543" s="64"/>
    </row>
    <row r="544" spans="2:16" ht="12.75">
      <c r="B544" s="110"/>
      <c r="G544" s="136"/>
      <c r="P544" s="64"/>
    </row>
    <row r="545" spans="2:16" ht="12.75">
      <c r="B545" s="110"/>
      <c r="G545" s="136"/>
      <c r="P545" s="64"/>
    </row>
    <row r="546" spans="2:16" ht="12.75">
      <c r="B546" s="110"/>
      <c r="G546" s="136"/>
      <c r="P546" s="64"/>
    </row>
    <row r="547" spans="2:16" ht="12.75">
      <c r="B547" s="110"/>
      <c r="G547" s="136"/>
      <c r="P547" s="64"/>
    </row>
    <row r="548" spans="7:16" ht="12.75">
      <c r="G548" s="136"/>
      <c r="P548" s="64"/>
    </row>
    <row r="549" spans="7:16" ht="12.75">
      <c r="G549" s="136"/>
      <c r="P549" s="64"/>
    </row>
    <row r="550" spans="7:16" ht="12.75">
      <c r="G550" s="136"/>
      <c r="P550" s="64"/>
    </row>
    <row r="551" spans="7:16" ht="12.75">
      <c r="G551" s="136"/>
      <c r="P551" s="64"/>
    </row>
    <row r="552" ht="12.75">
      <c r="P552" s="64"/>
    </row>
    <row r="553" ht="12.75">
      <c r="P553" s="64"/>
    </row>
    <row r="554" ht="12.75">
      <c r="P554" s="64"/>
    </row>
    <row r="555" ht="12.75">
      <c r="P555" s="64"/>
    </row>
    <row r="556" ht="12.75">
      <c r="P556" s="64"/>
    </row>
    <row r="557" ht="12.75">
      <c r="P557" s="64"/>
    </row>
    <row r="558" ht="12.75">
      <c r="P558" s="64"/>
    </row>
    <row r="559" ht="12.75">
      <c r="P559" s="64"/>
    </row>
    <row r="560" ht="12.75">
      <c r="P560" s="64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8" r:id="rId1"/>
  <headerFooter alignWithMargins="0">
    <oddFooter>&amp;CStránka &amp;P</oddFooter>
  </headerFooter>
  <rowBreaks count="4" manualBreakCount="4">
    <brk id="90" max="8" man="1"/>
    <brk id="203" max="8" man="1"/>
    <brk id="287" max="8" man="1"/>
    <brk id="3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1"/>
  <sheetViews>
    <sheetView tabSelected="1" zoomScaleSheetLayoutView="69" zoomScalePageLayoutView="0" workbookViewId="0" topLeftCell="A1">
      <pane xSplit="1" ySplit="9" topLeftCell="C1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484" sqref="I484"/>
    </sheetView>
  </sheetViews>
  <sheetFormatPr defaultColWidth="9.00390625" defaultRowHeight="12.75"/>
  <cols>
    <col min="1" max="1" width="48.375" style="0" customWidth="1"/>
    <col min="2" max="2" width="0.12890625" style="0" hidden="1" customWidth="1"/>
    <col min="3" max="3" width="15.375" style="0" customWidth="1"/>
    <col min="4" max="4" width="17.50390625" style="0" hidden="1" customWidth="1"/>
    <col min="5" max="5" width="12.00390625" style="0" hidden="1" customWidth="1"/>
    <col min="6" max="6" width="16.50390625" style="0" customWidth="1"/>
    <col min="7" max="7" width="12.50390625" style="0" customWidth="1"/>
    <col min="8" max="8" width="12.625" style="0" customWidth="1"/>
    <col min="9" max="9" width="15.50390625" style="0" customWidth="1"/>
    <col min="10" max="11" width="13.625" style="0" hidden="1" customWidth="1"/>
    <col min="12" max="12" width="17.125" style="0" hidden="1" customWidth="1"/>
    <col min="13" max="13" width="11.875" style="0" hidden="1" customWidth="1"/>
    <col min="14" max="14" width="13.50390625" style="0" hidden="1" customWidth="1"/>
    <col min="15" max="15" width="16.625" style="0" hidden="1" customWidth="1"/>
    <col min="16" max="16" width="13.375" style="0" hidden="1" customWidth="1"/>
    <col min="17" max="17" width="17.625" style="0" hidden="1" customWidth="1"/>
    <col min="19" max="19" width="15.125" style="0" customWidth="1"/>
  </cols>
  <sheetData>
    <row r="1" spans="3:17" ht="12.75">
      <c r="C1" s="1"/>
      <c r="D1" s="1"/>
      <c r="E1" s="1"/>
      <c r="F1" s="2"/>
      <c r="I1" s="2" t="s">
        <v>134</v>
      </c>
      <c r="L1" s="2"/>
      <c r="O1" s="2"/>
      <c r="Q1" s="2" t="s">
        <v>134</v>
      </c>
    </row>
    <row r="2" spans="3:6" ht="9.75" customHeight="1">
      <c r="C2" s="1"/>
      <c r="D2" s="1"/>
      <c r="E2" s="1"/>
      <c r="F2" s="2"/>
    </row>
    <row r="3" spans="1:17" ht="15">
      <c r="A3" s="326" t="s">
        <v>245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">
      <c r="A4" s="328" t="s">
        <v>282</v>
      </c>
      <c r="B4" s="32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3.5">
      <c r="A5" s="329" t="s">
        <v>0</v>
      </c>
      <c r="B5" s="329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12.75">
      <c r="A6" s="330" t="s">
        <v>1</v>
      </c>
      <c r="B6" s="33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3" ht="18" customHeight="1" thickBot="1">
      <c r="A7" s="3"/>
      <c r="B7" s="3"/>
      <c r="C7" s="4"/>
      <c r="D7" s="132"/>
      <c r="E7" s="4"/>
      <c r="F7" s="4"/>
      <c r="G7" s="62"/>
      <c r="J7" s="69"/>
      <c r="M7" s="62"/>
    </row>
    <row r="8" spans="1:17" ht="12.75">
      <c r="A8" s="331" t="s">
        <v>2</v>
      </c>
      <c r="B8" s="87" t="s">
        <v>231</v>
      </c>
      <c r="C8" s="288" t="s">
        <v>3</v>
      </c>
      <c r="D8" s="210" t="s">
        <v>4</v>
      </c>
      <c r="E8" s="210" t="s">
        <v>5</v>
      </c>
      <c r="F8" s="170" t="s">
        <v>6</v>
      </c>
      <c r="G8" s="17" t="s">
        <v>7</v>
      </c>
      <c r="H8" s="18" t="s">
        <v>5</v>
      </c>
      <c r="I8" s="19" t="s">
        <v>6</v>
      </c>
      <c r="J8" s="170" t="s">
        <v>8</v>
      </c>
      <c r="K8" s="18" t="s">
        <v>5</v>
      </c>
      <c r="L8" s="73" t="s">
        <v>6</v>
      </c>
      <c r="M8" s="17" t="s">
        <v>9</v>
      </c>
      <c r="N8" s="18" t="s">
        <v>5</v>
      </c>
      <c r="O8" s="19" t="s">
        <v>6</v>
      </c>
      <c r="P8" s="17" t="s">
        <v>159</v>
      </c>
      <c r="Q8" s="73" t="s">
        <v>6</v>
      </c>
    </row>
    <row r="9" spans="1:17" ht="13.5" thickBot="1">
      <c r="A9" s="332"/>
      <c r="B9" s="142" t="s">
        <v>174</v>
      </c>
      <c r="C9" s="289" t="s">
        <v>10</v>
      </c>
      <c r="D9" s="211" t="s">
        <v>11</v>
      </c>
      <c r="E9" s="211" t="s">
        <v>12</v>
      </c>
      <c r="F9" s="171" t="s">
        <v>13</v>
      </c>
      <c r="G9" s="58" t="s">
        <v>11</v>
      </c>
      <c r="H9" s="59" t="s">
        <v>12</v>
      </c>
      <c r="I9" s="60" t="s">
        <v>14</v>
      </c>
      <c r="J9" s="171" t="s">
        <v>11</v>
      </c>
      <c r="K9" s="59" t="s">
        <v>12</v>
      </c>
      <c r="L9" s="74" t="s">
        <v>15</v>
      </c>
      <c r="M9" s="58" t="s">
        <v>11</v>
      </c>
      <c r="N9" s="59" t="s">
        <v>12</v>
      </c>
      <c r="O9" s="60" t="s">
        <v>16</v>
      </c>
      <c r="P9" s="58" t="s">
        <v>11</v>
      </c>
      <c r="Q9" s="74" t="s">
        <v>160</v>
      </c>
    </row>
    <row r="10" spans="1:17" ht="15.75" customHeight="1">
      <c r="A10" s="56" t="s">
        <v>17</v>
      </c>
      <c r="B10" s="88"/>
      <c r="C10" s="290"/>
      <c r="D10" s="212"/>
      <c r="E10" s="212"/>
      <c r="F10" s="172"/>
      <c r="G10" s="29"/>
      <c r="H10" s="5"/>
      <c r="I10" s="57"/>
      <c r="J10" s="172"/>
      <c r="K10" s="5"/>
      <c r="L10" s="159"/>
      <c r="M10" s="29"/>
      <c r="N10" s="5"/>
      <c r="O10" s="57"/>
      <c r="P10" s="76"/>
      <c r="Q10" s="77"/>
    </row>
    <row r="11" spans="1:17" ht="12.75">
      <c r="A11" s="31" t="s">
        <v>221</v>
      </c>
      <c r="B11" s="89"/>
      <c r="C11" s="196">
        <f>C13+C14+C15+C16</f>
        <v>4637203.01</v>
      </c>
      <c r="D11" s="129">
        <f>D13+D14+D15+D16</f>
        <v>-93212.15</v>
      </c>
      <c r="E11" s="129">
        <f>E13+E14+E15</f>
        <v>0</v>
      </c>
      <c r="F11" s="140">
        <f>F13+F14+F15+F16</f>
        <v>4543990.859999999</v>
      </c>
      <c r="G11" s="111">
        <f>G13+G14+G15+G16</f>
        <v>814</v>
      </c>
      <c r="H11" s="307">
        <f aca="true" t="shared" si="0" ref="H11:Q11">H13+H14+H15+H16</f>
        <v>88608.29</v>
      </c>
      <c r="I11" s="243">
        <f t="shared" si="0"/>
        <v>4633413.149999999</v>
      </c>
      <c r="J11" s="140">
        <f t="shared" si="0"/>
        <v>0</v>
      </c>
      <c r="K11" s="140">
        <f t="shared" si="0"/>
        <v>0</v>
      </c>
      <c r="L11" s="140">
        <f t="shared" si="0"/>
        <v>26787.85</v>
      </c>
      <c r="M11" s="140">
        <f t="shared" si="0"/>
        <v>0</v>
      </c>
      <c r="N11" s="140">
        <f t="shared" si="0"/>
        <v>0</v>
      </c>
      <c r="O11" s="140">
        <f t="shared" si="0"/>
        <v>26787.85</v>
      </c>
      <c r="P11" s="140">
        <f t="shared" si="0"/>
        <v>0</v>
      </c>
      <c r="Q11" s="140">
        <f t="shared" si="0"/>
        <v>26787.85</v>
      </c>
    </row>
    <row r="12" spans="1:17" ht="12.75">
      <c r="A12" s="32" t="s">
        <v>18</v>
      </c>
      <c r="B12" s="90"/>
      <c r="C12" s="196"/>
      <c r="D12" s="129"/>
      <c r="E12" s="129"/>
      <c r="F12" s="140"/>
      <c r="G12" s="20"/>
      <c r="H12" s="307"/>
      <c r="I12" s="243"/>
      <c r="J12" s="130"/>
      <c r="K12" s="6"/>
      <c r="L12" s="68"/>
      <c r="M12" s="20"/>
      <c r="N12" s="6"/>
      <c r="O12" s="21"/>
      <c r="P12" s="80"/>
      <c r="Q12" s="78"/>
    </row>
    <row r="13" spans="1:17" ht="12.75">
      <c r="A13" s="98" t="s">
        <v>228</v>
      </c>
      <c r="B13" s="90"/>
      <c r="C13" s="197">
        <v>4633763.01</v>
      </c>
      <c r="D13" s="146">
        <v>-150000</v>
      </c>
      <c r="E13" s="129"/>
      <c r="F13" s="134">
        <f>C13+D13+E13</f>
        <v>4483763.01</v>
      </c>
      <c r="G13" s="114">
        <f>747</f>
        <v>747</v>
      </c>
      <c r="H13" s="308">
        <f>800+87808.29</f>
        <v>88608.29</v>
      </c>
      <c r="I13" s="244">
        <f>F13+G13+H13</f>
        <v>4573118.3</v>
      </c>
      <c r="J13" s="130"/>
      <c r="K13" s="6"/>
      <c r="L13" s="68"/>
      <c r="M13" s="20"/>
      <c r="N13" s="6"/>
      <c r="O13" s="21"/>
      <c r="P13" s="80"/>
      <c r="Q13" s="78"/>
    </row>
    <row r="14" spans="1:17" ht="12.75">
      <c r="A14" s="33" t="s">
        <v>19</v>
      </c>
      <c r="B14" s="91"/>
      <c r="C14" s="197"/>
      <c r="D14" s="215">
        <f>26787.85</f>
        <v>26787.85</v>
      </c>
      <c r="E14" s="146"/>
      <c r="F14" s="134">
        <f>C14+D14+E14</f>
        <v>26787.85</v>
      </c>
      <c r="G14" s="114"/>
      <c r="H14" s="307"/>
      <c r="I14" s="244">
        <f>F14+G14+H14</f>
        <v>26787.85</v>
      </c>
      <c r="J14" s="86"/>
      <c r="K14" s="6"/>
      <c r="L14" s="72">
        <f>I14+J14+K14</f>
        <v>26787.85</v>
      </c>
      <c r="M14" s="22"/>
      <c r="N14" s="6"/>
      <c r="O14" s="23">
        <f>L14+M14+N14</f>
        <v>26787.85</v>
      </c>
      <c r="P14" s="80"/>
      <c r="Q14" s="78">
        <f aca="true" t="shared" si="1" ref="Q14:Q77">O14+P14</f>
        <v>26787.85</v>
      </c>
    </row>
    <row r="15" spans="1:17" ht="12.75">
      <c r="A15" s="98" t="s">
        <v>229</v>
      </c>
      <c r="B15" s="91"/>
      <c r="C15" s="197">
        <v>3440</v>
      </c>
      <c r="D15" s="215"/>
      <c r="E15" s="146"/>
      <c r="F15" s="134">
        <f>C15+D15+E15</f>
        <v>3440</v>
      </c>
      <c r="G15" s="114">
        <f>67</f>
        <v>67</v>
      </c>
      <c r="H15" s="307"/>
      <c r="I15" s="244">
        <f>F15+G15+H15</f>
        <v>3507</v>
      </c>
      <c r="J15" s="86"/>
      <c r="K15" s="6"/>
      <c r="L15" s="72"/>
      <c r="M15" s="128"/>
      <c r="N15" s="6"/>
      <c r="O15" s="23"/>
      <c r="P15" s="139"/>
      <c r="Q15" s="78"/>
    </row>
    <row r="16" spans="1:17" ht="12.75">
      <c r="A16" s="98" t="s">
        <v>295</v>
      </c>
      <c r="B16" s="91"/>
      <c r="C16" s="197"/>
      <c r="D16" s="215">
        <f>30000</f>
        <v>30000</v>
      </c>
      <c r="E16" s="146"/>
      <c r="F16" s="134">
        <f>C16+D16+E16</f>
        <v>30000</v>
      </c>
      <c r="G16" s="114"/>
      <c r="H16" s="307"/>
      <c r="I16" s="244">
        <f>F16+G16+H16</f>
        <v>30000</v>
      </c>
      <c r="J16" s="86"/>
      <c r="K16" s="6"/>
      <c r="L16" s="86"/>
      <c r="M16" s="128"/>
      <c r="N16" s="208"/>
      <c r="O16" s="86"/>
      <c r="P16" s="139"/>
      <c r="Q16" s="78"/>
    </row>
    <row r="17" spans="1:17" ht="12.75">
      <c r="A17" s="31" t="s">
        <v>222</v>
      </c>
      <c r="B17" s="89"/>
      <c r="C17" s="196">
        <f aca="true" t="shared" si="2" ref="C17:Q17">SUM(C19:C25)+C32</f>
        <v>266083.59</v>
      </c>
      <c r="D17" s="129">
        <f t="shared" si="2"/>
        <v>2715.949999999997</v>
      </c>
      <c r="E17" s="129">
        <f t="shared" si="2"/>
        <v>0</v>
      </c>
      <c r="F17" s="140">
        <f t="shared" si="2"/>
        <v>268799.54</v>
      </c>
      <c r="G17" s="262">
        <f t="shared" si="2"/>
        <v>25399.82</v>
      </c>
      <c r="H17" s="307">
        <f t="shared" si="2"/>
        <v>987.92</v>
      </c>
      <c r="I17" s="243">
        <f t="shared" si="2"/>
        <v>295187.27999999997</v>
      </c>
      <c r="J17" s="129">
        <f t="shared" si="2"/>
        <v>0</v>
      </c>
      <c r="K17" s="129">
        <f t="shared" si="2"/>
        <v>0</v>
      </c>
      <c r="L17" s="129">
        <f t="shared" si="2"/>
        <v>295187.27999999997</v>
      </c>
      <c r="M17" s="129">
        <f t="shared" si="2"/>
        <v>0</v>
      </c>
      <c r="N17" s="129">
        <f t="shared" si="2"/>
        <v>0</v>
      </c>
      <c r="O17" s="129">
        <f t="shared" si="2"/>
        <v>295187.27999999997</v>
      </c>
      <c r="P17" s="129">
        <f t="shared" si="2"/>
        <v>0</v>
      </c>
      <c r="Q17" s="129">
        <f t="shared" si="2"/>
        <v>295187.27999999997</v>
      </c>
    </row>
    <row r="18" spans="1:17" ht="10.5" customHeight="1">
      <c r="A18" s="32" t="s">
        <v>20</v>
      </c>
      <c r="B18" s="90"/>
      <c r="C18" s="196"/>
      <c r="D18" s="129"/>
      <c r="E18" s="129"/>
      <c r="F18" s="140"/>
      <c r="G18" s="262"/>
      <c r="H18" s="307"/>
      <c r="I18" s="243"/>
      <c r="J18" s="130"/>
      <c r="K18" s="6"/>
      <c r="L18" s="68"/>
      <c r="M18" s="20"/>
      <c r="N18" s="6"/>
      <c r="O18" s="21"/>
      <c r="P18" s="80"/>
      <c r="Q18" s="78"/>
    </row>
    <row r="19" spans="1:17" ht="12.75">
      <c r="A19" s="33" t="s">
        <v>21</v>
      </c>
      <c r="B19" s="91"/>
      <c r="C19" s="197">
        <v>6000</v>
      </c>
      <c r="D19" s="146"/>
      <c r="E19" s="146"/>
      <c r="F19" s="134">
        <f>C19+D19+E19</f>
        <v>6000</v>
      </c>
      <c r="G19" s="263"/>
      <c r="H19" s="308"/>
      <c r="I19" s="244">
        <f>F19+G19+H19</f>
        <v>6000</v>
      </c>
      <c r="J19" s="86"/>
      <c r="K19" s="7"/>
      <c r="L19" s="72">
        <f>I19+J19+K19</f>
        <v>6000</v>
      </c>
      <c r="M19" s="22"/>
      <c r="N19" s="7"/>
      <c r="O19" s="23">
        <f>L19+M19+N19</f>
        <v>6000</v>
      </c>
      <c r="P19" s="80"/>
      <c r="Q19" s="78">
        <f t="shared" si="1"/>
        <v>6000</v>
      </c>
    </row>
    <row r="20" spans="1:17" ht="12.75">
      <c r="A20" s="98" t="s">
        <v>260</v>
      </c>
      <c r="B20" s="91"/>
      <c r="C20" s="197"/>
      <c r="D20" s="146">
        <f>213.18+5241.84+3126.66</f>
        <v>8581.68</v>
      </c>
      <c r="E20" s="146"/>
      <c r="F20" s="134">
        <f aca="true" t="shared" si="3" ref="F20:F32">C20+D20+E20</f>
        <v>8581.68</v>
      </c>
      <c r="G20" s="263">
        <f>14458.98+300+5932</f>
        <v>20690.98</v>
      </c>
      <c r="H20" s="308"/>
      <c r="I20" s="244">
        <f>F20+G20+H20</f>
        <v>29272.66</v>
      </c>
      <c r="J20" s="86"/>
      <c r="K20" s="7"/>
      <c r="L20" s="72">
        <f>I20+J20+K20</f>
        <v>29272.66</v>
      </c>
      <c r="M20" s="22"/>
      <c r="N20" s="7"/>
      <c r="O20" s="23">
        <f>L20+M20+N20</f>
        <v>29272.66</v>
      </c>
      <c r="P20" s="80"/>
      <c r="Q20" s="78">
        <f t="shared" si="1"/>
        <v>29272.66</v>
      </c>
    </row>
    <row r="21" spans="1:17" ht="12.75">
      <c r="A21" s="98" t="s">
        <v>266</v>
      </c>
      <c r="B21" s="91"/>
      <c r="C21" s="197">
        <v>30000</v>
      </c>
      <c r="D21" s="146">
        <f>-30000</f>
        <v>-30000</v>
      </c>
      <c r="E21" s="146"/>
      <c r="F21" s="134">
        <f t="shared" si="3"/>
        <v>0</v>
      </c>
      <c r="G21" s="263"/>
      <c r="H21" s="308"/>
      <c r="I21" s="244">
        <f>F21+G21+H21</f>
        <v>0</v>
      </c>
      <c r="J21" s="86"/>
      <c r="K21" s="7"/>
      <c r="L21" s="72">
        <f>I21+J21+K21</f>
        <v>0</v>
      </c>
      <c r="M21" s="22"/>
      <c r="N21" s="7"/>
      <c r="O21" s="23">
        <f>L21+M21+N21</f>
        <v>0</v>
      </c>
      <c r="P21" s="80"/>
      <c r="Q21" s="78">
        <f t="shared" si="1"/>
        <v>0</v>
      </c>
    </row>
    <row r="22" spans="1:17" ht="12.75">
      <c r="A22" s="34" t="s">
        <v>261</v>
      </c>
      <c r="B22" s="92"/>
      <c r="C22" s="197">
        <v>121834.08</v>
      </c>
      <c r="D22" s="146"/>
      <c r="E22" s="146"/>
      <c r="F22" s="134">
        <f t="shared" si="3"/>
        <v>121834.08</v>
      </c>
      <c r="G22" s="263"/>
      <c r="H22" s="308"/>
      <c r="I22" s="244">
        <f>F22+G22+H22</f>
        <v>121834.08</v>
      </c>
      <c r="J22" s="86"/>
      <c r="K22" s="7"/>
      <c r="L22" s="72">
        <f>I22+J22+K22</f>
        <v>121834.08</v>
      </c>
      <c r="M22" s="22"/>
      <c r="N22" s="7"/>
      <c r="O22" s="23">
        <f>L22+M22+N22</f>
        <v>121834.08</v>
      </c>
      <c r="P22" s="80"/>
      <c r="Q22" s="78">
        <f t="shared" si="1"/>
        <v>121834.08</v>
      </c>
    </row>
    <row r="23" spans="1:17" ht="12.75" hidden="1">
      <c r="A23" s="34" t="s">
        <v>262</v>
      </c>
      <c r="B23" s="92"/>
      <c r="C23" s="197"/>
      <c r="D23" s="146"/>
      <c r="E23" s="146"/>
      <c r="F23" s="134">
        <f t="shared" si="3"/>
        <v>0</v>
      </c>
      <c r="G23" s="263"/>
      <c r="H23" s="308"/>
      <c r="I23" s="244"/>
      <c r="J23" s="86"/>
      <c r="K23" s="7"/>
      <c r="L23" s="72"/>
      <c r="M23" s="22"/>
      <c r="N23" s="7"/>
      <c r="O23" s="23"/>
      <c r="P23" s="80"/>
      <c r="Q23" s="78"/>
    </row>
    <row r="24" spans="1:17" ht="12.75">
      <c r="A24" s="34" t="s">
        <v>263</v>
      </c>
      <c r="B24" s="92"/>
      <c r="C24" s="197"/>
      <c r="D24" s="146">
        <f>69.49+2718.44+50.49+432.1+127.5+46.95+16.23+160.66</f>
        <v>3621.859999999999</v>
      </c>
      <c r="E24" s="146"/>
      <c r="F24" s="134">
        <f t="shared" si="3"/>
        <v>3621.859999999999</v>
      </c>
      <c r="G24" s="263">
        <f>17.58+7.68+256.49+2092.13+484.9</f>
        <v>2858.78</v>
      </c>
      <c r="H24" s="308"/>
      <c r="I24" s="244">
        <f>F24+G24+H24</f>
        <v>6480.639999999999</v>
      </c>
      <c r="J24" s="86"/>
      <c r="K24" s="7"/>
      <c r="L24" s="72">
        <f>I24+J24+K24</f>
        <v>6480.639999999999</v>
      </c>
      <c r="M24" s="30"/>
      <c r="N24" s="7"/>
      <c r="O24" s="23">
        <f>L24+M24+N24</f>
        <v>6480.639999999999</v>
      </c>
      <c r="P24" s="80"/>
      <c r="Q24" s="78">
        <f t="shared" si="1"/>
        <v>6480.639999999999</v>
      </c>
    </row>
    <row r="25" spans="1:17" ht="12.75">
      <c r="A25" s="33" t="s">
        <v>22</v>
      </c>
      <c r="B25" s="91"/>
      <c r="C25" s="197">
        <f>SUM(C26:C31)</f>
        <v>108249.51000000001</v>
      </c>
      <c r="D25" s="146">
        <f>SUM(D26:D31)</f>
        <v>127.7</v>
      </c>
      <c r="E25" s="146">
        <f aca="true" t="shared" si="4" ref="E25:Q25">SUM(E26:E31)</f>
        <v>0</v>
      </c>
      <c r="F25" s="134">
        <f t="shared" si="4"/>
        <v>108377.20999999999</v>
      </c>
      <c r="G25" s="263">
        <f t="shared" si="4"/>
        <v>1826.4</v>
      </c>
      <c r="H25" s="308">
        <f t="shared" si="4"/>
        <v>0</v>
      </c>
      <c r="I25" s="244">
        <f t="shared" si="4"/>
        <v>110203.60999999999</v>
      </c>
      <c r="J25" s="134">
        <f t="shared" si="4"/>
        <v>0</v>
      </c>
      <c r="K25" s="113">
        <f t="shared" si="4"/>
        <v>0</v>
      </c>
      <c r="L25" s="146">
        <f t="shared" si="4"/>
        <v>110203.60999999999</v>
      </c>
      <c r="M25" s="114">
        <f t="shared" si="4"/>
        <v>0</v>
      </c>
      <c r="N25" s="114">
        <f t="shared" si="4"/>
        <v>0</v>
      </c>
      <c r="O25" s="114">
        <f t="shared" si="4"/>
        <v>110203.60999999999</v>
      </c>
      <c r="P25" s="114">
        <f t="shared" si="4"/>
        <v>0</v>
      </c>
      <c r="Q25" s="197">
        <f t="shared" si="4"/>
        <v>110203.60999999999</v>
      </c>
    </row>
    <row r="26" spans="1:17" ht="12.75">
      <c r="A26" s="33" t="s">
        <v>23</v>
      </c>
      <c r="B26" s="91"/>
      <c r="C26" s="197">
        <v>44302</v>
      </c>
      <c r="D26" s="146">
        <f>127.7</f>
        <v>127.7</v>
      </c>
      <c r="E26" s="146"/>
      <c r="F26" s="134">
        <f t="shared" si="3"/>
        <v>44429.7</v>
      </c>
      <c r="G26" s="263">
        <f>1397.7</f>
        <v>1397.7</v>
      </c>
      <c r="H26" s="308"/>
      <c r="I26" s="244">
        <f aca="true" t="shared" si="5" ref="I26:I32">F26+G26+H26</f>
        <v>45827.399999999994</v>
      </c>
      <c r="J26" s="86"/>
      <c r="K26" s="7"/>
      <c r="L26" s="72">
        <f aca="true" t="shared" si="6" ref="L26:L32">I26+J26+K26</f>
        <v>45827.399999999994</v>
      </c>
      <c r="M26" s="22"/>
      <c r="N26" s="7"/>
      <c r="O26" s="23">
        <f aca="true" t="shared" si="7" ref="O26:O32">L26+M26+N26</f>
        <v>45827.399999999994</v>
      </c>
      <c r="P26" s="80"/>
      <c r="Q26" s="78">
        <f t="shared" si="1"/>
        <v>45827.399999999994</v>
      </c>
    </row>
    <row r="27" spans="1:17" ht="12.75">
      <c r="A27" s="34" t="s">
        <v>146</v>
      </c>
      <c r="B27" s="92"/>
      <c r="C27" s="197">
        <v>899.66</v>
      </c>
      <c r="D27" s="146"/>
      <c r="E27" s="146"/>
      <c r="F27" s="134">
        <f t="shared" si="3"/>
        <v>899.66</v>
      </c>
      <c r="G27" s="263"/>
      <c r="H27" s="308"/>
      <c r="I27" s="244">
        <f t="shared" si="5"/>
        <v>899.66</v>
      </c>
      <c r="J27" s="86"/>
      <c r="K27" s="7"/>
      <c r="L27" s="72">
        <f t="shared" si="6"/>
        <v>899.66</v>
      </c>
      <c r="M27" s="22"/>
      <c r="N27" s="7"/>
      <c r="O27" s="23">
        <f t="shared" si="7"/>
        <v>899.66</v>
      </c>
      <c r="P27" s="80"/>
      <c r="Q27" s="78">
        <f t="shared" si="1"/>
        <v>899.66</v>
      </c>
    </row>
    <row r="28" spans="1:17" ht="12.75">
      <c r="A28" s="33" t="s">
        <v>24</v>
      </c>
      <c r="B28" s="91"/>
      <c r="C28" s="197">
        <v>23039</v>
      </c>
      <c r="D28" s="146"/>
      <c r="E28" s="146"/>
      <c r="F28" s="134">
        <f t="shared" si="3"/>
        <v>23039</v>
      </c>
      <c r="G28" s="263"/>
      <c r="H28" s="308"/>
      <c r="I28" s="244">
        <f t="shared" si="5"/>
        <v>23039</v>
      </c>
      <c r="J28" s="86"/>
      <c r="K28" s="7"/>
      <c r="L28" s="72">
        <f t="shared" si="6"/>
        <v>23039</v>
      </c>
      <c r="M28" s="22"/>
      <c r="N28" s="7"/>
      <c r="O28" s="23">
        <f t="shared" si="7"/>
        <v>23039</v>
      </c>
      <c r="P28" s="80"/>
      <c r="Q28" s="78">
        <f t="shared" si="1"/>
        <v>23039</v>
      </c>
    </row>
    <row r="29" spans="1:17" ht="12.75">
      <c r="A29" s="34" t="s">
        <v>147</v>
      </c>
      <c r="B29" s="92"/>
      <c r="C29" s="197">
        <v>9557.2</v>
      </c>
      <c r="D29" s="146"/>
      <c r="E29" s="146"/>
      <c r="F29" s="134">
        <f t="shared" si="3"/>
        <v>9557.2</v>
      </c>
      <c r="G29" s="263">
        <f>428.7</f>
        <v>428.7</v>
      </c>
      <c r="H29" s="308"/>
      <c r="I29" s="244">
        <f t="shared" si="5"/>
        <v>9985.900000000001</v>
      </c>
      <c r="J29" s="86"/>
      <c r="K29" s="7"/>
      <c r="L29" s="72">
        <f t="shared" si="6"/>
        <v>9985.900000000001</v>
      </c>
      <c r="M29" s="22"/>
      <c r="N29" s="7"/>
      <c r="O29" s="23">
        <f t="shared" si="7"/>
        <v>9985.900000000001</v>
      </c>
      <c r="P29" s="80"/>
      <c r="Q29" s="78">
        <f t="shared" si="1"/>
        <v>9985.900000000001</v>
      </c>
    </row>
    <row r="30" spans="1:17" ht="12.75">
      <c r="A30" s="34" t="s">
        <v>246</v>
      </c>
      <c r="B30" s="92"/>
      <c r="C30" s="197">
        <v>512.75</v>
      </c>
      <c r="D30" s="146"/>
      <c r="E30" s="146"/>
      <c r="F30" s="134">
        <f t="shared" si="3"/>
        <v>512.75</v>
      </c>
      <c r="G30" s="263"/>
      <c r="H30" s="308"/>
      <c r="I30" s="244">
        <f t="shared" si="5"/>
        <v>512.75</v>
      </c>
      <c r="J30" s="86"/>
      <c r="K30" s="7"/>
      <c r="L30" s="72">
        <f t="shared" si="6"/>
        <v>512.75</v>
      </c>
      <c r="M30" s="22"/>
      <c r="N30" s="7"/>
      <c r="O30" s="23">
        <f t="shared" si="7"/>
        <v>512.75</v>
      </c>
      <c r="P30" s="80"/>
      <c r="Q30" s="78">
        <f t="shared" si="1"/>
        <v>512.75</v>
      </c>
    </row>
    <row r="31" spans="1:17" ht="12.75">
      <c r="A31" s="34" t="s">
        <v>148</v>
      </c>
      <c r="B31" s="92"/>
      <c r="C31" s="197">
        <v>29938.9</v>
      </c>
      <c r="D31" s="146"/>
      <c r="E31" s="146"/>
      <c r="F31" s="134">
        <f t="shared" si="3"/>
        <v>29938.9</v>
      </c>
      <c r="G31" s="263"/>
      <c r="H31" s="308"/>
      <c r="I31" s="244">
        <f t="shared" si="5"/>
        <v>29938.9</v>
      </c>
      <c r="J31" s="86"/>
      <c r="K31" s="7"/>
      <c r="L31" s="72">
        <f t="shared" si="6"/>
        <v>29938.9</v>
      </c>
      <c r="M31" s="22"/>
      <c r="N31" s="7"/>
      <c r="O31" s="23">
        <f t="shared" si="7"/>
        <v>29938.9</v>
      </c>
      <c r="P31" s="80"/>
      <c r="Q31" s="78">
        <f>O31+P31</f>
        <v>29938.9</v>
      </c>
    </row>
    <row r="32" spans="1:17" ht="12.75">
      <c r="A32" s="34" t="s">
        <v>190</v>
      </c>
      <c r="B32" s="92"/>
      <c r="C32" s="197"/>
      <c r="D32" s="283">
        <f>725.52+16001.9+1847.46+821.71+940.71+47.41</f>
        <v>20384.709999999995</v>
      </c>
      <c r="E32" s="146"/>
      <c r="F32" s="134">
        <f t="shared" si="3"/>
        <v>20384.709999999995</v>
      </c>
      <c r="G32" s="281">
        <f>23.66</f>
        <v>23.66</v>
      </c>
      <c r="H32" s="300">
        <v>987.92</v>
      </c>
      <c r="I32" s="244">
        <f t="shared" si="5"/>
        <v>21396.289999999994</v>
      </c>
      <c r="J32" s="198"/>
      <c r="K32" s="187"/>
      <c r="L32" s="72">
        <f t="shared" si="6"/>
        <v>21396.289999999994</v>
      </c>
      <c r="M32" s="198"/>
      <c r="N32" s="198"/>
      <c r="O32" s="23">
        <f t="shared" si="7"/>
        <v>21396.289999999994</v>
      </c>
      <c r="P32" s="198"/>
      <c r="Q32" s="78">
        <f>O32+P32</f>
        <v>21396.289999999994</v>
      </c>
    </row>
    <row r="33" spans="1:17" ht="12.75" hidden="1">
      <c r="A33" s="35" t="s">
        <v>223</v>
      </c>
      <c r="B33" s="93"/>
      <c r="C33" s="199">
        <f>SUM(C35:C39)</f>
        <v>0</v>
      </c>
      <c r="D33" s="147">
        <f aca="true" t="shared" si="8" ref="D33:Q33">SUM(D35:D39)</f>
        <v>0</v>
      </c>
      <c r="E33" s="147">
        <f t="shared" si="8"/>
        <v>0</v>
      </c>
      <c r="F33" s="131">
        <f t="shared" si="8"/>
        <v>0</v>
      </c>
      <c r="G33" s="267">
        <f t="shared" si="8"/>
        <v>0</v>
      </c>
      <c r="H33" s="309">
        <f t="shared" si="8"/>
        <v>0</v>
      </c>
      <c r="I33" s="226">
        <f t="shared" si="8"/>
        <v>0</v>
      </c>
      <c r="J33" s="131">
        <f t="shared" si="8"/>
        <v>0</v>
      </c>
      <c r="K33" s="116">
        <f t="shared" si="8"/>
        <v>0</v>
      </c>
      <c r="L33" s="147">
        <f t="shared" si="8"/>
        <v>0</v>
      </c>
      <c r="M33" s="115">
        <f t="shared" si="8"/>
        <v>0</v>
      </c>
      <c r="N33" s="115">
        <f t="shared" si="8"/>
        <v>0</v>
      </c>
      <c r="O33" s="115">
        <f t="shared" si="8"/>
        <v>0</v>
      </c>
      <c r="P33" s="115">
        <f t="shared" si="8"/>
        <v>0</v>
      </c>
      <c r="Q33" s="199">
        <f t="shared" si="8"/>
        <v>0</v>
      </c>
    </row>
    <row r="34" spans="1:17" ht="11.25" customHeight="1" hidden="1">
      <c r="A34" s="32" t="s">
        <v>20</v>
      </c>
      <c r="B34" s="90"/>
      <c r="C34" s="197"/>
      <c r="D34" s="146"/>
      <c r="E34" s="146"/>
      <c r="F34" s="134"/>
      <c r="G34" s="263"/>
      <c r="H34" s="308"/>
      <c r="I34" s="244"/>
      <c r="J34" s="86"/>
      <c r="K34" s="7"/>
      <c r="L34" s="72"/>
      <c r="M34" s="22"/>
      <c r="N34" s="7"/>
      <c r="O34" s="23"/>
      <c r="P34" s="80"/>
      <c r="Q34" s="78"/>
    </row>
    <row r="35" spans="1:17" ht="12.75" hidden="1">
      <c r="A35" s="98" t="s">
        <v>109</v>
      </c>
      <c r="B35" s="91"/>
      <c r="C35" s="197"/>
      <c r="D35" s="146"/>
      <c r="E35" s="146"/>
      <c r="F35" s="134">
        <f>C35+D35+E35</f>
        <v>0</v>
      </c>
      <c r="G35" s="263"/>
      <c r="H35" s="308"/>
      <c r="I35" s="244">
        <f>F35+G35+H35</f>
        <v>0</v>
      </c>
      <c r="J35" s="86"/>
      <c r="K35" s="7"/>
      <c r="L35" s="72">
        <f>I35+J35+K35</f>
        <v>0</v>
      </c>
      <c r="M35" s="22"/>
      <c r="N35" s="7"/>
      <c r="O35" s="23">
        <f>L35+M35+N35</f>
        <v>0</v>
      </c>
      <c r="P35" s="80"/>
      <c r="Q35" s="78">
        <f t="shared" si="1"/>
        <v>0</v>
      </c>
    </row>
    <row r="36" spans="1:17" ht="12.75" hidden="1">
      <c r="A36" s="34" t="s">
        <v>104</v>
      </c>
      <c r="B36" s="92"/>
      <c r="C36" s="197"/>
      <c r="D36" s="146"/>
      <c r="E36" s="146"/>
      <c r="F36" s="134">
        <f>C36+D36+E36</f>
        <v>0</v>
      </c>
      <c r="G36" s="263"/>
      <c r="H36" s="308"/>
      <c r="I36" s="244">
        <f>F36+G36+H36</f>
        <v>0</v>
      </c>
      <c r="J36" s="239"/>
      <c r="K36" s="7"/>
      <c r="L36" s="72">
        <f>I36+J36+K36</f>
        <v>0</v>
      </c>
      <c r="M36" s="30"/>
      <c r="N36" s="7"/>
      <c r="O36" s="23">
        <f>L36+M36+N36</f>
        <v>0</v>
      </c>
      <c r="P36" s="80"/>
      <c r="Q36" s="78">
        <f t="shared" si="1"/>
        <v>0</v>
      </c>
    </row>
    <row r="37" spans="1:17" ht="12.75" hidden="1">
      <c r="A37" s="34" t="s">
        <v>107</v>
      </c>
      <c r="B37" s="92"/>
      <c r="C37" s="197"/>
      <c r="D37" s="146"/>
      <c r="E37" s="146"/>
      <c r="F37" s="134">
        <f>C37+D37+E37</f>
        <v>0</v>
      </c>
      <c r="G37" s="263"/>
      <c r="H37" s="308"/>
      <c r="I37" s="244"/>
      <c r="J37" s="239"/>
      <c r="K37" s="7"/>
      <c r="L37" s="72"/>
      <c r="M37" s="30"/>
      <c r="N37" s="7"/>
      <c r="O37" s="23"/>
      <c r="P37" s="80"/>
      <c r="Q37" s="78"/>
    </row>
    <row r="38" spans="1:17" ht="12.75" hidden="1">
      <c r="A38" s="34" t="s">
        <v>114</v>
      </c>
      <c r="B38" s="92"/>
      <c r="C38" s="197"/>
      <c r="D38" s="146"/>
      <c r="E38" s="146"/>
      <c r="F38" s="134">
        <f>C38+D38+E38</f>
        <v>0</v>
      </c>
      <c r="G38" s="263"/>
      <c r="H38" s="308"/>
      <c r="I38" s="244">
        <f>F38+G38+H38</f>
        <v>0</v>
      </c>
      <c r="J38" s="239"/>
      <c r="K38" s="7"/>
      <c r="L38" s="72">
        <f>I38+J38+K38</f>
        <v>0</v>
      </c>
      <c r="M38" s="30"/>
      <c r="N38" s="7"/>
      <c r="O38" s="23">
        <f>L38+M38+N38</f>
        <v>0</v>
      </c>
      <c r="P38" s="80"/>
      <c r="Q38" s="78">
        <f t="shared" si="1"/>
        <v>0</v>
      </c>
    </row>
    <row r="39" spans="1:17" ht="12.75" hidden="1">
      <c r="A39" s="98" t="s">
        <v>247</v>
      </c>
      <c r="B39" s="91"/>
      <c r="C39" s="197">
        <v>0</v>
      </c>
      <c r="D39" s="146"/>
      <c r="E39" s="146"/>
      <c r="F39" s="134">
        <f>C39+D39+E39</f>
        <v>0</v>
      </c>
      <c r="G39" s="263"/>
      <c r="H39" s="308"/>
      <c r="I39" s="244">
        <f>F39+G39+H39</f>
        <v>0</v>
      </c>
      <c r="J39" s="86"/>
      <c r="K39" s="7"/>
      <c r="L39" s="72">
        <f>I39+J39+K39</f>
        <v>0</v>
      </c>
      <c r="M39" s="22"/>
      <c r="N39" s="7"/>
      <c r="O39" s="23">
        <f>L39+M39+N39</f>
        <v>0</v>
      </c>
      <c r="P39" s="80"/>
      <c r="Q39" s="78">
        <f t="shared" si="1"/>
        <v>0</v>
      </c>
    </row>
    <row r="40" spans="1:17" ht="12.75">
      <c r="A40" s="35" t="s">
        <v>224</v>
      </c>
      <c r="B40" s="91"/>
      <c r="C40" s="197"/>
      <c r="D40" s="146"/>
      <c r="E40" s="146"/>
      <c r="F40" s="134"/>
      <c r="G40" s="263"/>
      <c r="H40" s="308"/>
      <c r="I40" s="244"/>
      <c r="J40" s="86"/>
      <c r="K40" s="7"/>
      <c r="L40" s="72"/>
      <c r="M40" s="22"/>
      <c r="N40" s="7"/>
      <c r="O40" s="23"/>
      <c r="P40" s="80"/>
      <c r="Q40" s="78"/>
    </row>
    <row r="41" spans="1:17" ht="12.75">
      <c r="A41" s="31" t="s">
        <v>25</v>
      </c>
      <c r="B41" s="89"/>
      <c r="C41" s="196">
        <f>SUM(C43:C62)</f>
        <v>101226.4</v>
      </c>
      <c r="D41" s="129">
        <f aca="true" t="shared" si="9" ref="D41:Q41">SUM(D43:D62)</f>
        <v>9465761.450000001</v>
      </c>
      <c r="E41" s="129">
        <f t="shared" si="9"/>
        <v>0</v>
      </c>
      <c r="F41" s="140">
        <f t="shared" si="9"/>
        <v>9566987.850000001</v>
      </c>
      <c r="G41" s="262">
        <f t="shared" si="9"/>
        <v>196171.99999999997</v>
      </c>
      <c r="H41" s="307">
        <f t="shared" si="9"/>
        <v>0</v>
      </c>
      <c r="I41" s="243">
        <f t="shared" si="9"/>
        <v>9763159.850000001</v>
      </c>
      <c r="J41" s="129">
        <f t="shared" si="9"/>
        <v>0</v>
      </c>
      <c r="K41" s="129">
        <f t="shared" si="9"/>
        <v>0</v>
      </c>
      <c r="L41" s="129">
        <f t="shared" si="9"/>
        <v>9763159.850000001</v>
      </c>
      <c r="M41" s="129">
        <f t="shared" si="9"/>
        <v>0</v>
      </c>
      <c r="N41" s="129">
        <f t="shared" si="9"/>
        <v>0</v>
      </c>
      <c r="O41" s="129">
        <f t="shared" si="9"/>
        <v>9763159.850000001</v>
      </c>
      <c r="P41" s="129">
        <f t="shared" si="9"/>
        <v>0</v>
      </c>
      <c r="Q41" s="129">
        <f t="shared" si="9"/>
        <v>9763159.850000001</v>
      </c>
    </row>
    <row r="42" spans="1:17" ht="10.5" customHeight="1">
      <c r="A42" s="36" t="s">
        <v>26</v>
      </c>
      <c r="B42" s="94"/>
      <c r="C42" s="197"/>
      <c r="D42" s="146"/>
      <c r="E42" s="146"/>
      <c r="F42" s="134"/>
      <c r="G42" s="263"/>
      <c r="H42" s="308"/>
      <c r="I42" s="244"/>
      <c r="J42" s="86"/>
      <c r="K42" s="7"/>
      <c r="L42" s="72"/>
      <c r="M42" s="22"/>
      <c r="N42" s="7"/>
      <c r="O42" s="23"/>
      <c r="P42" s="80"/>
      <c r="Q42" s="78"/>
    </row>
    <row r="43" spans="1:17" ht="12.75">
      <c r="A43" s="34" t="s">
        <v>27</v>
      </c>
      <c r="B43" s="92"/>
      <c r="C43" s="197">
        <v>100976.4</v>
      </c>
      <c r="D43" s="146"/>
      <c r="E43" s="146"/>
      <c r="F43" s="134">
        <f aca="true" t="shared" si="10" ref="F43:F62">C43+D43+E43</f>
        <v>100976.4</v>
      </c>
      <c r="G43" s="263"/>
      <c r="H43" s="308"/>
      <c r="I43" s="244">
        <f>F43+G43+H43</f>
        <v>100976.4</v>
      </c>
      <c r="J43" s="86"/>
      <c r="K43" s="7"/>
      <c r="L43" s="72">
        <f>I43+J43+K43</f>
        <v>100976.4</v>
      </c>
      <c r="M43" s="22"/>
      <c r="N43" s="7"/>
      <c r="O43" s="23">
        <f>L43+M43+N43</f>
        <v>100976.4</v>
      </c>
      <c r="P43" s="80"/>
      <c r="Q43" s="78">
        <f t="shared" si="1"/>
        <v>100976.4</v>
      </c>
    </row>
    <row r="44" spans="1:17" ht="12.75">
      <c r="A44" s="34" t="s">
        <v>28</v>
      </c>
      <c r="B44" s="92"/>
      <c r="C44" s="197"/>
      <c r="D44" s="146">
        <f>65.31+3.5+59.04+89.73+48+59.26+24+22.5+24+15</f>
        <v>410.34</v>
      </c>
      <c r="E44" s="146"/>
      <c r="F44" s="134">
        <f t="shared" si="10"/>
        <v>410.34</v>
      </c>
      <c r="G44" s="263">
        <f>45.68+40.61+12+32.99+10000+53.3+6+19+12+3.5+14+23.59+126.55+48+39.36+39+12+20.44+44.11+23.01+150+30+6+68+38.81</f>
        <v>10907.95</v>
      </c>
      <c r="H44" s="308"/>
      <c r="I44" s="244">
        <f aca="true" t="shared" si="11" ref="I44:I62">F44+G44+H44</f>
        <v>11318.29</v>
      </c>
      <c r="J44" s="86"/>
      <c r="K44" s="7"/>
      <c r="L44" s="72">
        <f aca="true" t="shared" si="12" ref="L44:L62">I44+J44+K44</f>
        <v>11318.29</v>
      </c>
      <c r="M44" s="22"/>
      <c r="N44" s="7"/>
      <c r="O44" s="23">
        <f aca="true" t="shared" si="13" ref="O44:O62">L44+M44+N44</f>
        <v>11318.29</v>
      </c>
      <c r="P44" s="80"/>
      <c r="Q44" s="78">
        <f t="shared" si="1"/>
        <v>11318.29</v>
      </c>
    </row>
    <row r="45" spans="1:17" ht="12.75">
      <c r="A45" s="34" t="s">
        <v>29</v>
      </c>
      <c r="B45" s="92"/>
      <c r="C45" s="197"/>
      <c r="D45" s="146">
        <f>100779.32+10991.83+8106896.7+4982.3+1658.34+1744.74</f>
        <v>8227053.23</v>
      </c>
      <c r="E45" s="146"/>
      <c r="F45" s="134">
        <f t="shared" si="10"/>
        <v>8227053.23</v>
      </c>
      <c r="G45" s="263">
        <f>6566.9+2996+3355.18+7600+953.09+1490.9+1598.95+735+91445.3+93.4+1500+2070+1805</f>
        <v>122209.72</v>
      </c>
      <c r="H45" s="308"/>
      <c r="I45" s="244">
        <f t="shared" si="11"/>
        <v>8349262.95</v>
      </c>
      <c r="J45" s="86"/>
      <c r="K45" s="7"/>
      <c r="L45" s="72">
        <f t="shared" si="12"/>
        <v>8349262.95</v>
      </c>
      <c r="M45" s="22"/>
      <c r="N45" s="7"/>
      <c r="O45" s="23">
        <f t="shared" si="13"/>
        <v>8349262.95</v>
      </c>
      <c r="P45" s="80"/>
      <c r="Q45" s="78">
        <f t="shared" si="1"/>
        <v>8349262.95</v>
      </c>
    </row>
    <row r="46" spans="1:17" ht="12.75">
      <c r="A46" s="34" t="s">
        <v>30</v>
      </c>
      <c r="B46" s="92"/>
      <c r="C46" s="197"/>
      <c r="D46" s="146">
        <f>1738.53+960818.68+2217.64+7000</f>
        <v>971774.8500000001</v>
      </c>
      <c r="E46" s="146"/>
      <c r="F46" s="134">
        <f t="shared" si="10"/>
        <v>971774.8500000001</v>
      </c>
      <c r="G46" s="263">
        <f>638.93+9217.43+3267.11+3408.25+1664.94+234.94+15728.88+887.92+1323.92</f>
        <v>36372.31999999999</v>
      </c>
      <c r="H46" s="308"/>
      <c r="I46" s="244">
        <f t="shared" si="11"/>
        <v>1008147.17</v>
      </c>
      <c r="J46" s="86"/>
      <c r="K46" s="7"/>
      <c r="L46" s="72">
        <f t="shared" si="12"/>
        <v>1008147.17</v>
      </c>
      <c r="M46" s="22"/>
      <c r="N46" s="7"/>
      <c r="O46" s="23">
        <f t="shared" si="13"/>
        <v>1008147.17</v>
      </c>
      <c r="P46" s="80"/>
      <c r="Q46" s="78">
        <f t="shared" si="1"/>
        <v>1008147.17</v>
      </c>
    </row>
    <row r="47" spans="1:17" ht="12.75">
      <c r="A47" s="34" t="s">
        <v>31</v>
      </c>
      <c r="B47" s="92"/>
      <c r="C47" s="197"/>
      <c r="D47" s="146">
        <f>558.14+13.91</f>
        <v>572.05</v>
      </c>
      <c r="E47" s="146"/>
      <c r="F47" s="134">
        <f t="shared" si="10"/>
        <v>572.05</v>
      </c>
      <c r="G47" s="263">
        <f>5454.12+50.82+564.59+993.63+1090.57</f>
        <v>8153.73</v>
      </c>
      <c r="H47" s="308"/>
      <c r="I47" s="244">
        <f t="shared" si="11"/>
        <v>8725.779999999999</v>
      </c>
      <c r="J47" s="86"/>
      <c r="K47" s="7"/>
      <c r="L47" s="72">
        <f t="shared" si="12"/>
        <v>8725.779999999999</v>
      </c>
      <c r="M47" s="22"/>
      <c r="N47" s="7"/>
      <c r="O47" s="23">
        <f t="shared" si="13"/>
        <v>8725.779999999999</v>
      </c>
      <c r="P47" s="80"/>
      <c r="Q47" s="78">
        <f t="shared" si="1"/>
        <v>8725.779999999999</v>
      </c>
    </row>
    <row r="48" spans="1:17" ht="12.75">
      <c r="A48" s="34" t="s">
        <v>32</v>
      </c>
      <c r="B48" s="92"/>
      <c r="C48" s="197"/>
      <c r="D48" s="146"/>
      <c r="E48" s="146"/>
      <c r="F48" s="134">
        <f t="shared" si="10"/>
        <v>0</v>
      </c>
      <c r="G48" s="263">
        <f>306+490.3+108+110+167+65</f>
        <v>1246.3</v>
      </c>
      <c r="H48" s="308"/>
      <c r="I48" s="244">
        <f t="shared" si="11"/>
        <v>1246.3</v>
      </c>
      <c r="J48" s="86"/>
      <c r="K48" s="7"/>
      <c r="L48" s="72">
        <f t="shared" si="12"/>
        <v>1246.3</v>
      </c>
      <c r="M48" s="22"/>
      <c r="N48" s="7"/>
      <c r="O48" s="23">
        <f t="shared" si="13"/>
        <v>1246.3</v>
      </c>
      <c r="P48" s="80"/>
      <c r="Q48" s="78">
        <f t="shared" si="1"/>
        <v>1246.3</v>
      </c>
    </row>
    <row r="49" spans="1:17" ht="12.75">
      <c r="A49" s="34" t="s">
        <v>33</v>
      </c>
      <c r="B49" s="92"/>
      <c r="C49" s="197"/>
      <c r="D49" s="146"/>
      <c r="E49" s="146"/>
      <c r="F49" s="134">
        <f t="shared" si="10"/>
        <v>0</v>
      </c>
      <c r="G49" s="263">
        <f>2000+5154.15+3197.37+3341.47</f>
        <v>13692.99</v>
      </c>
      <c r="H49" s="308"/>
      <c r="I49" s="244">
        <f t="shared" si="11"/>
        <v>13692.99</v>
      </c>
      <c r="J49" s="86"/>
      <c r="K49" s="7"/>
      <c r="L49" s="72">
        <f t="shared" si="12"/>
        <v>13692.99</v>
      </c>
      <c r="M49" s="22"/>
      <c r="N49" s="7"/>
      <c r="O49" s="23">
        <f t="shared" si="13"/>
        <v>13692.99</v>
      </c>
      <c r="P49" s="80"/>
      <c r="Q49" s="78">
        <f t="shared" si="1"/>
        <v>13692.99</v>
      </c>
    </row>
    <row r="50" spans="1:17" ht="12.75">
      <c r="A50" s="34" t="s">
        <v>34</v>
      </c>
      <c r="B50" s="92"/>
      <c r="C50" s="197"/>
      <c r="D50" s="146">
        <f>1645+1275</f>
        <v>2920</v>
      </c>
      <c r="E50" s="146"/>
      <c r="F50" s="134">
        <f t="shared" si="10"/>
        <v>2920</v>
      </c>
      <c r="G50" s="263"/>
      <c r="H50" s="308"/>
      <c r="I50" s="244">
        <f t="shared" si="11"/>
        <v>2920</v>
      </c>
      <c r="J50" s="86"/>
      <c r="K50" s="7"/>
      <c r="L50" s="72">
        <f t="shared" si="12"/>
        <v>2920</v>
      </c>
      <c r="M50" s="22"/>
      <c r="N50" s="7"/>
      <c r="O50" s="23">
        <f t="shared" si="13"/>
        <v>2920</v>
      </c>
      <c r="P50" s="80"/>
      <c r="Q50" s="78">
        <f t="shared" si="1"/>
        <v>2920</v>
      </c>
    </row>
    <row r="51" spans="1:17" ht="12.75">
      <c r="A51" s="34" t="s">
        <v>139</v>
      </c>
      <c r="B51" s="92"/>
      <c r="C51" s="197"/>
      <c r="D51" s="146">
        <f>223545.15</f>
        <v>223545.15</v>
      </c>
      <c r="E51" s="146"/>
      <c r="F51" s="134">
        <f t="shared" si="10"/>
        <v>223545.15</v>
      </c>
      <c r="G51" s="263">
        <f>1560</f>
        <v>1560</v>
      </c>
      <c r="H51" s="308"/>
      <c r="I51" s="244">
        <f t="shared" si="11"/>
        <v>225105.15</v>
      </c>
      <c r="J51" s="86"/>
      <c r="K51" s="7"/>
      <c r="L51" s="72">
        <f t="shared" si="12"/>
        <v>225105.15</v>
      </c>
      <c r="M51" s="22"/>
      <c r="N51" s="7"/>
      <c r="O51" s="23">
        <f t="shared" si="13"/>
        <v>225105.15</v>
      </c>
      <c r="P51" s="80"/>
      <c r="Q51" s="78">
        <f t="shared" si="1"/>
        <v>225105.15</v>
      </c>
    </row>
    <row r="52" spans="1:17" ht="12.75">
      <c r="A52" s="34" t="s">
        <v>152</v>
      </c>
      <c r="B52" s="92"/>
      <c r="C52" s="197"/>
      <c r="D52" s="146">
        <f>4049.47</f>
        <v>4049.47</v>
      </c>
      <c r="E52" s="146"/>
      <c r="F52" s="134">
        <f t="shared" si="10"/>
        <v>4049.47</v>
      </c>
      <c r="G52" s="263"/>
      <c r="H52" s="308"/>
      <c r="I52" s="244">
        <f t="shared" si="11"/>
        <v>4049.47</v>
      </c>
      <c r="J52" s="86"/>
      <c r="K52" s="7"/>
      <c r="L52" s="72">
        <f t="shared" si="12"/>
        <v>4049.47</v>
      </c>
      <c r="M52" s="22"/>
      <c r="N52" s="7"/>
      <c r="O52" s="23">
        <f t="shared" si="13"/>
        <v>4049.47</v>
      </c>
      <c r="P52" s="80"/>
      <c r="Q52" s="78">
        <f t="shared" si="1"/>
        <v>4049.47</v>
      </c>
    </row>
    <row r="53" spans="1:17" ht="12.75">
      <c r="A53" s="34" t="s">
        <v>35</v>
      </c>
      <c r="B53" s="92"/>
      <c r="C53" s="197"/>
      <c r="D53" s="146">
        <f>405.5</f>
        <v>405.5</v>
      </c>
      <c r="E53" s="146"/>
      <c r="F53" s="134">
        <f t="shared" si="10"/>
        <v>405.5</v>
      </c>
      <c r="G53" s="263"/>
      <c r="H53" s="308"/>
      <c r="I53" s="244">
        <f t="shared" si="11"/>
        <v>405.5</v>
      </c>
      <c r="J53" s="86"/>
      <c r="K53" s="7"/>
      <c r="L53" s="72">
        <f t="shared" si="12"/>
        <v>405.5</v>
      </c>
      <c r="M53" s="22"/>
      <c r="N53" s="7"/>
      <c r="O53" s="23">
        <f t="shared" si="13"/>
        <v>405.5</v>
      </c>
      <c r="P53" s="85"/>
      <c r="Q53" s="78">
        <f t="shared" si="1"/>
        <v>405.5</v>
      </c>
    </row>
    <row r="54" spans="1:17" ht="12.75">
      <c r="A54" s="34" t="s">
        <v>36</v>
      </c>
      <c r="B54" s="92"/>
      <c r="C54" s="197"/>
      <c r="D54" s="146"/>
      <c r="E54" s="146"/>
      <c r="F54" s="134">
        <f t="shared" si="10"/>
        <v>0</v>
      </c>
      <c r="G54" s="263">
        <f>500+284+381</f>
        <v>1165</v>
      </c>
      <c r="H54" s="308"/>
      <c r="I54" s="244">
        <f t="shared" si="11"/>
        <v>1165</v>
      </c>
      <c r="J54" s="239"/>
      <c r="K54" s="7"/>
      <c r="L54" s="72">
        <f t="shared" si="12"/>
        <v>1165</v>
      </c>
      <c r="M54" s="22"/>
      <c r="N54" s="7"/>
      <c r="O54" s="23">
        <f t="shared" si="13"/>
        <v>1165</v>
      </c>
      <c r="P54" s="80"/>
      <c r="Q54" s="78">
        <f t="shared" si="1"/>
        <v>1165</v>
      </c>
    </row>
    <row r="55" spans="1:17" ht="12.75" hidden="1">
      <c r="A55" s="34" t="s">
        <v>199</v>
      </c>
      <c r="B55" s="92"/>
      <c r="C55" s="197"/>
      <c r="D55" s="146"/>
      <c r="E55" s="146"/>
      <c r="F55" s="134">
        <f t="shared" si="10"/>
        <v>0</v>
      </c>
      <c r="G55" s="263"/>
      <c r="H55" s="308"/>
      <c r="I55" s="244">
        <f t="shared" si="11"/>
        <v>0</v>
      </c>
      <c r="J55" s="239"/>
      <c r="K55" s="7"/>
      <c r="L55" s="72"/>
      <c r="M55" s="22"/>
      <c r="N55" s="7"/>
      <c r="O55" s="23"/>
      <c r="P55" s="80"/>
      <c r="Q55" s="78"/>
    </row>
    <row r="56" spans="1:17" ht="12.75" hidden="1">
      <c r="A56" s="34" t="s">
        <v>153</v>
      </c>
      <c r="B56" s="92"/>
      <c r="C56" s="197"/>
      <c r="D56" s="146"/>
      <c r="E56" s="146"/>
      <c r="F56" s="134">
        <f t="shared" si="10"/>
        <v>0</v>
      </c>
      <c r="G56" s="263"/>
      <c r="H56" s="308"/>
      <c r="I56" s="244">
        <f t="shared" si="11"/>
        <v>0</v>
      </c>
      <c r="J56" s="239"/>
      <c r="K56" s="7"/>
      <c r="L56" s="72"/>
      <c r="M56" s="22"/>
      <c r="N56" s="7"/>
      <c r="O56" s="23">
        <f t="shared" si="13"/>
        <v>0</v>
      </c>
      <c r="P56" s="80"/>
      <c r="Q56" s="78">
        <f t="shared" si="1"/>
        <v>0</v>
      </c>
    </row>
    <row r="57" spans="1:17" ht="12.75" hidden="1">
      <c r="A57" s="34" t="s">
        <v>37</v>
      </c>
      <c r="B57" s="92"/>
      <c r="C57" s="197"/>
      <c r="D57" s="146"/>
      <c r="E57" s="146"/>
      <c r="F57" s="134">
        <f t="shared" si="10"/>
        <v>0</v>
      </c>
      <c r="G57" s="263"/>
      <c r="H57" s="308"/>
      <c r="I57" s="244">
        <f t="shared" si="11"/>
        <v>0</v>
      </c>
      <c r="J57" s="86"/>
      <c r="K57" s="7"/>
      <c r="L57" s="72">
        <f t="shared" si="12"/>
        <v>0</v>
      </c>
      <c r="M57" s="22"/>
      <c r="N57" s="7"/>
      <c r="O57" s="23">
        <f t="shared" si="13"/>
        <v>0</v>
      </c>
      <c r="P57" s="80"/>
      <c r="Q57" s="78">
        <f t="shared" si="1"/>
        <v>0</v>
      </c>
    </row>
    <row r="58" spans="1:17" ht="12.75" hidden="1">
      <c r="A58" s="34" t="s">
        <v>44</v>
      </c>
      <c r="B58" s="92"/>
      <c r="C58" s="197"/>
      <c r="D58" s="146"/>
      <c r="E58" s="146"/>
      <c r="F58" s="134">
        <f t="shared" si="10"/>
        <v>0</v>
      </c>
      <c r="G58" s="263"/>
      <c r="H58" s="308"/>
      <c r="I58" s="244">
        <f t="shared" si="11"/>
        <v>0</v>
      </c>
      <c r="J58" s="86"/>
      <c r="K58" s="7"/>
      <c r="L58" s="72">
        <f t="shared" si="12"/>
        <v>0</v>
      </c>
      <c r="M58" s="22"/>
      <c r="N58" s="7"/>
      <c r="O58" s="23">
        <f t="shared" si="13"/>
        <v>0</v>
      </c>
      <c r="P58" s="80"/>
      <c r="Q58" s="78">
        <f t="shared" si="1"/>
        <v>0</v>
      </c>
    </row>
    <row r="59" spans="1:17" ht="12.75" hidden="1">
      <c r="A59" s="34" t="s">
        <v>38</v>
      </c>
      <c r="B59" s="92"/>
      <c r="C59" s="197"/>
      <c r="D59" s="146"/>
      <c r="E59" s="146"/>
      <c r="F59" s="134">
        <f t="shared" si="10"/>
        <v>0</v>
      </c>
      <c r="G59" s="263"/>
      <c r="H59" s="308"/>
      <c r="I59" s="244">
        <f t="shared" si="11"/>
        <v>0</v>
      </c>
      <c r="J59" s="86"/>
      <c r="K59" s="7"/>
      <c r="L59" s="72">
        <f t="shared" si="12"/>
        <v>0</v>
      </c>
      <c r="M59" s="22"/>
      <c r="N59" s="7"/>
      <c r="O59" s="23">
        <f t="shared" si="13"/>
        <v>0</v>
      </c>
      <c r="P59" s="80"/>
      <c r="Q59" s="78">
        <f t="shared" si="1"/>
        <v>0</v>
      </c>
    </row>
    <row r="60" spans="1:17" ht="12.75">
      <c r="A60" s="34" t="s">
        <v>39</v>
      </c>
      <c r="B60" s="92"/>
      <c r="C60" s="197"/>
      <c r="D60" s="146">
        <f>236.9+159.54+232.42</f>
        <v>628.86</v>
      </c>
      <c r="E60" s="146"/>
      <c r="F60" s="134">
        <f t="shared" si="10"/>
        <v>628.86</v>
      </c>
      <c r="G60" s="263">
        <f>863.99</f>
        <v>863.99</v>
      </c>
      <c r="H60" s="308"/>
      <c r="I60" s="244">
        <f t="shared" si="11"/>
        <v>1492.85</v>
      </c>
      <c r="J60" s="86"/>
      <c r="K60" s="7"/>
      <c r="L60" s="72">
        <f t="shared" si="12"/>
        <v>1492.85</v>
      </c>
      <c r="M60" s="22"/>
      <c r="N60" s="7"/>
      <c r="O60" s="23">
        <f t="shared" si="13"/>
        <v>1492.85</v>
      </c>
      <c r="P60" s="80"/>
      <c r="Q60" s="78">
        <f t="shared" si="1"/>
        <v>1492.85</v>
      </c>
    </row>
    <row r="61" spans="1:17" ht="12.75">
      <c r="A61" s="34" t="s">
        <v>40</v>
      </c>
      <c r="B61" s="92"/>
      <c r="C61" s="197">
        <v>250</v>
      </c>
      <c r="D61" s="146"/>
      <c r="E61" s="146"/>
      <c r="F61" s="134">
        <f t="shared" si="10"/>
        <v>250</v>
      </c>
      <c r="G61" s="263"/>
      <c r="H61" s="308"/>
      <c r="I61" s="244">
        <f t="shared" si="11"/>
        <v>250</v>
      </c>
      <c r="J61" s="86"/>
      <c r="K61" s="7"/>
      <c r="L61" s="72">
        <f t="shared" si="12"/>
        <v>250</v>
      </c>
      <c r="M61" s="22"/>
      <c r="N61" s="7"/>
      <c r="O61" s="23">
        <f t="shared" si="13"/>
        <v>250</v>
      </c>
      <c r="P61" s="80"/>
      <c r="Q61" s="78">
        <f t="shared" si="1"/>
        <v>250</v>
      </c>
    </row>
    <row r="62" spans="1:17" ht="12.75">
      <c r="A62" s="34" t="s">
        <v>157</v>
      </c>
      <c r="B62" s="92"/>
      <c r="C62" s="197"/>
      <c r="D62" s="146">
        <f>34402</f>
        <v>34402</v>
      </c>
      <c r="E62" s="146"/>
      <c r="F62" s="134">
        <f t="shared" si="10"/>
        <v>34402</v>
      </c>
      <c r="G62" s="263"/>
      <c r="H62" s="308"/>
      <c r="I62" s="244">
        <f t="shared" si="11"/>
        <v>34402</v>
      </c>
      <c r="J62" s="86"/>
      <c r="K62" s="7"/>
      <c r="L62" s="72">
        <f t="shared" si="12"/>
        <v>34402</v>
      </c>
      <c r="M62" s="22"/>
      <c r="N62" s="7"/>
      <c r="O62" s="23">
        <f t="shared" si="13"/>
        <v>34402</v>
      </c>
      <c r="P62" s="80"/>
      <c r="Q62" s="78">
        <f t="shared" si="1"/>
        <v>34402</v>
      </c>
    </row>
    <row r="63" spans="1:17" ht="12.75">
      <c r="A63" s="31" t="s">
        <v>41</v>
      </c>
      <c r="B63" s="89"/>
      <c r="C63" s="196">
        <f>SUM(C65:C79)</f>
        <v>0</v>
      </c>
      <c r="D63" s="129">
        <f aca="true" t="shared" si="14" ref="D63:Q63">SUM(D65:D79)</f>
        <v>353486.87</v>
      </c>
      <c r="E63" s="129">
        <f t="shared" si="14"/>
        <v>0</v>
      </c>
      <c r="F63" s="140">
        <f t="shared" si="14"/>
        <v>353486.87</v>
      </c>
      <c r="G63" s="262">
        <f t="shared" si="14"/>
        <v>169916.27</v>
      </c>
      <c r="H63" s="307">
        <f t="shared" si="14"/>
        <v>0</v>
      </c>
      <c r="I63" s="243">
        <f t="shared" si="14"/>
        <v>523403.14</v>
      </c>
      <c r="J63" s="129">
        <f t="shared" si="14"/>
        <v>0</v>
      </c>
      <c r="K63" s="129">
        <f t="shared" si="14"/>
        <v>0</v>
      </c>
      <c r="L63" s="129">
        <f t="shared" si="14"/>
        <v>454274.56</v>
      </c>
      <c r="M63" s="129">
        <f t="shared" si="14"/>
        <v>0</v>
      </c>
      <c r="N63" s="129">
        <f t="shared" si="14"/>
        <v>0</v>
      </c>
      <c r="O63" s="129">
        <f t="shared" si="14"/>
        <v>454274.56</v>
      </c>
      <c r="P63" s="129">
        <f t="shared" si="14"/>
        <v>0</v>
      </c>
      <c r="Q63" s="129">
        <f t="shared" si="14"/>
        <v>454274.56</v>
      </c>
    </row>
    <row r="64" spans="1:17" ht="12.75">
      <c r="A64" s="36" t="s">
        <v>26</v>
      </c>
      <c r="B64" s="94"/>
      <c r="C64" s="197"/>
      <c r="D64" s="146"/>
      <c r="E64" s="146"/>
      <c r="F64" s="134"/>
      <c r="G64" s="263"/>
      <c r="H64" s="308"/>
      <c r="I64" s="244"/>
      <c r="J64" s="86"/>
      <c r="K64" s="7"/>
      <c r="L64" s="72"/>
      <c r="M64" s="22"/>
      <c r="N64" s="7"/>
      <c r="O64" s="23"/>
      <c r="P64" s="80"/>
      <c r="Q64" s="78"/>
    </row>
    <row r="65" spans="1:17" ht="12.75" hidden="1">
      <c r="A65" s="34" t="s">
        <v>29</v>
      </c>
      <c r="B65" s="92"/>
      <c r="C65" s="197"/>
      <c r="D65" s="146"/>
      <c r="E65" s="146"/>
      <c r="F65" s="134">
        <f aca="true" t="shared" si="15" ref="F65:F79">C65+D65+E65</f>
        <v>0</v>
      </c>
      <c r="G65" s="263"/>
      <c r="H65" s="308"/>
      <c r="I65" s="244">
        <f>F65+G65+H65</f>
        <v>0</v>
      </c>
      <c r="J65" s="86"/>
      <c r="K65" s="7"/>
      <c r="L65" s="72">
        <f>I65+J65+K65</f>
        <v>0</v>
      </c>
      <c r="M65" s="22"/>
      <c r="N65" s="7"/>
      <c r="O65" s="23">
        <f>L65+M65+N65</f>
        <v>0</v>
      </c>
      <c r="P65" s="80"/>
      <c r="Q65" s="78">
        <f t="shared" si="1"/>
        <v>0</v>
      </c>
    </row>
    <row r="66" spans="1:17" ht="12.75" hidden="1">
      <c r="A66" s="38" t="s">
        <v>30</v>
      </c>
      <c r="B66" s="95"/>
      <c r="C66" s="197"/>
      <c r="D66" s="146"/>
      <c r="E66" s="146"/>
      <c r="F66" s="134">
        <f t="shared" si="15"/>
        <v>0</v>
      </c>
      <c r="G66" s="263"/>
      <c r="H66" s="308"/>
      <c r="I66" s="244">
        <f aca="true" t="shared" si="16" ref="I66:I79">F66+G66+H66</f>
        <v>0</v>
      </c>
      <c r="J66" s="86"/>
      <c r="K66" s="7"/>
      <c r="L66" s="72">
        <f aca="true" t="shared" si="17" ref="L66:L79">I66+J66+K66</f>
        <v>0</v>
      </c>
      <c r="M66" s="22"/>
      <c r="N66" s="7"/>
      <c r="O66" s="23">
        <f aca="true" t="shared" si="18" ref="O66:O79">L66+M66+N66</f>
        <v>0</v>
      </c>
      <c r="P66" s="80"/>
      <c r="Q66" s="78">
        <f t="shared" si="1"/>
        <v>0</v>
      </c>
    </row>
    <row r="67" spans="1:17" ht="12.75" hidden="1">
      <c r="A67" s="38" t="s">
        <v>28</v>
      </c>
      <c r="B67" s="95"/>
      <c r="C67" s="197"/>
      <c r="D67" s="146"/>
      <c r="E67" s="146"/>
      <c r="F67" s="134">
        <f t="shared" si="15"/>
        <v>0</v>
      </c>
      <c r="G67" s="263"/>
      <c r="H67" s="308"/>
      <c r="I67" s="244">
        <f t="shared" si="16"/>
        <v>0</v>
      </c>
      <c r="J67" s="86"/>
      <c r="K67" s="7"/>
      <c r="L67" s="72">
        <f t="shared" si="17"/>
        <v>0</v>
      </c>
      <c r="M67" s="22"/>
      <c r="N67" s="7"/>
      <c r="O67" s="23">
        <f t="shared" si="18"/>
        <v>0</v>
      </c>
      <c r="P67" s="80"/>
      <c r="Q67" s="78">
        <f t="shared" si="1"/>
        <v>0</v>
      </c>
    </row>
    <row r="68" spans="1:17" ht="12.75">
      <c r="A68" s="38" t="s">
        <v>42</v>
      </c>
      <c r="B68" s="95"/>
      <c r="C68" s="197"/>
      <c r="D68" s="146"/>
      <c r="E68" s="146"/>
      <c r="F68" s="134">
        <f t="shared" si="15"/>
        <v>0</v>
      </c>
      <c r="G68" s="263">
        <f>41783.61</f>
        <v>41783.61</v>
      </c>
      <c r="H68" s="308"/>
      <c r="I68" s="244">
        <f t="shared" si="16"/>
        <v>41783.61</v>
      </c>
      <c r="J68" s="86"/>
      <c r="K68" s="7"/>
      <c r="L68" s="72">
        <f t="shared" si="17"/>
        <v>41783.61</v>
      </c>
      <c r="M68" s="22"/>
      <c r="N68" s="7"/>
      <c r="O68" s="23">
        <f t="shared" si="18"/>
        <v>41783.61</v>
      </c>
      <c r="P68" s="80"/>
      <c r="Q68" s="78">
        <f t="shared" si="1"/>
        <v>41783.61</v>
      </c>
    </row>
    <row r="69" spans="1:17" ht="12.75">
      <c r="A69" s="34" t="s">
        <v>31</v>
      </c>
      <c r="B69" s="92"/>
      <c r="C69" s="197"/>
      <c r="D69" s="146">
        <f>2568.52+19217.2</f>
        <v>21785.72</v>
      </c>
      <c r="E69" s="146"/>
      <c r="F69" s="134">
        <f t="shared" si="15"/>
        <v>21785.72</v>
      </c>
      <c r="G69" s="263">
        <f>24911.74+16108.22+67.54+2580.64+2469.43+6380.52+22697.25</f>
        <v>75215.34</v>
      </c>
      <c r="H69" s="308"/>
      <c r="I69" s="244">
        <f t="shared" si="16"/>
        <v>97001.06</v>
      </c>
      <c r="J69" s="86"/>
      <c r="K69" s="7"/>
      <c r="L69" s="72">
        <f t="shared" si="17"/>
        <v>97001.06</v>
      </c>
      <c r="M69" s="22"/>
      <c r="N69" s="7"/>
      <c r="O69" s="23">
        <f t="shared" si="18"/>
        <v>97001.06</v>
      </c>
      <c r="P69" s="80"/>
      <c r="Q69" s="78">
        <f t="shared" si="1"/>
        <v>97001.06</v>
      </c>
    </row>
    <row r="70" spans="1:17" ht="12.75">
      <c r="A70" s="34" t="s">
        <v>32</v>
      </c>
      <c r="B70" s="92"/>
      <c r="C70" s="197"/>
      <c r="D70" s="146"/>
      <c r="E70" s="146"/>
      <c r="F70" s="134">
        <f t="shared" si="15"/>
        <v>0</v>
      </c>
      <c r="G70" s="263">
        <f>93</f>
        <v>93</v>
      </c>
      <c r="H70" s="308"/>
      <c r="I70" s="244">
        <f t="shared" si="16"/>
        <v>93</v>
      </c>
      <c r="J70" s="86"/>
      <c r="K70" s="7"/>
      <c r="L70" s="72"/>
      <c r="M70" s="22"/>
      <c r="N70" s="7"/>
      <c r="O70" s="23"/>
      <c r="P70" s="80"/>
      <c r="Q70" s="78"/>
    </row>
    <row r="71" spans="1:17" ht="12.75" hidden="1">
      <c r="A71" s="34" t="s">
        <v>216</v>
      </c>
      <c r="B71" s="92"/>
      <c r="C71" s="197"/>
      <c r="D71" s="146"/>
      <c r="E71" s="146"/>
      <c r="F71" s="134">
        <f t="shared" si="15"/>
        <v>0</v>
      </c>
      <c r="G71" s="263"/>
      <c r="H71" s="308"/>
      <c r="I71" s="244">
        <f t="shared" si="16"/>
        <v>0</v>
      </c>
      <c r="J71" s="86"/>
      <c r="K71" s="7"/>
      <c r="L71" s="72"/>
      <c r="M71" s="22"/>
      <c r="N71" s="7"/>
      <c r="O71" s="23"/>
      <c r="P71" s="80"/>
      <c r="Q71" s="78"/>
    </row>
    <row r="72" spans="1:17" ht="12.75">
      <c r="A72" s="34" t="s">
        <v>152</v>
      </c>
      <c r="B72" s="92"/>
      <c r="C72" s="197"/>
      <c r="D72" s="146">
        <f>99736.84</f>
        <v>99736.84</v>
      </c>
      <c r="E72" s="146"/>
      <c r="F72" s="134">
        <f t="shared" si="15"/>
        <v>99736.84</v>
      </c>
      <c r="G72" s="263"/>
      <c r="H72" s="308"/>
      <c r="I72" s="244">
        <f t="shared" si="16"/>
        <v>99736.84</v>
      </c>
      <c r="J72" s="86"/>
      <c r="K72" s="7"/>
      <c r="L72" s="72">
        <f t="shared" si="17"/>
        <v>99736.84</v>
      </c>
      <c r="M72" s="22"/>
      <c r="N72" s="7"/>
      <c r="O72" s="23">
        <f t="shared" si="18"/>
        <v>99736.84</v>
      </c>
      <c r="P72" s="80"/>
      <c r="Q72" s="78">
        <f t="shared" si="1"/>
        <v>99736.84</v>
      </c>
    </row>
    <row r="73" spans="1:17" ht="12.75" hidden="1">
      <c r="A73" s="34" t="s">
        <v>153</v>
      </c>
      <c r="B73" s="92"/>
      <c r="C73" s="197"/>
      <c r="D73" s="146"/>
      <c r="E73" s="146"/>
      <c r="F73" s="134">
        <f t="shared" si="15"/>
        <v>0</v>
      </c>
      <c r="G73" s="263"/>
      <c r="H73" s="308"/>
      <c r="I73" s="244">
        <f t="shared" si="16"/>
        <v>0</v>
      </c>
      <c r="J73" s="86"/>
      <c r="K73" s="7"/>
      <c r="L73" s="72">
        <f t="shared" si="17"/>
        <v>0</v>
      </c>
      <c r="M73" s="22"/>
      <c r="N73" s="7"/>
      <c r="O73" s="23">
        <f t="shared" si="18"/>
        <v>0</v>
      </c>
      <c r="P73" s="80"/>
      <c r="Q73" s="78">
        <f t="shared" si="1"/>
        <v>0</v>
      </c>
    </row>
    <row r="74" spans="1:17" ht="12.75">
      <c r="A74" s="34" t="s">
        <v>43</v>
      </c>
      <c r="B74" s="92"/>
      <c r="C74" s="197"/>
      <c r="D74" s="146">
        <f>183880</f>
        <v>183880</v>
      </c>
      <c r="E74" s="146"/>
      <c r="F74" s="134">
        <f t="shared" si="15"/>
        <v>183880</v>
      </c>
      <c r="G74" s="263">
        <f>8953.48</f>
        <v>8953.48</v>
      </c>
      <c r="H74" s="308"/>
      <c r="I74" s="244">
        <f t="shared" si="16"/>
        <v>192833.48</v>
      </c>
      <c r="J74" s="86"/>
      <c r="K74" s="7"/>
      <c r="L74" s="72">
        <f t="shared" si="17"/>
        <v>192833.48</v>
      </c>
      <c r="M74" s="22"/>
      <c r="N74" s="7"/>
      <c r="O74" s="23">
        <f t="shared" si="18"/>
        <v>192833.48</v>
      </c>
      <c r="P74" s="80"/>
      <c r="Q74" s="78">
        <f t="shared" si="1"/>
        <v>192833.48</v>
      </c>
    </row>
    <row r="75" spans="1:17" ht="12.75" hidden="1">
      <c r="A75" s="34" t="s">
        <v>44</v>
      </c>
      <c r="B75" s="92"/>
      <c r="C75" s="197"/>
      <c r="D75" s="146"/>
      <c r="E75" s="146"/>
      <c r="F75" s="134">
        <f t="shared" si="15"/>
        <v>0</v>
      </c>
      <c r="G75" s="263"/>
      <c r="H75" s="308"/>
      <c r="I75" s="244">
        <f t="shared" si="16"/>
        <v>0</v>
      </c>
      <c r="J75" s="86"/>
      <c r="K75" s="7"/>
      <c r="L75" s="72">
        <f t="shared" si="17"/>
        <v>0</v>
      </c>
      <c r="M75" s="22"/>
      <c r="N75" s="7"/>
      <c r="O75" s="23">
        <f t="shared" si="18"/>
        <v>0</v>
      </c>
      <c r="P75" s="80"/>
      <c r="Q75" s="78">
        <f t="shared" si="1"/>
        <v>0</v>
      </c>
    </row>
    <row r="76" spans="1:17" ht="12.75" hidden="1">
      <c r="A76" s="34" t="s">
        <v>45</v>
      </c>
      <c r="B76" s="92"/>
      <c r="C76" s="197"/>
      <c r="D76" s="146"/>
      <c r="E76" s="146"/>
      <c r="F76" s="134">
        <f t="shared" si="15"/>
        <v>0</v>
      </c>
      <c r="G76" s="263"/>
      <c r="H76" s="308"/>
      <c r="I76" s="244">
        <f t="shared" si="16"/>
        <v>0</v>
      </c>
      <c r="J76" s="86"/>
      <c r="K76" s="7"/>
      <c r="L76" s="72">
        <f t="shared" si="17"/>
        <v>0</v>
      </c>
      <c r="M76" s="22"/>
      <c r="N76" s="7"/>
      <c r="O76" s="23">
        <f t="shared" si="18"/>
        <v>0</v>
      </c>
      <c r="P76" s="80"/>
      <c r="Q76" s="78">
        <f t="shared" si="1"/>
        <v>0</v>
      </c>
    </row>
    <row r="77" spans="1:17" ht="12.75">
      <c r="A77" s="34" t="s">
        <v>35</v>
      </c>
      <c r="B77" s="92"/>
      <c r="C77" s="197"/>
      <c r="D77" s="146">
        <f>22919.57</f>
        <v>22919.57</v>
      </c>
      <c r="E77" s="146"/>
      <c r="F77" s="134">
        <f t="shared" si="15"/>
        <v>22919.57</v>
      </c>
      <c r="G77" s="263"/>
      <c r="H77" s="308"/>
      <c r="I77" s="244">
        <f t="shared" si="16"/>
        <v>22919.57</v>
      </c>
      <c r="J77" s="86"/>
      <c r="K77" s="7"/>
      <c r="L77" s="72">
        <f t="shared" si="17"/>
        <v>22919.57</v>
      </c>
      <c r="M77" s="22"/>
      <c r="N77" s="7"/>
      <c r="O77" s="23">
        <f t="shared" si="18"/>
        <v>22919.57</v>
      </c>
      <c r="P77" s="85"/>
      <c r="Q77" s="78">
        <f t="shared" si="1"/>
        <v>22919.57</v>
      </c>
    </row>
    <row r="78" spans="1:17" ht="12.75">
      <c r="A78" s="34" t="s">
        <v>39</v>
      </c>
      <c r="B78" s="92"/>
      <c r="C78" s="197"/>
      <c r="D78" s="146">
        <f>25164.74</f>
        <v>25164.74</v>
      </c>
      <c r="E78" s="146"/>
      <c r="F78" s="134">
        <f t="shared" si="15"/>
        <v>25164.74</v>
      </c>
      <c r="G78" s="263">
        <f>43870.84</f>
        <v>43870.84</v>
      </c>
      <c r="H78" s="308"/>
      <c r="I78" s="244">
        <f t="shared" si="16"/>
        <v>69035.58</v>
      </c>
      <c r="J78" s="86"/>
      <c r="K78" s="7"/>
      <c r="L78" s="72"/>
      <c r="M78" s="22"/>
      <c r="N78" s="7"/>
      <c r="O78" s="23"/>
      <c r="P78" s="85"/>
      <c r="Q78" s="78"/>
    </row>
    <row r="79" spans="1:17" ht="12.75" hidden="1">
      <c r="A79" s="34" t="s">
        <v>157</v>
      </c>
      <c r="B79" s="92"/>
      <c r="C79" s="197"/>
      <c r="D79" s="146"/>
      <c r="E79" s="146"/>
      <c r="F79" s="134">
        <f t="shared" si="15"/>
        <v>0</v>
      </c>
      <c r="G79" s="263"/>
      <c r="H79" s="308"/>
      <c r="I79" s="244">
        <f t="shared" si="16"/>
        <v>0</v>
      </c>
      <c r="J79" s="86"/>
      <c r="K79" s="7"/>
      <c r="L79" s="72">
        <f t="shared" si="17"/>
        <v>0</v>
      </c>
      <c r="M79" s="22"/>
      <c r="N79" s="7"/>
      <c r="O79" s="23">
        <f t="shared" si="18"/>
        <v>0</v>
      </c>
      <c r="P79" s="80"/>
      <c r="Q79" s="78">
        <f aca="true" t="shared" si="19" ref="Q79:Q135">O79+P79</f>
        <v>0</v>
      </c>
    </row>
    <row r="80" spans="1:17" ht="15.75" thickBot="1">
      <c r="A80" s="39" t="s">
        <v>46</v>
      </c>
      <c r="B80" s="96"/>
      <c r="C80" s="291">
        <f>C11+C17+C41+C63+C33</f>
        <v>5004513</v>
      </c>
      <c r="D80" s="148">
        <f>D11+D17+D41+D63+D33</f>
        <v>9728752.120000001</v>
      </c>
      <c r="E80" s="148">
        <f>E11+E17+E41+E63+E33</f>
        <v>0</v>
      </c>
      <c r="F80" s="174">
        <f>F11+F17+F41+F63+F33</f>
        <v>14733265.12</v>
      </c>
      <c r="G80" s="264">
        <f aca="true" t="shared" si="20" ref="G80:Q80">G11+G17+G41+G63+G33</f>
        <v>392302.08999999997</v>
      </c>
      <c r="H80" s="310">
        <f t="shared" si="20"/>
        <v>89596.20999999999</v>
      </c>
      <c r="I80" s="245">
        <f t="shared" si="20"/>
        <v>15215163.420000002</v>
      </c>
      <c r="J80" s="162">
        <f t="shared" si="20"/>
        <v>0</v>
      </c>
      <c r="K80" s="162">
        <f t="shared" si="20"/>
        <v>0</v>
      </c>
      <c r="L80" s="162">
        <f t="shared" si="20"/>
        <v>10539409.540000003</v>
      </c>
      <c r="M80" s="162">
        <f t="shared" si="20"/>
        <v>0</v>
      </c>
      <c r="N80" s="162">
        <f t="shared" si="20"/>
        <v>0</v>
      </c>
      <c r="O80" s="162">
        <f t="shared" si="20"/>
        <v>10539409.540000003</v>
      </c>
      <c r="P80" s="162">
        <f t="shared" si="20"/>
        <v>0</v>
      </c>
      <c r="Q80" s="162">
        <f t="shared" si="20"/>
        <v>10539409.540000003</v>
      </c>
    </row>
    <row r="81" spans="1:17" ht="15" customHeight="1">
      <c r="A81" s="31" t="s">
        <v>47</v>
      </c>
      <c r="B81" s="89"/>
      <c r="C81" s="196"/>
      <c r="D81" s="146"/>
      <c r="E81" s="146"/>
      <c r="F81" s="134"/>
      <c r="G81" s="263"/>
      <c r="H81" s="308"/>
      <c r="I81" s="244"/>
      <c r="J81" s="86"/>
      <c r="K81" s="7"/>
      <c r="L81" s="72"/>
      <c r="M81" s="22"/>
      <c r="N81" s="7"/>
      <c r="O81" s="23"/>
      <c r="P81" s="80"/>
      <c r="Q81" s="78"/>
    </row>
    <row r="82" spans="1:17" ht="12.75">
      <c r="A82" s="31" t="s">
        <v>63</v>
      </c>
      <c r="B82" s="101"/>
      <c r="C82" s="196">
        <f>C83+C92</f>
        <v>103319</v>
      </c>
      <c r="D82" s="129">
        <f>D83+D92</f>
        <v>65537.51000000001</v>
      </c>
      <c r="E82" s="129">
        <f>E83+E92</f>
        <v>0</v>
      </c>
      <c r="F82" s="140">
        <f>F83+F92</f>
        <v>168856.51</v>
      </c>
      <c r="G82" s="262">
        <f aca="true" t="shared" si="21" ref="G82:Q82">G83+G92</f>
        <v>24187.95</v>
      </c>
      <c r="H82" s="307">
        <f t="shared" si="21"/>
        <v>4042.8200000000006</v>
      </c>
      <c r="I82" s="243">
        <f t="shared" si="21"/>
        <v>197087.27999999997</v>
      </c>
      <c r="J82" s="153">
        <f t="shared" si="21"/>
        <v>0</v>
      </c>
      <c r="K82" s="153">
        <f t="shared" si="21"/>
        <v>0</v>
      </c>
      <c r="L82" s="153">
        <f t="shared" si="21"/>
        <v>96269.28000000001</v>
      </c>
      <c r="M82" s="153">
        <f t="shared" si="21"/>
        <v>0</v>
      </c>
      <c r="N82" s="153">
        <f t="shared" si="21"/>
        <v>0</v>
      </c>
      <c r="O82" s="153">
        <f t="shared" si="21"/>
        <v>96269.28000000001</v>
      </c>
      <c r="P82" s="153">
        <f t="shared" si="21"/>
        <v>0</v>
      </c>
      <c r="Q82" s="153">
        <f t="shared" si="21"/>
        <v>96269.28000000001</v>
      </c>
    </row>
    <row r="83" spans="1:17" ht="12.75">
      <c r="A83" s="40" t="s">
        <v>49</v>
      </c>
      <c r="B83" s="101"/>
      <c r="C83" s="200">
        <f>SUM(C85:C90)</f>
        <v>71319</v>
      </c>
      <c r="D83" s="149">
        <f>SUM(D85:D90)</f>
        <v>5253.35</v>
      </c>
      <c r="E83" s="149">
        <f>SUM(E85:E90)</f>
        <v>0</v>
      </c>
      <c r="F83" s="175">
        <f>SUM(F85:F90)</f>
        <v>76572.34999999999</v>
      </c>
      <c r="G83" s="265">
        <f aca="true" t="shared" si="22" ref="G83:Q83">SUM(G85:G90)</f>
        <v>14187.95</v>
      </c>
      <c r="H83" s="311">
        <f t="shared" si="22"/>
        <v>8389.61</v>
      </c>
      <c r="I83" s="246">
        <f t="shared" si="22"/>
        <v>99149.90999999999</v>
      </c>
      <c r="J83" s="163">
        <f t="shared" si="22"/>
        <v>0</v>
      </c>
      <c r="K83" s="163">
        <f t="shared" si="22"/>
        <v>0</v>
      </c>
      <c r="L83" s="163">
        <f t="shared" si="22"/>
        <v>24331.910000000003</v>
      </c>
      <c r="M83" s="163">
        <f t="shared" si="22"/>
        <v>0</v>
      </c>
      <c r="N83" s="163">
        <f t="shared" si="22"/>
        <v>0</v>
      </c>
      <c r="O83" s="163">
        <f t="shared" si="22"/>
        <v>24331.910000000003</v>
      </c>
      <c r="P83" s="163">
        <f t="shared" si="22"/>
        <v>0</v>
      </c>
      <c r="Q83" s="163">
        <f t="shared" si="22"/>
        <v>24331.910000000003</v>
      </c>
    </row>
    <row r="84" spans="1:17" ht="12.75">
      <c r="A84" s="36" t="s">
        <v>26</v>
      </c>
      <c r="B84" s="97"/>
      <c r="C84" s="197"/>
      <c r="D84" s="146"/>
      <c r="E84" s="146"/>
      <c r="F84" s="140"/>
      <c r="G84" s="263"/>
      <c r="H84" s="308"/>
      <c r="I84" s="243"/>
      <c r="J84" s="86"/>
      <c r="K84" s="7"/>
      <c r="L84" s="68"/>
      <c r="M84" s="22"/>
      <c r="N84" s="7"/>
      <c r="O84" s="21"/>
      <c r="P84" s="80"/>
      <c r="Q84" s="78"/>
    </row>
    <row r="85" spans="1:17" ht="12.75">
      <c r="A85" s="34" t="s">
        <v>51</v>
      </c>
      <c r="B85" s="97"/>
      <c r="C85" s="197">
        <v>9931</v>
      </c>
      <c r="D85" s="146"/>
      <c r="E85" s="146"/>
      <c r="F85" s="134">
        <f aca="true" t="shared" si="23" ref="F85:F91">C85+D85+E85</f>
        <v>9931</v>
      </c>
      <c r="G85" s="263"/>
      <c r="H85" s="308">
        <f>-2383.75</f>
        <v>-2383.75</v>
      </c>
      <c r="I85" s="244">
        <f aca="true" t="shared" si="24" ref="I85:I91">F85+G85+H85</f>
        <v>7547.25</v>
      </c>
      <c r="J85" s="86"/>
      <c r="K85" s="7"/>
      <c r="L85" s="72">
        <f aca="true" t="shared" si="25" ref="L85:L91">I85+J85+K85</f>
        <v>7547.25</v>
      </c>
      <c r="M85" s="22"/>
      <c r="N85" s="7"/>
      <c r="O85" s="23">
        <f aca="true" t="shared" si="26" ref="O85:O91">L85+M85+N85</f>
        <v>7547.25</v>
      </c>
      <c r="P85" s="80"/>
      <c r="Q85" s="78">
        <f t="shared" si="19"/>
        <v>7547.25</v>
      </c>
    </row>
    <row r="86" spans="1:17" ht="12.75" hidden="1">
      <c r="A86" s="34" t="s">
        <v>65</v>
      </c>
      <c r="B86" s="97"/>
      <c r="C86" s="197"/>
      <c r="D86" s="146"/>
      <c r="E86" s="146"/>
      <c r="F86" s="134">
        <f t="shared" si="23"/>
        <v>0</v>
      </c>
      <c r="G86" s="263"/>
      <c r="H86" s="308"/>
      <c r="I86" s="244">
        <f t="shared" si="24"/>
        <v>0</v>
      </c>
      <c r="J86" s="86"/>
      <c r="K86" s="7"/>
      <c r="L86" s="72">
        <f t="shared" si="25"/>
        <v>0</v>
      </c>
      <c r="M86" s="22"/>
      <c r="N86" s="7"/>
      <c r="O86" s="23">
        <f t="shared" si="26"/>
        <v>0</v>
      </c>
      <c r="P86" s="80"/>
      <c r="Q86" s="78">
        <f t="shared" si="19"/>
        <v>0</v>
      </c>
    </row>
    <row r="87" spans="1:17" ht="12.75">
      <c r="A87" s="38" t="s">
        <v>206</v>
      </c>
      <c r="B87" s="97"/>
      <c r="C87" s="197">
        <v>61388</v>
      </c>
      <c r="D87" s="146"/>
      <c r="E87" s="146"/>
      <c r="F87" s="160">
        <f t="shared" si="23"/>
        <v>61388</v>
      </c>
      <c r="G87" s="263">
        <f>13430</f>
        <v>13430</v>
      </c>
      <c r="H87" s="308"/>
      <c r="I87" s="244">
        <f t="shared" si="24"/>
        <v>74818</v>
      </c>
      <c r="J87" s="86"/>
      <c r="K87" s="7"/>
      <c r="L87" s="72"/>
      <c r="M87" s="22"/>
      <c r="N87" s="7"/>
      <c r="O87" s="23"/>
      <c r="P87" s="80"/>
      <c r="Q87" s="78"/>
    </row>
    <row r="88" spans="1:17" ht="12.75">
      <c r="A88" s="34" t="s">
        <v>66</v>
      </c>
      <c r="B88" s="97">
        <v>98278</v>
      </c>
      <c r="C88" s="197"/>
      <c r="D88" s="146">
        <f>65.31+3.5+59.04+89.73+48+59.26+24+22.5+24</f>
        <v>395.34</v>
      </c>
      <c r="E88" s="146"/>
      <c r="F88" s="134">
        <f t="shared" si="23"/>
        <v>395.34</v>
      </c>
      <c r="G88" s="263">
        <f>45.68+40.61+12+32.99+53.3+6+19+12+3.5+14+23.59+126.55+48+39.36+39+12+20.44+44.11+23.01+30+6+68+38.81</f>
        <v>757.95</v>
      </c>
      <c r="H88" s="308"/>
      <c r="I88" s="244">
        <f t="shared" si="24"/>
        <v>1153.29</v>
      </c>
      <c r="J88" s="86"/>
      <c r="K88" s="7"/>
      <c r="L88" s="72">
        <f t="shared" si="25"/>
        <v>1153.29</v>
      </c>
      <c r="M88" s="22"/>
      <c r="N88" s="7"/>
      <c r="O88" s="23">
        <f t="shared" si="26"/>
        <v>1153.29</v>
      </c>
      <c r="P88" s="80"/>
      <c r="Q88" s="78">
        <f t="shared" si="19"/>
        <v>1153.29</v>
      </c>
    </row>
    <row r="89" spans="1:17" ht="12.75" hidden="1">
      <c r="A89" s="34" t="s">
        <v>77</v>
      </c>
      <c r="B89" s="97"/>
      <c r="C89" s="197"/>
      <c r="D89" s="146"/>
      <c r="E89" s="146"/>
      <c r="F89" s="134">
        <f t="shared" si="23"/>
        <v>0</v>
      </c>
      <c r="G89" s="263"/>
      <c r="H89" s="308"/>
      <c r="I89" s="244">
        <f t="shared" si="24"/>
        <v>0</v>
      </c>
      <c r="J89" s="86"/>
      <c r="K89" s="7"/>
      <c r="L89" s="72">
        <f t="shared" si="25"/>
        <v>0</v>
      </c>
      <c r="M89" s="22"/>
      <c r="N89" s="7"/>
      <c r="O89" s="23">
        <f t="shared" si="26"/>
        <v>0</v>
      </c>
      <c r="P89" s="80"/>
      <c r="Q89" s="78">
        <f t="shared" si="19"/>
        <v>0</v>
      </c>
    </row>
    <row r="90" spans="1:17" ht="12.75">
      <c r="A90" s="33" t="s">
        <v>67</v>
      </c>
      <c r="B90" s="97"/>
      <c r="C90" s="197"/>
      <c r="D90" s="146">
        <f>3124.33+1733.68</f>
        <v>4858.01</v>
      </c>
      <c r="E90" s="146"/>
      <c r="F90" s="134">
        <f t="shared" si="23"/>
        <v>4858.01</v>
      </c>
      <c r="G90" s="263"/>
      <c r="H90" s="308">
        <f>10773.36</f>
        <v>10773.36</v>
      </c>
      <c r="I90" s="244">
        <f t="shared" si="24"/>
        <v>15631.37</v>
      </c>
      <c r="J90" s="86"/>
      <c r="K90" s="7"/>
      <c r="L90" s="72">
        <f t="shared" si="25"/>
        <v>15631.37</v>
      </c>
      <c r="M90" s="22"/>
      <c r="N90" s="7"/>
      <c r="O90" s="23">
        <f t="shared" si="26"/>
        <v>15631.37</v>
      </c>
      <c r="P90" s="80"/>
      <c r="Q90" s="78">
        <f t="shared" si="19"/>
        <v>15631.37</v>
      </c>
    </row>
    <row r="91" spans="1:17" ht="12.75" hidden="1">
      <c r="A91" s="33" t="s">
        <v>68</v>
      </c>
      <c r="B91" s="97"/>
      <c r="C91" s="197"/>
      <c r="D91" s="146">
        <f>3124.33+1733.68</f>
        <v>4858.01</v>
      </c>
      <c r="E91" s="146"/>
      <c r="F91" s="134">
        <f t="shared" si="23"/>
        <v>4858.01</v>
      </c>
      <c r="G91" s="263"/>
      <c r="H91" s="308"/>
      <c r="I91" s="244">
        <f t="shared" si="24"/>
        <v>4858.01</v>
      </c>
      <c r="J91" s="86"/>
      <c r="K91" s="7"/>
      <c r="L91" s="72">
        <f t="shared" si="25"/>
        <v>4858.01</v>
      </c>
      <c r="M91" s="22"/>
      <c r="N91" s="7"/>
      <c r="O91" s="23">
        <f t="shared" si="26"/>
        <v>4858.01</v>
      </c>
      <c r="P91" s="80"/>
      <c r="Q91" s="78">
        <f t="shared" si="19"/>
        <v>4858.01</v>
      </c>
    </row>
    <row r="92" spans="1:17" ht="12.75">
      <c r="A92" s="41" t="s">
        <v>54</v>
      </c>
      <c r="B92" s="101"/>
      <c r="C92" s="201">
        <f>SUM(C94:C100)</f>
        <v>32000</v>
      </c>
      <c r="D92" s="150">
        <f aca="true" t="shared" si="27" ref="D92:Q92">SUM(D94:D100)</f>
        <v>60284.16</v>
      </c>
      <c r="E92" s="150">
        <f t="shared" si="27"/>
        <v>0</v>
      </c>
      <c r="F92" s="176">
        <f t="shared" si="27"/>
        <v>92284.16</v>
      </c>
      <c r="G92" s="266">
        <f t="shared" si="27"/>
        <v>10000</v>
      </c>
      <c r="H92" s="313">
        <f t="shared" si="27"/>
        <v>-4346.79</v>
      </c>
      <c r="I92" s="247">
        <f t="shared" si="27"/>
        <v>97937.37</v>
      </c>
      <c r="J92" s="164">
        <f t="shared" si="27"/>
        <v>0</v>
      </c>
      <c r="K92" s="164">
        <f t="shared" si="27"/>
        <v>0</v>
      </c>
      <c r="L92" s="164">
        <f t="shared" si="27"/>
        <v>71937.37000000001</v>
      </c>
      <c r="M92" s="164">
        <f t="shared" si="27"/>
        <v>0</v>
      </c>
      <c r="N92" s="164">
        <f t="shared" si="27"/>
        <v>0</v>
      </c>
      <c r="O92" s="164">
        <f t="shared" si="27"/>
        <v>71937.37000000001</v>
      </c>
      <c r="P92" s="164">
        <f t="shared" si="27"/>
        <v>0</v>
      </c>
      <c r="Q92" s="164">
        <f t="shared" si="27"/>
        <v>71937.37000000001</v>
      </c>
    </row>
    <row r="93" spans="1:17" ht="12.75">
      <c r="A93" s="32" t="s">
        <v>26</v>
      </c>
      <c r="B93" s="97"/>
      <c r="C93" s="199"/>
      <c r="D93" s="147"/>
      <c r="E93" s="147"/>
      <c r="F93" s="131"/>
      <c r="G93" s="267"/>
      <c r="H93" s="309"/>
      <c r="I93" s="226"/>
      <c r="J93" s="173"/>
      <c r="K93" s="8"/>
      <c r="L93" s="28"/>
      <c r="M93" s="24"/>
      <c r="N93" s="8"/>
      <c r="O93" s="25"/>
      <c r="P93" s="80"/>
      <c r="Q93" s="78"/>
    </row>
    <row r="94" spans="1:17" ht="12.75">
      <c r="A94" s="98" t="s">
        <v>296</v>
      </c>
      <c r="B94" s="97"/>
      <c r="C94" s="197"/>
      <c r="D94" s="146">
        <f>24251.16+5500</f>
        <v>29751.16</v>
      </c>
      <c r="E94" s="146"/>
      <c r="F94" s="134">
        <f aca="true" t="shared" si="28" ref="F94:F101">C94+D94+E94</f>
        <v>29751.16</v>
      </c>
      <c r="G94" s="263">
        <f>10000</f>
        <v>10000</v>
      </c>
      <c r="H94" s="308">
        <f>4488.62</f>
        <v>4488.62</v>
      </c>
      <c r="I94" s="244">
        <f aca="true" t="shared" si="29" ref="I94:I101">F94+G94+H94</f>
        <v>44239.780000000006</v>
      </c>
      <c r="J94" s="86"/>
      <c r="K94" s="7"/>
      <c r="L94" s="72">
        <f>I94+J94+K94</f>
        <v>44239.780000000006</v>
      </c>
      <c r="M94" s="22"/>
      <c r="N94" s="7"/>
      <c r="O94" s="23">
        <f>L94+M94+N94</f>
        <v>44239.780000000006</v>
      </c>
      <c r="P94" s="80"/>
      <c r="Q94" s="78">
        <f t="shared" si="19"/>
        <v>44239.780000000006</v>
      </c>
    </row>
    <row r="95" spans="1:17" ht="12.75">
      <c r="A95" s="38" t="s">
        <v>242</v>
      </c>
      <c r="B95" s="97"/>
      <c r="C95" s="197"/>
      <c r="D95" s="146">
        <f>20000+4000</f>
        <v>24000</v>
      </c>
      <c r="E95" s="146"/>
      <c r="F95" s="134">
        <f t="shared" si="28"/>
        <v>24000</v>
      </c>
      <c r="G95" s="263"/>
      <c r="H95" s="308"/>
      <c r="I95" s="244">
        <f t="shared" si="29"/>
        <v>24000</v>
      </c>
      <c r="J95" s="86"/>
      <c r="K95" s="7"/>
      <c r="L95" s="72"/>
      <c r="M95" s="22"/>
      <c r="N95" s="7"/>
      <c r="O95" s="23"/>
      <c r="P95" s="80"/>
      <c r="Q95" s="78"/>
    </row>
    <row r="96" spans="1:17" ht="12.75" hidden="1">
      <c r="A96" s="33" t="s">
        <v>55</v>
      </c>
      <c r="B96" s="97"/>
      <c r="C96" s="197"/>
      <c r="D96" s="146"/>
      <c r="E96" s="146"/>
      <c r="F96" s="134">
        <f t="shared" si="28"/>
        <v>0</v>
      </c>
      <c r="G96" s="263"/>
      <c r="H96" s="308"/>
      <c r="I96" s="244">
        <f t="shared" si="29"/>
        <v>0</v>
      </c>
      <c r="J96" s="86"/>
      <c r="K96" s="7"/>
      <c r="L96" s="72"/>
      <c r="M96" s="22"/>
      <c r="N96" s="7"/>
      <c r="O96" s="23"/>
      <c r="P96" s="80"/>
      <c r="Q96" s="78"/>
    </row>
    <row r="97" spans="1:17" ht="12.75" hidden="1">
      <c r="A97" s="34" t="s">
        <v>204</v>
      </c>
      <c r="B97" s="97"/>
      <c r="C97" s="197"/>
      <c r="D97" s="146"/>
      <c r="E97" s="146"/>
      <c r="F97" s="134">
        <f t="shared" si="28"/>
        <v>0</v>
      </c>
      <c r="G97" s="263"/>
      <c r="H97" s="308"/>
      <c r="I97" s="244">
        <f t="shared" si="29"/>
        <v>0</v>
      </c>
      <c r="J97" s="86"/>
      <c r="K97" s="7"/>
      <c r="L97" s="72"/>
      <c r="M97" s="22"/>
      <c r="N97" s="7"/>
      <c r="O97" s="23"/>
      <c r="P97" s="80"/>
      <c r="Q97" s="78"/>
    </row>
    <row r="98" spans="1:17" ht="12.75" hidden="1">
      <c r="A98" s="34" t="s">
        <v>77</v>
      </c>
      <c r="B98" s="97"/>
      <c r="C98" s="197"/>
      <c r="D98" s="146"/>
      <c r="E98" s="146"/>
      <c r="F98" s="134">
        <f t="shared" si="28"/>
        <v>0</v>
      </c>
      <c r="G98" s="263"/>
      <c r="H98" s="308"/>
      <c r="I98" s="244">
        <f t="shared" si="29"/>
        <v>0</v>
      </c>
      <c r="J98" s="86"/>
      <c r="K98" s="7"/>
      <c r="L98" s="72">
        <f>I98+J98+K98</f>
        <v>0</v>
      </c>
      <c r="M98" s="22"/>
      <c r="N98" s="7"/>
      <c r="O98" s="23">
        <f>L98+M98+N98</f>
        <v>0</v>
      </c>
      <c r="P98" s="80"/>
      <c r="Q98" s="78">
        <f t="shared" si="19"/>
        <v>0</v>
      </c>
    </row>
    <row r="99" spans="1:17" ht="12.75">
      <c r="A99" s="34" t="s">
        <v>248</v>
      </c>
      <c r="B99" s="97"/>
      <c r="C99" s="197">
        <v>2000</v>
      </c>
      <c r="D99" s="146"/>
      <c r="E99" s="146"/>
      <c r="F99" s="134">
        <f t="shared" si="28"/>
        <v>2000</v>
      </c>
      <c r="G99" s="263"/>
      <c r="H99" s="308"/>
      <c r="I99" s="244">
        <f t="shared" si="29"/>
        <v>2000</v>
      </c>
      <c r="J99" s="86"/>
      <c r="K99" s="7"/>
      <c r="L99" s="72"/>
      <c r="M99" s="22"/>
      <c r="N99" s="7"/>
      <c r="O99" s="23"/>
      <c r="P99" s="80"/>
      <c r="Q99" s="78"/>
    </row>
    <row r="100" spans="1:17" ht="12.75">
      <c r="A100" s="42" t="s">
        <v>67</v>
      </c>
      <c r="B100" s="100"/>
      <c r="C100" s="292">
        <v>30000</v>
      </c>
      <c r="D100" s="213">
        <f>-3124.33+9657.33</f>
        <v>6533</v>
      </c>
      <c r="E100" s="213"/>
      <c r="F100" s="229">
        <f t="shared" si="28"/>
        <v>36533</v>
      </c>
      <c r="G100" s="268"/>
      <c r="H100" s="312">
        <f>1937.95-10773.36</f>
        <v>-8835.41</v>
      </c>
      <c r="I100" s="248">
        <f t="shared" si="29"/>
        <v>27697.59</v>
      </c>
      <c r="J100" s="86"/>
      <c r="K100" s="7"/>
      <c r="L100" s="72">
        <f>I100+J100+K100</f>
        <v>27697.59</v>
      </c>
      <c r="M100" s="22"/>
      <c r="N100" s="7"/>
      <c r="O100" s="23">
        <f>L100+M100+N100</f>
        <v>27697.59</v>
      </c>
      <c r="P100" s="80"/>
      <c r="Q100" s="78">
        <f t="shared" si="19"/>
        <v>27697.59</v>
      </c>
    </row>
    <row r="101" spans="1:17" ht="12.75" hidden="1">
      <c r="A101" s="42" t="s">
        <v>70</v>
      </c>
      <c r="B101" s="100"/>
      <c r="C101" s="292"/>
      <c r="D101" s="213"/>
      <c r="E101" s="213"/>
      <c r="F101" s="229">
        <f t="shared" si="28"/>
        <v>0</v>
      </c>
      <c r="G101" s="268"/>
      <c r="H101" s="312"/>
      <c r="I101" s="248">
        <f t="shared" si="29"/>
        <v>0</v>
      </c>
      <c r="J101" s="177"/>
      <c r="K101" s="10"/>
      <c r="L101" s="71">
        <f>I101+J101+K101</f>
        <v>0</v>
      </c>
      <c r="M101" s="26"/>
      <c r="N101" s="10"/>
      <c r="O101" s="27">
        <f>L101+M101+N101</f>
        <v>0</v>
      </c>
      <c r="P101" s="83"/>
      <c r="Q101" s="84">
        <f t="shared" si="19"/>
        <v>0</v>
      </c>
    </row>
    <row r="102" spans="1:17" ht="12.75">
      <c r="A102" s="35" t="s">
        <v>71</v>
      </c>
      <c r="B102" s="101"/>
      <c r="C102" s="199">
        <f aca="true" t="shared" si="30" ref="C102:Q102">C103+C110</f>
        <v>17757</v>
      </c>
      <c r="D102" s="147">
        <f t="shared" si="30"/>
        <v>0</v>
      </c>
      <c r="E102" s="147">
        <f t="shared" si="30"/>
        <v>0</v>
      </c>
      <c r="F102" s="131">
        <f t="shared" si="30"/>
        <v>17757</v>
      </c>
      <c r="G102" s="267">
        <f t="shared" si="30"/>
        <v>2996</v>
      </c>
      <c r="H102" s="309">
        <f t="shared" si="30"/>
        <v>-1500</v>
      </c>
      <c r="I102" s="226">
        <f t="shared" si="30"/>
        <v>19253</v>
      </c>
      <c r="J102" s="147">
        <f t="shared" si="30"/>
        <v>0</v>
      </c>
      <c r="K102" s="116">
        <f t="shared" si="30"/>
        <v>0</v>
      </c>
      <c r="L102" s="116">
        <f t="shared" si="30"/>
        <v>18589</v>
      </c>
      <c r="M102" s="116">
        <f t="shared" si="30"/>
        <v>0</v>
      </c>
      <c r="N102" s="116">
        <f t="shared" si="30"/>
        <v>0</v>
      </c>
      <c r="O102" s="116">
        <f t="shared" si="30"/>
        <v>18589</v>
      </c>
      <c r="P102" s="116">
        <f t="shared" si="30"/>
        <v>0</v>
      </c>
      <c r="Q102" s="116">
        <f t="shared" si="30"/>
        <v>18589</v>
      </c>
    </row>
    <row r="103" spans="1:17" ht="12.75">
      <c r="A103" s="40" t="s">
        <v>49</v>
      </c>
      <c r="B103" s="101"/>
      <c r="C103" s="200">
        <f aca="true" t="shared" si="31" ref="C103:Q103">SUM(C105:C109)</f>
        <v>17757</v>
      </c>
      <c r="D103" s="149">
        <f t="shared" si="31"/>
        <v>0</v>
      </c>
      <c r="E103" s="149">
        <f t="shared" si="31"/>
        <v>0</v>
      </c>
      <c r="F103" s="175">
        <f t="shared" si="31"/>
        <v>17757</v>
      </c>
      <c r="G103" s="265">
        <f t="shared" si="31"/>
        <v>2996</v>
      </c>
      <c r="H103" s="311">
        <f t="shared" si="31"/>
        <v>-1500</v>
      </c>
      <c r="I103" s="246">
        <f t="shared" si="31"/>
        <v>19253</v>
      </c>
      <c r="J103" s="149">
        <f t="shared" si="31"/>
        <v>0</v>
      </c>
      <c r="K103" s="119">
        <f t="shared" si="31"/>
        <v>0</v>
      </c>
      <c r="L103" s="119">
        <f t="shared" si="31"/>
        <v>18589</v>
      </c>
      <c r="M103" s="119">
        <f t="shared" si="31"/>
        <v>0</v>
      </c>
      <c r="N103" s="119">
        <f t="shared" si="31"/>
        <v>0</v>
      </c>
      <c r="O103" s="119">
        <f t="shared" si="31"/>
        <v>18589</v>
      </c>
      <c r="P103" s="119">
        <f t="shared" si="31"/>
        <v>0</v>
      </c>
      <c r="Q103" s="119">
        <f t="shared" si="31"/>
        <v>18589</v>
      </c>
    </row>
    <row r="104" spans="1:17" ht="12.75">
      <c r="A104" s="36" t="s">
        <v>26</v>
      </c>
      <c r="B104" s="97"/>
      <c r="C104" s="197"/>
      <c r="D104" s="146"/>
      <c r="E104" s="146"/>
      <c r="F104" s="140"/>
      <c r="G104" s="263"/>
      <c r="H104" s="308"/>
      <c r="I104" s="243"/>
      <c r="J104" s="86"/>
      <c r="K104" s="7"/>
      <c r="L104" s="68"/>
      <c r="M104" s="22"/>
      <c r="N104" s="7"/>
      <c r="O104" s="21"/>
      <c r="P104" s="80"/>
      <c r="Q104" s="78"/>
    </row>
    <row r="105" spans="1:17" ht="12.75">
      <c r="A105" s="34" t="s">
        <v>51</v>
      </c>
      <c r="B105" s="97"/>
      <c r="C105" s="197">
        <v>17093</v>
      </c>
      <c r="D105" s="146"/>
      <c r="E105" s="146"/>
      <c r="F105" s="134">
        <f>C105+D105+E105</f>
        <v>17093</v>
      </c>
      <c r="G105" s="263"/>
      <c r="H105" s="308">
        <f>-1500</f>
        <v>-1500</v>
      </c>
      <c r="I105" s="244">
        <f>SUM(F105:H105)</f>
        <v>15593</v>
      </c>
      <c r="J105" s="86"/>
      <c r="K105" s="7"/>
      <c r="L105" s="72">
        <f>I105+J105+K105</f>
        <v>15593</v>
      </c>
      <c r="M105" s="22"/>
      <c r="N105" s="7"/>
      <c r="O105" s="23">
        <f>L105+M105+N105</f>
        <v>15593</v>
      </c>
      <c r="P105" s="80"/>
      <c r="Q105" s="78">
        <f t="shared" si="19"/>
        <v>15593</v>
      </c>
    </row>
    <row r="106" spans="1:17" ht="12.75">
      <c r="A106" s="261" t="s">
        <v>78</v>
      </c>
      <c r="B106" s="97">
        <v>1245</v>
      </c>
      <c r="C106" s="197">
        <v>664</v>
      </c>
      <c r="D106" s="146"/>
      <c r="E106" s="146"/>
      <c r="F106" s="134">
        <f>C106+D106+E106</f>
        <v>664</v>
      </c>
      <c r="G106" s="263"/>
      <c r="H106" s="308"/>
      <c r="I106" s="244">
        <f>SUM(F106:H106)</f>
        <v>664</v>
      </c>
      <c r="J106" s="86"/>
      <c r="K106" s="7"/>
      <c r="L106" s="72"/>
      <c r="M106" s="22"/>
      <c r="N106" s="7"/>
      <c r="O106" s="23"/>
      <c r="P106" s="80"/>
      <c r="Q106" s="78"/>
    </row>
    <row r="107" spans="1:17" ht="12.75">
      <c r="A107" s="45" t="s">
        <v>72</v>
      </c>
      <c r="B107" s="100">
        <v>33166</v>
      </c>
      <c r="C107" s="292"/>
      <c r="D107" s="213"/>
      <c r="E107" s="213"/>
      <c r="F107" s="229">
        <f>C107+D107+E107</f>
        <v>0</v>
      </c>
      <c r="G107" s="268">
        <f>2996</f>
        <v>2996</v>
      </c>
      <c r="H107" s="312"/>
      <c r="I107" s="248">
        <f>SUM(F107:H107)</f>
        <v>2996</v>
      </c>
      <c r="J107" s="86"/>
      <c r="K107" s="7"/>
      <c r="L107" s="72">
        <f>I107+J107+K107</f>
        <v>2996</v>
      </c>
      <c r="M107" s="22"/>
      <c r="N107" s="7"/>
      <c r="O107" s="23">
        <f>L107+M107+N107</f>
        <v>2996</v>
      </c>
      <c r="P107" s="80"/>
      <c r="Q107" s="78">
        <f t="shared" si="19"/>
        <v>2996</v>
      </c>
    </row>
    <row r="108" spans="1:17" ht="12.75" hidden="1">
      <c r="A108" s="45" t="s">
        <v>279</v>
      </c>
      <c r="B108" s="100">
        <v>33064</v>
      </c>
      <c r="C108" s="292"/>
      <c r="D108" s="213"/>
      <c r="E108" s="213"/>
      <c r="F108" s="229">
        <f>C108+D108+E108</f>
        <v>0</v>
      </c>
      <c r="G108" s="263"/>
      <c r="H108" s="308"/>
      <c r="I108" s="244"/>
      <c r="J108" s="86"/>
      <c r="K108" s="7"/>
      <c r="L108" s="72"/>
      <c r="M108" s="22"/>
      <c r="N108" s="7"/>
      <c r="O108" s="23"/>
      <c r="P108" s="80"/>
      <c r="Q108" s="78"/>
    </row>
    <row r="109" spans="1:17" ht="12.75" hidden="1">
      <c r="A109" s="38" t="s">
        <v>65</v>
      </c>
      <c r="B109" s="97"/>
      <c r="C109" s="197"/>
      <c r="D109" s="146"/>
      <c r="E109" s="146"/>
      <c r="F109" s="134">
        <f>C109+D109+E109</f>
        <v>0</v>
      </c>
      <c r="G109" s="263"/>
      <c r="H109" s="308"/>
      <c r="I109" s="244">
        <f>SUM(F109:H109)</f>
        <v>0</v>
      </c>
      <c r="J109" s="86"/>
      <c r="K109" s="7"/>
      <c r="L109" s="72">
        <f>I109+J109+K109</f>
        <v>0</v>
      </c>
      <c r="M109" s="22"/>
      <c r="N109" s="7"/>
      <c r="O109" s="23">
        <f>L109+M109+N109</f>
        <v>0</v>
      </c>
      <c r="P109" s="80"/>
      <c r="Q109" s="78">
        <f t="shared" si="19"/>
        <v>0</v>
      </c>
    </row>
    <row r="110" spans="1:17" ht="12.75" hidden="1">
      <c r="A110" s="40" t="s">
        <v>54</v>
      </c>
      <c r="B110" s="101"/>
      <c r="C110" s="200">
        <f>C112</f>
        <v>0</v>
      </c>
      <c r="D110" s="149">
        <f aca="true" t="shared" si="32" ref="D110:Q110">D112</f>
        <v>0</v>
      </c>
      <c r="E110" s="149">
        <f t="shared" si="32"/>
        <v>0</v>
      </c>
      <c r="F110" s="175">
        <f t="shared" si="32"/>
        <v>0</v>
      </c>
      <c r="G110" s="265">
        <f t="shared" si="32"/>
        <v>0</v>
      </c>
      <c r="H110" s="311">
        <f t="shared" si="32"/>
        <v>0</v>
      </c>
      <c r="I110" s="246">
        <f t="shared" si="32"/>
        <v>0</v>
      </c>
      <c r="J110" s="175">
        <f t="shared" si="32"/>
        <v>0</v>
      </c>
      <c r="K110" s="119">
        <f t="shared" si="32"/>
        <v>0</v>
      </c>
      <c r="L110" s="149">
        <f t="shared" si="32"/>
        <v>0</v>
      </c>
      <c r="M110" s="118">
        <f t="shared" si="32"/>
        <v>0</v>
      </c>
      <c r="N110" s="118">
        <f t="shared" si="32"/>
        <v>0</v>
      </c>
      <c r="O110" s="118">
        <f t="shared" si="32"/>
        <v>0</v>
      </c>
      <c r="P110" s="118">
        <f t="shared" si="32"/>
        <v>0</v>
      </c>
      <c r="Q110" s="200">
        <f t="shared" si="32"/>
        <v>0</v>
      </c>
    </row>
    <row r="111" spans="1:17" ht="12.75" hidden="1">
      <c r="A111" s="36" t="s">
        <v>26</v>
      </c>
      <c r="B111" s="97"/>
      <c r="C111" s="197"/>
      <c r="D111" s="146"/>
      <c r="E111" s="146"/>
      <c r="F111" s="140"/>
      <c r="G111" s="263"/>
      <c r="H111" s="308"/>
      <c r="I111" s="243"/>
      <c r="J111" s="86"/>
      <c r="K111" s="7"/>
      <c r="L111" s="68"/>
      <c r="M111" s="22"/>
      <c r="N111" s="7"/>
      <c r="O111" s="21"/>
      <c r="P111" s="80"/>
      <c r="Q111" s="78"/>
    </row>
    <row r="112" spans="1:17" ht="12.75" hidden="1">
      <c r="A112" s="37" t="s">
        <v>163</v>
      </c>
      <c r="B112" s="100"/>
      <c r="C112" s="292"/>
      <c r="D112" s="213"/>
      <c r="E112" s="213"/>
      <c r="F112" s="229">
        <f>C112+D112+E112</f>
        <v>0</v>
      </c>
      <c r="G112" s="268"/>
      <c r="H112" s="312"/>
      <c r="I112" s="249"/>
      <c r="J112" s="177"/>
      <c r="K112" s="10"/>
      <c r="L112" s="71">
        <f>I112+J112+K112</f>
        <v>0</v>
      </c>
      <c r="M112" s="26"/>
      <c r="N112" s="10"/>
      <c r="O112" s="27">
        <f>L112+M112+N112</f>
        <v>0</v>
      </c>
      <c r="P112" s="83"/>
      <c r="Q112" s="84">
        <f t="shared" si="19"/>
        <v>0</v>
      </c>
    </row>
    <row r="113" spans="1:17" ht="12.75">
      <c r="A113" s="31" t="s">
        <v>73</v>
      </c>
      <c r="B113" s="101"/>
      <c r="C113" s="196">
        <f aca="true" t="shared" si="33" ref="C113:Q113">C114+C126</f>
        <v>1419650</v>
      </c>
      <c r="D113" s="129">
        <f t="shared" si="33"/>
        <v>285470.35</v>
      </c>
      <c r="E113" s="129">
        <f t="shared" si="33"/>
        <v>0</v>
      </c>
      <c r="F113" s="140">
        <f t="shared" si="33"/>
        <v>1705120.35</v>
      </c>
      <c r="G113" s="262">
        <f t="shared" si="33"/>
        <v>42092.13</v>
      </c>
      <c r="H113" s="307">
        <f t="shared" si="33"/>
        <v>-27796</v>
      </c>
      <c r="I113" s="243">
        <f t="shared" si="33"/>
        <v>1719416.48</v>
      </c>
      <c r="J113" s="129">
        <f t="shared" si="33"/>
        <v>0</v>
      </c>
      <c r="K113" s="112">
        <f t="shared" si="33"/>
        <v>0</v>
      </c>
      <c r="L113" s="112">
        <f t="shared" si="33"/>
        <v>1719416.48</v>
      </c>
      <c r="M113" s="112">
        <f t="shared" si="33"/>
        <v>0</v>
      </c>
      <c r="N113" s="112">
        <f t="shared" si="33"/>
        <v>0</v>
      </c>
      <c r="O113" s="112">
        <f t="shared" si="33"/>
        <v>1719416.48</v>
      </c>
      <c r="P113" s="112">
        <f t="shared" si="33"/>
        <v>0</v>
      </c>
      <c r="Q113" s="112">
        <f t="shared" si="33"/>
        <v>1719416.48</v>
      </c>
    </row>
    <row r="114" spans="1:17" ht="12.75">
      <c r="A114" s="40" t="s">
        <v>49</v>
      </c>
      <c r="B114" s="101"/>
      <c r="C114" s="200">
        <f aca="true" t="shared" si="34" ref="C114:Q114">SUM(C117:C125)</f>
        <v>1417150</v>
      </c>
      <c r="D114" s="149">
        <f t="shared" si="34"/>
        <v>285470.35</v>
      </c>
      <c r="E114" s="149">
        <f t="shared" si="34"/>
        <v>0</v>
      </c>
      <c r="F114" s="175">
        <f t="shared" si="34"/>
        <v>1702620.35</v>
      </c>
      <c r="G114" s="265">
        <f t="shared" si="34"/>
        <v>42092.13</v>
      </c>
      <c r="H114" s="311">
        <f t="shared" si="34"/>
        <v>-27796</v>
      </c>
      <c r="I114" s="246">
        <f t="shared" si="34"/>
        <v>1716916.48</v>
      </c>
      <c r="J114" s="149">
        <f t="shared" si="34"/>
        <v>0</v>
      </c>
      <c r="K114" s="119">
        <f t="shared" si="34"/>
        <v>0</v>
      </c>
      <c r="L114" s="119">
        <f t="shared" si="34"/>
        <v>1716916.48</v>
      </c>
      <c r="M114" s="119">
        <f t="shared" si="34"/>
        <v>0</v>
      </c>
      <c r="N114" s="119">
        <f t="shared" si="34"/>
        <v>0</v>
      </c>
      <c r="O114" s="119">
        <f t="shared" si="34"/>
        <v>1716916.48</v>
      </c>
      <c r="P114" s="119">
        <f t="shared" si="34"/>
        <v>0</v>
      </c>
      <c r="Q114" s="119">
        <f t="shared" si="34"/>
        <v>1716916.48</v>
      </c>
    </row>
    <row r="115" spans="1:17" ht="12.75">
      <c r="A115" s="36" t="s">
        <v>26</v>
      </c>
      <c r="B115" s="97"/>
      <c r="C115" s="197"/>
      <c r="D115" s="146"/>
      <c r="E115" s="146"/>
      <c r="F115" s="140"/>
      <c r="G115" s="263"/>
      <c r="H115" s="308"/>
      <c r="I115" s="243"/>
      <c r="J115" s="86"/>
      <c r="K115" s="7"/>
      <c r="L115" s="68"/>
      <c r="M115" s="22"/>
      <c r="N115" s="7"/>
      <c r="O115" s="21"/>
      <c r="P115" s="80"/>
      <c r="Q115" s="78"/>
    </row>
    <row r="116" spans="1:17" ht="12.75">
      <c r="A116" s="38" t="s">
        <v>327</v>
      </c>
      <c r="B116" s="97"/>
      <c r="C116" s="197">
        <f>C117+C118</f>
        <v>882300</v>
      </c>
      <c r="D116" s="146">
        <f>D117+D118</f>
        <v>39230.06</v>
      </c>
      <c r="E116" s="146">
        <f>E117+E118</f>
        <v>0</v>
      </c>
      <c r="F116" s="134">
        <f>F117+F118</f>
        <v>921530.06</v>
      </c>
      <c r="G116" s="114">
        <f>G117+G118</f>
        <v>42092.13</v>
      </c>
      <c r="H116" s="308"/>
      <c r="I116" s="244">
        <f>I117+I118</f>
        <v>963601.54</v>
      </c>
      <c r="J116" s="86"/>
      <c r="K116" s="7"/>
      <c r="L116" s="72">
        <f>L117+L118</f>
        <v>963601.54</v>
      </c>
      <c r="M116" s="22"/>
      <c r="N116" s="7"/>
      <c r="O116" s="23">
        <f>O117+O118</f>
        <v>963601.54</v>
      </c>
      <c r="P116" s="80"/>
      <c r="Q116" s="78">
        <f t="shared" si="19"/>
        <v>963601.54</v>
      </c>
    </row>
    <row r="117" spans="1:19" ht="12.75">
      <c r="A117" s="38" t="s">
        <v>328</v>
      </c>
      <c r="B117" s="97"/>
      <c r="C117" s="197">
        <v>417000</v>
      </c>
      <c r="D117" s="215">
        <f>-1621.14+582.5+50.49</f>
        <v>-988.1500000000001</v>
      </c>
      <c r="E117" s="146"/>
      <c r="F117" s="134">
        <f aca="true" t="shared" si="35" ref="F117:F125">C117+D117+E117</f>
        <v>416011.85</v>
      </c>
      <c r="G117" s="263">
        <f>822.13+40000</f>
        <v>40822.13</v>
      </c>
      <c r="H117" s="308">
        <f>-20.65</f>
        <v>-20.65</v>
      </c>
      <c r="I117" s="244">
        <f aca="true" t="shared" si="36" ref="I117:I125">F117+G117+H117</f>
        <v>456813.32999999996</v>
      </c>
      <c r="J117" s="86"/>
      <c r="K117" s="7"/>
      <c r="L117" s="72">
        <f aca="true" t="shared" si="37" ref="L117:L125">I117+J117+K117</f>
        <v>456813.32999999996</v>
      </c>
      <c r="M117" s="22"/>
      <c r="N117" s="7"/>
      <c r="O117" s="23">
        <f aca="true" t="shared" si="38" ref="O117:O125">L117+M117+N117</f>
        <v>456813.32999999996</v>
      </c>
      <c r="P117" s="80"/>
      <c r="Q117" s="78">
        <f t="shared" si="19"/>
        <v>456813.32999999996</v>
      </c>
      <c r="S117" s="194"/>
    </row>
    <row r="118" spans="1:17" ht="12.75">
      <c r="A118" s="34" t="s">
        <v>329</v>
      </c>
      <c r="B118" s="97"/>
      <c r="C118" s="197">
        <v>465300</v>
      </c>
      <c r="D118" s="146">
        <f>5577+34402+239.21</f>
        <v>40218.21</v>
      </c>
      <c r="E118" s="146"/>
      <c r="F118" s="134">
        <f t="shared" si="35"/>
        <v>505518.21</v>
      </c>
      <c r="G118" s="263">
        <f>1270</f>
        <v>1270</v>
      </c>
      <c r="H118" s="314"/>
      <c r="I118" s="244">
        <f t="shared" si="36"/>
        <v>506788.21</v>
      </c>
      <c r="J118" s="86"/>
      <c r="K118" s="7"/>
      <c r="L118" s="72">
        <f t="shared" si="37"/>
        <v>506788.21</v>
      </c>
      <c r="M118" s="22"/>
      <c r="N118" s="7"/>
      <c r="O118" s="23">
        <f t="shared" si="38"/>
        <v>506788.21</v>
      </c>
      <c r="P118" s="80"/>
      <c r="Q118" s="78">
        <f t="shared" si="19"/>
        <v>506788.21</v>
      </c>
    </row>
    <row r="119" spans="1:17" ht="12.75">
      <c r="A119" s="38" t="s">
        <v>74</v>
      </c>
      <c r="B119" s="97"/>
      <c r="C119" s="197">
        <v>28000</v>
      </c>
      <c r="D119" s="146"/>
      <c r="E119" s="146"/>
      <c r="F119" s="134">
        <f t="shared" si="35"/>
        <v>28000</v>
      </c>
      <c r="G119" s="263"/>
      <c r="H119" s="308"/>
      <c r="I119" s="244">
        <f t="shared" si="36"/>
        <v>28000</v>
      </c>
      <c r="J119" s="86"/>
      <c r="K119" s="7"/>
      <c r="L119" s="72">
        <f t="shared" si="37"/>
        <v>28000</v>
      </c>
      <c r="M119" s="22"/>
      <c r="N119" s="7"/>
      <c r="O119" s="23">
        <f t="shared" si="38"/>
        <v>28000</v>
      </c>
      <c r="P119" s="80"/>
      <c r="Q119" s="78">
        <f t="shared" si="19"/>
        <v>28000</v>
      </c>
    </row>
    <row r="120" spans="1:17" ht="12.75">
      <c r="A120" s="34" t="s">
        <v>75</v>
      </c>
      <c r="B120" s="97"/>
      <c r="C120" s="197"/>
      <c r="D120" s="146"/>
      <c r="E120" s="146"/>
      <c r="F120" s="134">
        <f t="shared" si="35"/>
        <v>0</v>
      </c>
      <c r="G120" s="263"/>
      <c r="H120" s="308">
        <f>20.65</f>
        <v>20.65</v>
      </c>
      <c r="I120" s="244">
        <f t="shared" si="36"/>
        <v>20.65</v>
      </c>
      <c r="J120" s="86"/>
      <c r="K120" s="7"/>
      <c r="L120" s="72">
        <f t="shared" si="37"/>
        <v>20.65</v>
      </c>
      <c r="M120" s="22"/>
      <c r="N120" s="7"/>
      <c r="O120" s="23">
        <f t="shared" si="38"/>
        <v>20.65</v>
      </c>
      <c r="P120" s="80"/>
      <c r="Q120" s="78">
        <f t="shared" si="19"/>
        <v>20.65</v>
      </c>
    </row>
    <row r="121" spans="1:17" ht="12.75">
      <c r="A121" s="34" t="s">
        <v>65</v>
      </c>
      <c r="B121" s="97"/>
      <c r="C121" s="197"/>
      <c r="D121" s="146">
        <f>1621.14</f>
        <v>1621.14</v>
      </c>
      <c r="E121" s="146"/>
      <c r="F121" s="134">
        <f t="shared" si="35"/>
        <v>1621.14</v>
      </c>
      <c r="G121" s="263"/>
      <c r="H121" s="308"/>
      <c r="I121" s="244">
        <f t="shared" si="36"/>
        <v>1621.14</v>
      </c>
      <c r="J121" s="86"/>
      <c r="K121" s="7"/>
      <c r="L121" s="72">
        <f t="shared" si="37"/>
        <v>1621.14</v>
      </c>
      <c r="M121" s="22"/>
      <c r="N121" s="7"/>
      <c r="O121" s="23">
        <f t="shared" si="38"/>
        <v>1621.14</v>
      </c>
      <c r="P121" s="80"/>
      <c r="Q121" s="78">
        <f t="shared" si="19"/>
        <v>1621.14</v>
      </c>
    </row>
    <row r="122" spans="1:17" ht="12.75" hidden="1">
      <c r="A122" s="34" t="s">
        <v>76</v>
      </c>
      <c r="B122" s="97">
        <v>91252</v>
      </c>
      <c r="C122" s="197"/>
      <c r="D122" s="146"/>
      <c r="E122" s="146"/>
      <c r="F122" s="134">
        <f t="shared" si="35"/>
        <v>0</v>
      </c>
      <c r="G122" s="263"/>
      <c r="H122" s="308"/>
      <c r="I122" s="244">
        <f t="shared" si="36"/>
        <v>0</v>
      </c>
      <c r="J122" s="86"/>
      <c r="K122" s="7"/>
      <c r="L122" s="72">
        <f t="shared" si="37"/>
        <v>0</v>
      </c>
      <c r="M122" s="22"/>
      <c r="N122" s="7"/>
      <c r="O122" s="23">
        <f t="shared" si="38"/>
        <v>0</v>
      </c>
      <c r="P122" s="80"/>
      <c r="Q122" s="78">
        <f t="shared" si="19"/>
        <v>0</v>
      </c>
    </row>
    <row r="123" spans="1:17" ht="12.75">
      <c r="A123" s="34" t="s">
        <v>140</v>
      </c>
      <c r="B123" s="97">
        <v>27355</v>
      </c>
      <c r="C123" s="197"/>
      <c r="D123" s="146">
        <f>223545.15</f>
        <v>223545.15</v>
      </c>
      <c r="E123" s="146"/>
      <c r="F123" s="134">
        <f t="shared" si="35"/>
        <v>223545.15</v>
      </c>
      <c r="G123" s="263"/>
      <c r="H123" s="308"/>
      <c r="I123" s="244">
        <f t="shared" si="36"/>
        <v>223545.15</v>
      </c>
      <c r="J123" s="86"/>
      <c r="K123" s="7"/>
      <c r="L123" s="72">
        <f t="shared" si="37"/>
        <v>223545.15</v>
      </c>
      <c r="M123" s="22"/>
      <c r="N123" s="7"/>
      <c r="O123" s="23">
        <f t="shared" si="38"/>
        <v>223545.15</v>
      </c>
      <c r="P123" s="80"/>
      <c r="Q123" s="78">
        <f t="shared" si="19"/>
        <v>223545.15</v>
      </c>
    </row>
    <row r="124" spans="1:17" ht="12.75">
      <c r="A124" s="34" t="s">
        <v>51</v>
      </c>
      <c r="B124" s="97"/>
      <c r="C124" s="197">
        <v>506850</v>
      </c>
      <c r="D124" s="146">
        <f>20641.9+432.1</f>
        <v>21074</v>
      </c>
      <c r="E124" s="146"/>
      <c r="F124" s="134">
        <f t="shared" si="35"/>
        <v>527924</v>
      </c>
      <c r="G124" s="263"/>
      <c r="H124" s="308">
        <f>-27796</f>
        <v>-27796</v>
      </c>
      <c r="I124" s="244">
        <f t="shared" si="36"/>
        <v>500128</v>
      </c>
      <c r="J124" s="86"/>
      <c r="K124" s="7"/>
      <c r="L124" s="72">
        <f t="shared" si="37"/>
        <v>500128</v>
      </c>
      <c r="M124" s="22"/>
      <c r="N124" s="7"/>
      <c r="O124" s="23">
        <f t="shared" si="38"/>
        <v>500128</v>
      </c>
      <c r="P124" s="80"/>
      <c r="Q124" s="78">
        <f t="shared" si="19"/>
        <v>500128</v>
      </c>
    </row>
    <row r="125" spans="1:17" ht="12" customHeight="1" hidden="1">
      <c r="A125" s="34" t="s">
        <v>77</v>
      </c>
      <c r="B125" s="97"/>
      <c r="C125" s="197"/>
      <c r="D125" s="146"/>
      <c r="E125" s="146"/>
      <c r="F125" s="134">
        <f t="shared" si="35"/>
        <v>0</v>
      </c>
      <c r="G125" s="263"/>
      <c r="H125" s="308"/>
      <c r="I125" s="244">
        <f t="shared" si="36"/>
        <v>0</v>
      </c>
      <c r="J125" s="86"/>
      <c r="K125" s="7"/>
      <c r="L125" s="72">
        <f t="shared" si="37"/>
        <v>0</v>
      </c>
      <c r="M125" s="22"/>
      <c r="N125" s="7"/>
      <c r="O125" s="23">
        <f t="shared" si="38"/>
        <v>0</v>
      </c>
      <c r="P125" s="80"/>
      <c r="Q125" s="78">
        <f t="shared" si="19"/>
        <v>0</v>
      </c>
    </row>
    <row r="126" spans="1:17" ht="12.75">
      <c r="A126" s="41" t="s">
        <v>54</v>
      </c>
      <c r="B126" s="101"/>
      <c r="C126" s="201">
        <f>SUM(C128:C130)</f>
        <v>2500</v>
      </c>
      <c r="D126" s="150">
        <f aca="true" t="shared" si="39" ref="D126:Q126">SUM(D128:D130)</f>
        <v>0</v>
      </c>
      <c r="E126" s="150">
        <f t="shared" si="39"/>
        <v>0</v>
      </c>
      <c r="F126" s="176">
        <f t="shared" si="39"/>
        <v>2500</v>
      </c>
      <c r="G126" s="266">
        <f t="shared" si="39"/>
        <v>0</v>
      </c>
      <c r="H126" s="313">
        <f t="shared" si="39"/>
        <v>0</v>
      </c>
      <c r="I126" s="247">
        <f t="shared" si="39"/>
        <v>2500</v>
      </c>
      <c r="J126" s="164">
        <f t="shared" si="39"/>
        <v>0</v>
      </c>
      <c r="K126" s="164">
        <f t="shared" si="39"/>
        <v>0</v>
      </c>
      <c r="L126" s="164">
        <f t="shared" si="39"/>
        <v>2500</v>
      </c>
      <c r="M126" s="164">
        <f t="shared" si="39"/>
        <v>0</v>
      </c>
      <c r="N126" s="164">
        <f t="shared" si="39"/>
        <v>0</v>
      </c>
      <c r="O126" s="164">
        <f t="shared" si="39"/>
        <v>2500</v>
      </c>
      <c r="P126" s="164">
        <f t="shared" si="39"/>
        <v>0</v>
      </c>
      <c r="Q126" s="164">
        <f t="shared" si="39"/>
        <v>2500</v>
      </c>
    </row>
    <row r="127" spans="1:17" ht="12.75">
      <c r="A127" s="32" t="s">
        <v>26</v>
      </c>
      <c r="B127" s="97"/>
      <c r="C127" s="199"/>
      <c r="D127" s="147"/>
      <c r="E127" s="147"/>
      <c r="F127" s="131"/>
      <c r="G127" s="267"/>
      <c r="H127" s="309"/>
      <c r="I127" s="226"/>
      <c r="J127" s="173"/>
      <c r="K127" s="8"/>
      <c r="L127" s="28"/>
      <c r="M127" s="24"/>
      <c r="N127" s="8"/>
      <c r="O127" s="25"/>
      <c r="P127" s="80"/>
      <c r="Q127" s="78"/>
    </row>
    <row r="128" spans="1:17" ht="12.75" hidden="1">
      <c r="A128" s="42" t="s">
        <v>55</v>
      </c>
      <c r="B128" s="100"/>
      <c r="C128" s="292"/>
      <c r="D128" s="213"/>
      <c r="E128" s="213"/>
      <c r="F128" s="229">
        <f>C128+D128+E128</f>
        <v>0</v>
      </c>
      <c r="G128" s="263"/>
      <c r="H128" s="308"/>
      <c r="I128" s="244">
        <f>F128+G128+H128</f>
        <v>0</v>
      </c>
      <c r="J128" s="86"/>
      <c r="K128" s="7"/>
      <c r="L128" s="72">
        <f>I128+J128+K128</f>
        <v>0</v>
      </c>
      <c r="M128" s="22"/>
      <c r="N128" s="7"/>
      <c r="O128" s="23">
        <f>L128+M128+N128</f>
        <v>0</v>
      </c>
      <c r="P128" s="80"/>
      <c r="Q128" s="78">
        <f t="shared" si="19"/>
        <v>0</v>
      </c>
    </row>
    <row r="129" spans="1:17" ht="12.75">
      <c r="A129" s="37" t="s">
        <v>85</v>
      </c>
      <c r="B129" s="100"/>
      <c r="C129" s="292">
        <v>2500</v>
      </c>
      <c r="D129" s="213"/>
      <c r="E129" s="213"/>
      <c r="F129" s="229">
        <f>C129+D129+E129</f>
        <v>2500</v>
      </c>
      <c r="G129" s="268"/>
      <c r="H129" s="312"/>
      <c r="I129" s="248">
        <f>F129+G129+H129</f>
        <v>2500</v>
      </c>
      <c r="J129" s="86"/>
      <c r="K129" s="7"/>
      <c r="L129" s="72">
        <f>I129+J129+K129</f>
        <v>2500</v>
      </c>
      <c r="M129" s="22"/>
      <c r="N129" s="7"/>
      <c r="O129" s="23">
        <f>L129+M129+N129</f>
        <v>2500</v>
      </c>
      <c r="P129" s="80"/>
      <c r="Q129" s="78">
        <f t="shared" si="19"/>
        <v>2500</v>
      </c>
    </row>
    <row r="130" spans="1:17" ht="12.75" hidden="1">
      <c r="A130" s="37" t="s">
        <v>78</v>
      </c>
      <c r="B130" s="100"/>
      <c r="C130" s="292"/>
      <c r="D130" s="213"/>
      <c r="E130" s="213"/>
      <c r="F130" s="229">
        <f>C130+D130+E130</f>
        <v>0</v>
      </c>
      <c r="G130" s="268"/>
      <c r="H130" s="312"/>
      <c r="I130" s="248">
        <f>F130+G130+H130</f>
        <v>0</v>
      </c>
      <c r="J130" s="177"/>
      <c r="K130" s="10"/>
      <c r="L130" s="71">
        <f>I130+J130+K130</f>
        <v>0</v>
      </c>
      <c r="M130" s="26"/>
      <c r="N130" s="10"/>
      <c r="O130" s="27">
        <f>L130+M130+N130</f>
        <v>0</v>
      </c>
      <c r="P130" s="83"/>
      <c r="Q130" s="84">
        <f t="shared" si="19"/>
        <v>0</v>
      </c>
    </row>
    <row r="131" spans="1:17" ht="12.75">
      <c r="A131" s="35" t="s">
        <v>79</v>
      </c>
      <c r="B131" s="101"/>
      <c r="C131" s="199">
        <f>C132+C137</f>
        <v>64210</v>
      </c>
      <c r="D131" s="147">
        <f>D132+D137</f>
        <v>26046.79</v>
      </c>
      <c r="E131" s="147">
        <f>E132+E137</f>
        <v>0</v>
      </c>
      <c r="F131" s="131">
        <f>F132+F137</f>
        <v>90256.79</v>
      </c>
      <c r="G131" s="267">
        <f aca="true" t="shared" si="40" ref="G131:Q131">G132+G137</f>
        <v>1251.29</v>
      </c>
      <c r="H131" s="309">
        <f t="shared" si="40"/>
        <v>-3737.05</v>
      </c>
      <c r="I131" s="226">
        <f t="shared" si="40"/>
        <v>87771.03</v>
      </c>
      <c r="J131" s="161">
        <f t="shared" si="40"/>
        <v>0</v>
      </c>
      <c r="K131" s="161">
        <f t="shared" si="40"/>
        <v>0</v>
      </c>
      <c r="L131" s="161">
        <f t="shared" si="40"/>
        <v>87771.03</v>
      </c>
      <c r="M131" s="161">
        <f t="shared" si="40"/>
        <v>0</v>
      </c>
      <c r="N131" s="161">
        <f t="shared" si="40"/>
        <v>0</v>
      </c>
      <c r="O131" s="161">
        <f t="shared" si="40"/>
        <v>87771.03</v>
      </c>
      <c r="P131" s="161">
        <f t="shared" si="40"/>
        <v>0</v>
      </c>
      <c r="Q131" s="161">
        <f t="shared" si="40"/>
        <v>87771.03</v>
      </c>
    </row>
    <row r="132" spans="1:17" ht="12.75">
      <c r="A132" s="40" t="s">
        <v>49</v>
      </c>
      <c r="B132" s="101"/>
      <c r="C132" s="200">
        <f>SUM(C134:C136)</f>
        <v>47210</v>
      </c>
      <c r="D132" s="149">
        <f>SUM(D134:D136)</f>
        <v>11526.31</v>
      </c>
      <c r="E132" s="149">
        <f>SUM(E134:E136)</f>
        <v>0</v>
      </c>
      <c r="F132" s="175">
        <f>SUM(F134:F136)</f>
        <v>58736.31</v>
      </c>
      <c r="G132" s="265">
        <f aca="true" t="shared" si="41" ref="G132:Q132">SUM(G134:G136)</f>
        <v>0</v>
      </c>
      <c r="H132" s="311">
        <f t="shared" si="41"/>
        <v>-2667.05</v>
      </c>
      <c r="I132" s="246">
        <f t="shared" si="41"/>
        <v>56069.259999999995</v>
      </c>
      <c r="J132" s="163">
        <f t="shared" si="41"/>
        <v>0</v>
      </c>
      <c r="K132" s="163">
        <f t="shared" si="41"/>
        <v>0</v>
      </c>
      <c r="L132" s="163">
        <f t="shared" si="41"/>
        <v>56069.259999999995</v>
      </c>
      <c r="M132" s="163">
        <f t="shared" si="41"/>
        <v>0</v>
      </c>
      <c r="N132" s="163">
        <f t="shared" si="41"/>
        <v>0</v>
      </c>
      <c r="O132" s="163">
        <f t="shared" si="41"/>
        <v>56069.259999999995</v>
      </c>
      <c r="P132" s="163">
        <f t="shared" si="41"/>
        <v>0</v>
      </c>
      <c r="Q132" s="163">
        <f t="shared" si="41"/>
        <v>56069.259999999995</v>
      </c>
    </row>
    <row r="133" spans="1:17" ht="12.75">
      <c r="A133" s="36" t="s">
        <v>26</v>
      </c>
      <c r="B133" s="97"/>
      <c r="C133" s="197"/>
      <c r="D133" s="146"/>
      <c r="E133" s="146"/>
      <c r="F133" s="140"/>
      <c r="G133" s="263"/>
      <c r="H133" s="308"/>
      <c r="I133" s="243"/>
      <c r="J133" s="86"/>
      <c r="K133" s="7"/>
      <c r="L133" s="68"/>
      <c r="M133" s="22"/>
      <c r="N133" s="7"/>
      <c r="O133" s="21"/>
      <c r="P133" s="80"/>
      <c r="Q133" s="78"/>
    </row>
    <row r="134" spans="1:17" ht="12.75">
      <c r="A134" s="34" t="s">
        <v>51</v>
      </c>
      <c r="B134" s="97"/>
      <c r="C134" s="197">
        <v>23210</v>
      </c>
      <c r="D134" s="146">
        <f>10326.31</f>
        <v>10326.31</v>
      </c>
      <c r="E134" s="146"/>
      <c r="F134" s="134">
        <f>C134+D134+E134</f>
        <v>33536.31</v>
      </c>
      <c r="G134" s="263"/>
      <c r="H134" s="308">
        <f>-2667.05</f>
        <v>-2667.05</v>
      </c>
      <c r="I134" s="244">
        <f>F134+G134+H134</f>
        <v>30869.26</v>
      </c>
      <c r="J134" s="86"/>
      <c r="K134" s="7"/>
      <c r="L134" s="72">
        <f>I134+J134+K134</f>
        <v>30869.26</v>
      </c>
      <c r="M134" s="22"/>
      <c r="N134" s="7"/>
      <c r="O134" s="23">
        <f>L134+M134+N134</f>
        <v>30869.26</v>
      </c>
      <c r="P134" s="80"/>
      <c r="Q134" s="78">
        <f t="shared" si="19"/>
        <v>30869.26</v>
      </c>
    </row>
    <row r="135" spans="1:17" ht="12.75" hidden="1">
      <c r="A135" s="34" t="s">
        <v>78</v>
      </c>
      <c r="B135" s="97"/>
      <c r="C135" s="197"/>
      <c r="D135" s="146"/>
      <c r="E135" s="146"/>
      <c r="F135" s="134">
        <f>C135+D135+E135</f>
        <v>0</v>
      </c>
      <c r="G135" s="263"/>
      <c r="H135" s="308"/>
      <c r="I135" s="244"/>
      <c r="J135" s="86"/>
      <c r="K135" s="7"/>
      <c r="L135" s="72"/>
      <c r="M135" s="22"/>
      <c r="N135" s="7"/>
      <c r="O135" s="23">
        <f>L135+M135+N135</f>
        <v>0</v>
      </c>
      <c r="P135" s="80"/>
      <c r="Q135" s="78">
        <f t="shared" si="19"/>
        <v>0</v>
      </c>
    </row>
    <row r="136" spans="1:17" ht="12.75">
      <c r="A136" s="34" t="s">
        <v>80</v>
      </c>
      <c r="B136" s="97"/>
      <c r="C136" s="197">
        <v>24000</v>
      </c>
      <c r="D136" s="146">
        <f>1200</f>
        <v>1200</v>
      </c>
      <c r="E136" s="146"/>
      <c r="F136" s="134">
        <f>C136+D136+E136</f>
        <v>25200</v>
      </c>
      <c r="G136" s="263"/>
      <c r="H136" s="308"/>
      <c r="I136" s="244">
        <f>F136+G136+H136</f>
        <v>25200</v>
      </c>
      <c r="J136" s="86"/>
      <c r="K136" s="7"/>
      <c r="L136" s="72">
        <f>I136+J136+K136</f>
        <v>25200</v>
      </c>
      <c r="M136" s="22"/>
      <c r="N136" s="7"/>
      <c r="O136" s="23">
        <f>L136+M136+N136</f>
        <v>25200</v>
      </c>
      <c r="P136" s="80"/>
      <c r="Q136" s="78">
        <f>O136+P136</f>
        <v>25200</v>
      </c>
    </row>
    <row r="137" spans="1:17" ht="12.75">
      <c r="A137" s="41" t="s">
        <v>54</v>
      </c>
      <c r="B137" s="101"/>
      <c r="C137" s="201">
        <f>SUM(C139:C142)</f>
        <v>17000</v>
      </c>
      <c r="D137" s="150">
        <f aca="true" t="shared" si="42" ref="D137:Q137">SUM(D139:D142)</f>
        <v>14520.48</v>
      </c>
      <c r="E137" s="150">
        <f t="shared" si="42"/>
        <v>0</v>
      </c>
      <c r="F137" s="176">
        <f t="shared" si="42"/>
        <v>31520.48</v>
      </c>
      <c r="G137" s="266">
        <f t="shared" si="42"/>
        <v>1251.29</v>
      </c>
      <c r="H137" s="313">
        <f t="shared" si="42"/>
        <v>-1070</v>
      </c>
      <c r="I137" s="247">
        <f t="shared" si="42"/>
        <v>31701.769999999997</v>
      </c>
      <c r="J137" s="164">
        <f t="shared" si="42"/>
        <v>0</v>
      </c>
      <c r="K137" s="164">
        <f t="shared" si="42"/>
        <v>0</v>
      </c>
      <c r="L137" s="164">
        <f t="shared" si="42"/>
        <v>31701.769999999997</v>
      </c>
      <c r="M137" s="164">
        <f t="shared" si="42"/>
        <v>0</v>
      </c>
      <c r="N137" s="164">
        <f t="shared" si="42"/>
        <v>0</v>
      </c>
      <c r="O137" s="164">
        <f t="shared" si="42"/>
        <v>31701.769999999997</v>
      </c>
      <c r="P137" s="164">
        <f t="shared" si="42"/>
        <v>0</v>
      </c>
      <c r="Q137" s="164">
        <f t="shared" si="42"/>
        <v>31701.769999999997</v>
      </c>
    </row>
    <row r="138" spans="1:17" ht="12.75">
      <c r="A138" s="32" t="s">
        <v>26</v>
      </c>
      <c r="B138" s="97"/>
      <c r="C138" s="199"/>
      <c r="D138" s="147"/>
      <c r="E138" s="147"/>
      <c r="F138" s="131"/>
      <c r="G138" s="267"/>
      <c r="H138" s="309"/>
      <c r="I138" s="226"/>
      <c r="J138" s="173"/>
      <c r="K138" s="8"/>
      <c r="L138" s="28"/>
      <c r="M138" s="24"/>
      <c r="N138" s="8"/>
      <c r="O138" s="25"/>
      <c r="P138" s="80"/>
      <c r="Q138" s="78"/>
    </row>
    <row r="139" spans="1:17" ht="12.75" hidden="1">
      <c r="A139" s="34" t="s">
        <v>161</v>
      </c>
      <c r="B139" s="97">
        <v>98861</v>
      </c>
      <c r="C139" s="197"/>
      <c r="D139" s="146"/>
      <c r="E139" s="146"/>
      <c r="F139" s="134">
        <f>C139+D139+E139</f>
        <v>0</v>
      </c>
      <c r="G139" s="267"/>
      <c r="H139" s="309"/>
      <c r="I139" s="244"/>
      <c r="J139" s="173"/>
      <c r="K139" s="8"/>
      <c r="L139" s="72"/>
      <c r="M139" s="24"/>
      <c r="N139" s="8"/>
      <c r="O139" s="23">
        <f>L139+M139+N139</f>
        <v>0</v>
      </c>
      <c r="P139" s="80"/>
      <c r="Q139" s="78">
        <f>O139+P139</f>
        <v>0</v>
      </c>
    </row>
    <row r="140" spans="1:17" ht="12.75" hidden="1">
      <c r="A140" s="34" t="s">
        <v>217</v>
      </c>
      <c r="B140" s="97">
        <v>7938</v>
      </c>
      <c r="C140" s="197"/>
      <c r="D140" s="146"/>
      <c r="E140" s="146"/>
      <c r="F140" s="134">
        <f>C140+D140+E140</f>
        <v>0</v>
      </c>
      <c r="G140" s="267"/>
      <c r="H140" s="309"/>
      <c r="I140" s="244"/>
      <c r="J140" s="173"/>
      <c r="K140" s="8"/>
      <c r="L140" s="72"/>
      <c r="M140" s="24"/>
      <c r="N140" s="8"/>
      <c r="O140" s="23"/>
      <c r="P140" s="80"/>
      <c r="Q140" s="78"/>
    </row>
    <row r="141" spans="1:17" ht="12.75" hidden="1">
      <c r="A141" s="34" t="s">
        <v>244</v>
      </c>
      <c r="B141" s="97"/>
      <c r="C141" s="197"/>
      <c r="D141" s="146"/>
      <c r="E141" s="146"/>
      <c r="F141" s="134">
        <f>C141+D141+E141</f>
        <v>0</v>
      </c>
      <c r="G141" s="267"/>
      <c r="H141" s="309"/>
      <c r="I141" s="244"/>
      <c r="J141" s="173"/>
      <c r="K141" s="8"/>
      <c r="L141" s="72"/>
      <c r="M141" s="24"/>
      <c r="N141" s="8"/>
      <c r="O141" s="23"/>
      <c r="P141" s="80"/>
      <c r="Q141" s="78"/>
    </row>
    <row r="142" spans="1:17" ht="12.75">
      <c r="A142" s="45" t="s">
        <v>55</v>
      </c>
      <c r="B142" s="100"/>
      <c r="C142" s="292">
        <v>17000</v>
      </c>
      <c r="D142" s="213">
        <f>14520.48</f>
        <v>14520.48</v>
      </c>
      <c r="E142" s="213"/>
      <c r="F142" s="229">
        <f>C142+D142+E142</f>
        <v>31520.48</v>
      </c>
      <c r="G142" s="268">
        <f>1251.29</f>
        <v>1251.29</v>
      </c>
      <c r="H142" s="312">
        <f>-1070</f>
        <v>-1070</v>
      </c>
      <c r="I142" s="248">
        <f>F142+G142+H142</f>
        <v>31701.769999999997</v>
      </c>
      <c r="J142" s="177"/>
      <c r="K142" s="10"/>
      <c r="L142" s="71">
        <f>I142+J142+K142</f>
        <v>31701.769999999997</v>
      </c>
      <c r="M142" s="26"/>
      <c r="N142" s="10"/>
      <c r="O142" s="27">
        <f>L142+M142+N142</f>
        <v>31701.769999999997</v>
      </c>
      <c r="P142" s="83"/>
      <c r="Q142" s="84">
        <f>O142+P142</f>
        <v>31701.769999999997</v>
      </c>
    </row>
    <row r="143" spans="1:17" ht="12.75">
      <c r="A143" s="31" t="s">
        <v>265</v>
      </c>
      <c r="B143" s="101"/>
      <c r="C143" s="196">
        <f>C144+C164</f>
        <v>4910.1</v>
      </c>
      <c r="D143" s="129">
        <f>D144+D164</f>
        <v>239884.70999999996</v>
      </c>
      <c r="E143" s="129">
        <f>E144+E164</f>
        <v>0</v>
      </c>
      <c r="F143" s="140">
        <f>F144+F164</f>
        <v>244794.81</v>
      </c>
      <c r="G143" s="262">
        <f aca="true" t="shared" si="43" ref="G143:Q143">G144+G164</f>
        <v>-2715.88</v>
      </c>
      <c r="H143" s="307">
        <f t="shared" si="43"/>
        <v>0</v>
      </c>
      <c r="I143" s="243">
        <f t="shared" si="43"/>
        <v>242078.93</v>
      </c>
      <c r="J143" s="153">
        <f t="shared" si="43"/>
        <v>0</v>
      </c>
      <c r="K143" s="153">
        <f t="shared" si="43"/>
        <v>0</v>
      </c>
      <c r="L143" s="153">
        <f t="shared" si="43"/>
        <v>3710.7</v>
      </c>
      <c r="M143" s="153">
        <f t="shared" si="43"/>
        <v>0</v>
      </c>
      <c r="N143" s="153">
        <f t="shared" si="43"/>
        <v>0</v>
      </c>
      <c r="O143" s="153">
        <f t="shared" si="43"/>
        <v>3710.7</v>
      </c>
      <c r="P143" s="153">
        <f t="shared" si="43"/>
        <v>0</v>
      </c>
      <c r="Q143" s="153">
        <f t="shared" si="43"/>
        <v>3710.7</v>
      </c>
    </row>
    <row r="144" spans="1:17" ht="12.75">
      <c r="A144" s="40" t="s">
        <v>49</v>
      </c>
      <c r="B144" s="101"/>
      <c r="C144" s="200">
        <f>SUM(C146:C163)</f>
        <v>4910.1</v>
      </c>
      <c r="D144" s="149">
        <f>SUM(D146:D163)</f>
        <v>40411.03999999999</v>
      </c>
      <c r="E144" s="149">
        <f>SUM(E146:E163)</f>
        <v>0</v>
      </c>
      <c r="F144" s="175">
        <f>SUM(F146:F163)</f>
        <v>45321.14</v>
      </c>
      <c r="G144" s="265">
        <f aca="true" t="shared" si="44" ref="G144:Q144">SUM(G146:G163)</f>
        <v>-2715.88</v>
      </c>
      <c r="H144" s="311">
        <f t="shared" si="44"/>
        <v>0</v>
      </c>
      <c r="I144" s="246">
        <f t="shared" si="44"/>
        <v>42605.26</v>
      </c>
      <c r="J144" s="163">
        <f t="shared" si="44"/>
        <v>0</v>
      </c>
      <c r="K144" s="163">
        <f t="shared" si="44"/>
        <v>0</v>
      </c>
      <c r="L144" s="163">
        <f t="shared" si="44"/>
        <v>3710.7</v>
      </c>
      <c r="M144" s="163">
        <f t="shared" si="44"/>
        <v>0</v>
      </c>
      <c r="N144" s="163">
        <f t="shared" si="44"/>
        <v>0</v>
      </c>
      <c r="O144" s="163">
        <f t="shared" si="44"/>
        <v>3710.7</v>
      </c>
      <c r="P144" s="163">
        <f t="shared" si="44"/>
        <v>0</v>
      </c>
      <c r="Q144" s="163">
        <f t="shared" si="44"/>
        <v>3710.7</v>
      </c>
    </row>
    <row r="145" spans="1:17" ht="12.75">
      <c r="A145" s="32" t="s">
        <v>26</v>
      </c>
      <c r="B145" s="97"/>
      <c r="C145" s="199"/>
      <c r="D145" s="147"/>
      <c r="E145" s="147"/>
      <c r="F145" s="131"/>
      <c r="G145" s="267"/>
      <c r="H145" s="309"/>
      <c r="I145" s="226"/>
      <c r="J145" s="173"/>
      <c r="K145" s="8"/>
      <c r="L145" s="28"/>
      <c r="M145" s="24"/>
      <c r="N145" s="8"/>
      <c r="O145" s="25"/>
      <c r="P145" s="80"/>
      <c r="Q145" s="78"/>
    </row>
    <row r="146" spans="1:17" ht="12.75">
      <c r="A146" s="34" t="s">
        <v>51</v>
      </c>
      <c r="B146" s="97"/>
      <c r="C146" s="197">
        <v>3350.7</v>
      </c>
      <c r="D146" s="146">
        <f>360</f>
        <v>360</v>
      </c>
      <c r="E146" s="146"/>
      <c r="F146" s="134">
        <f aca="true" t="shared" si="45" ref="F146:F163">C146+D146+E146</f>
        <v>3710.7</v>
      </c>
      <c r="G146" s="263"/>
      <c r="H146" s="308"/>
      <c r="I146" s="244">
        <f>F146+G146+H146</f>
        <v>3710.7</v>
      </c>
      <c r="J146" s="239"/>
      <c r="K146" s="7"/>
      <c r="L146" s="72">
        <f>I146+J146+K146</f>
        <v>3710.7</v>
      </c>
      <c r="M146" s="30"/>
      <c r="N146" s="7"/>
      <c r="O146" s="23">
        <f>L146+M146+N146</f>
        <v>3710.7</v>
      </c>
      <c r="P146" s="80"/>
      <c r="Q146" s="78">
        <f>O146+P146</f>
        <v>3710.7</v>
      </c>
    </row>
    <row r="147" spans="1:17" ht="12.75" hidden="1">
      <c r="A147" s="98" t="s">
        <v>298</v>
      </c>
      <c r="B147" s="97">
        <v>2042</v>
      </c>
      <c r="C147" s="197"/>
      <c r="D147" s="146"/>
      <c r="E147" s="146"/>
      <c r="F147" s="134">
        <f t="shared" si="45"/>
        <v>0</v>
      </c>
      <c r="G147" s="263"/>
      <c r="H147" s="308"/>
      <c r="I147" s="244">
        <f aca="true" t="shared" si="46" ref="I147:I163">F147+G147+H147</f>
        <v>0</v>
      </c>
      <c r="J147" s="86"/>
      <c r="K147" s="7"/>
      <c r="L147" s="72">
        <f>I147+J147+K147</f>
        <v>0</v>
      </c>
      <c r="M147" s="22"/>
      <c r="N147" s="7"/>
      <c r="O147" s="23">
        <f>L147+M147+N147</f>
        <v>0</v>
      </c>
      <c r="P147" s="80"/>
      <c r="Q147" s="78">
        <f>O147+P147</f>
        <v>0</v>
      </c>
    </row>
    <row r="148" spans="1:17" ht="12.75">
      <c r="A148" s="98" t="s">
        <v>299</v>
      </c>
      <c r="B148" s="97">
        <v>2045</v>
      </c>
      <c r="C148" s="197"/>
      <c r="D148" s="146">
        <f>1866.49</f>
        <v>1866.49</v>
      </c>
      <c r="E148" s="146"/>
      <c r="F148" s="134">
        <f t="shared" si="45"/>
        <v>1866.49</v>
      </c>
      <c r="G148" s="263"/>
      <c r="H148" s="308"/>
      <c r="I148" s="244">
        <f t="shared" si="46"/>
        <v>1866.49</v>
      </c>
      <c r="J148" s="86"/>
      <c r="K148" s="7"/>
      <c r="L148" s="72"/>
      <c r="M148" s="22"/>
      <c r="N148" s="7"/>
      <c r="O148" s="23"/>
      <c r="P148" s="80"/>
      <c r="Q148" s="78"/>
    </row>
    <row r="149" spans="1:17" ht="12.75">
      <c r="A149" s="98" t="s">
        <v>308</v>
      </c>
      <c r="B149" s="97">
        <v>2046</v>
      </c>
      <c r="C149" s="197"/>
      <c r="D149" s="146">
        <f>4982.3</f>
        <v>4982.3</v>
      </c>
      <c r="E149" s="146"/>
      <c r="F149" s="134">
        <f t="shared" si="45"/>
        <v>4982.3</v>
      </c>
      <c r="G149" s="263"/>
      <c r="H149" s="308"/>
      <c r="I149" s="244">
        <f t="shared" si="46"/>
        <v>4982.3</v>
      </c>
      <c r="J149" s="86"/>
      <c r="K149" s="7"/>
      <c r="L149" s="72"/>
      <c r="M149" s="22"/>
      <c r="N149" s="7"/>
      <c r="O149" s="23"/>
      <c r="P149" s="80"/>
      <c r="Q149" s="78"/>
    </row>
    <row r="150" spans="1:17" ht="12.75">
      <c r="A150" s="98" t="s">
        <v>300</v>
      </c>
      <c r="B150" s="97">
        <v>2016</v>
      </c>
      <c r="C150" s="197"/>
      <c r="D150" s="146">
        <f>1422.76</f>
        <v>1422.76</v>
      </c>
      <c r="E150" s="146"/>
      <c r="F150" s="134">
        <f t="shared" si="45"/>
        <v>1422.76</v>
      </c>
      <c r="G150" s="263"/>
      <c r="H150" s="308"/>
      <c r="I150" s="244">
        <f t="shared" si="46"/>
        <v>1422.76</v>
      </c>
      <c r="J150" s="86"/>
      <c r="K150" s="7"/>
      <c r="L150" s="72"/>
      <c r="M150" s="22"/>
      <c r="N150" s="7"/>
      <c r="O150" s="23"/>
      <c r="P150" s="80"/>
      <c r="Q150" s="78"/>
    </row>
    <row r="151" spans="1:17" ht="12.75">
      <c r="A151" s="98" t="s">
        <v>337</v>
      </c>
      <c r="B151" s="97">
        <v>2016</v>
      </c>
      <c r="C151" s="197"/>
      <c r="D151" s="146"/>
      <c r="E151" s="146"/>
      <c r="F151" s="134">
        <f t="shared" si="45"/>
        <v>0</v>
      </c>
      <c r="G151" s="263">
        <f>638.93</f>
        <v>638.93</v>
      </c>
      <c r="H151" s="308"/>
      <c r="I151" s="244">
        <f t="shared" si="46"/>
        <v>638.93</v>
      </c>
      <c r="J151" s="86"/>
      <c r="K151" s="7"/>
      <c r="L151" s="72"/>
      <c r="M151" s="22"/>
      <c r="N151" s="7"/>
      <c r="O151" s="23"/>
      <c r="P151" s="80"/>
      <c r="Q151" s="78"/>
    </row>
    <row r="152" spans="1:17" ht="12.75">
      <c r="A152" s="43" t="s">
        <v>301</v>
      </c>
      <c r="B152" s="97">
        <v>2057</v>
      </c>
      <c r="C152" s="197"/>
      <c r="D152" s="146">
        <f>15.32</f>
        <v>15.32</v>
      </c>
      <c r="E152" s="146"/>
      <c r="F152" s="134">
        <f t="shared" si="45"/>
        <v>15.32</v>
      </c>
      <c r="G152" s="263"/>
      <c r="H152" s="308"/>
      <c r="I152" s="244">
        <f t="shared" si="46"/>
        <v>15.32</v>
      </c>
      <c r="J152" s="86"/>
      <c r="K152" s="7"/>
      <c r="L152" s="72"/>
      <c r="M152" s="22"/>
      <c r="N152" s="7"/>
      <c r="O152" s="23"/>
      <c r="P152" s="80"/>
      <c r="Q152" s="78"/>
    </row>
    <row r="153" spans="1:17" ht="12.75">
      <c r="A153" s="43" t="s">
        <v>302</v>
      </c>
      <c r="B153" s="97">
        <v>2064</v>
      </c>
      <c r="C153" s="197"/>
      <c r="D153" s="146">
        <f>3511.85+127.5</f>
        <v>3639.35</v>
      </c>
      <c r="E153" s="146"/>
      <c r="F153" s="134">
        <f t="shared" si="45"/>
        <v>3639.35</v>
      </c>
      <c r="G153" s="263"/>
      <c r="H153" s="308"/>
      <c r="I153" s="244">
        <f t="shared" si="46"/>
        <v>3639.35</v>
      </c>
      <c r="J153" s="86"/>
      <c r="K153" s="7"/>
      <c r="L153" s="72"/>
      <c r="M153" s="22"/>
      <c r="N153" s="7"/>
      <c r="O153" s="23"/>
      <c r="P153" s="80"/>
      <c r="Q153" s="78"/>
    </row>
    <row r="154" spans="1:17" ht="12.75">
      <c r="A154" s="43" t="s">
        <v>314</v>
      </c>
      <c r="B154" s="97">
        <v>2079</v>
      </c>
      <c r="C154" s="197"/>
      <c r="D154" s="146">
        <f>3742.33</f>
        <v>3742.33</v>
      </c>
      <c r="E154" s="146"/>
      <c r="F154" s="134">
        <f t="shared" si="45"/>
        <v>3742.33</v>
      </c>
      <c r="G154" s="263"/>
      <c r="H154" s="308"/>
      <c r="I154" s="244">
        <f t="shared" si="46"/>
        <v>3742.33</v>
      </c>
      <c r="J154" s="86"/>
      <c r="K154" s="7"/>
      <c r="L154" s="72"/>
      <c r="M154" s="22"/>
      <c r="N154" s="7"/>
      <c r="O154" s="23"/>
      <c r="P154" s="80"/>
      <c r="Q154" s="78"/>
    </row>
    <row r="155" spans="1:17" ht="12.75">
      <c r="A155" s="98" t="s">
        <v>315</v>
      </c>
      <c r="B155" s="97">
        <v>2079</v>
      </c>
      <c r="C155" s="197"/>
      <c r="D155" s="146">
        <f>4049.47</f>
        <v>4049.47</v>
      </c>
      <c r="E155" s="146"/>
      <c r="F155" s="134">
        <f t="shared" si="45"/>
        <v>4049.47</v>
      </c>
      <c r="G155" s="263"/>
      <c r="H155" s="308"/>
      <c r="I155" s="244">
        <f t="shared" si="46"/>
        <v>4049.47</v>
      </c>
      <c r="J155" s="86"/>
      <c r="K155" s="7"/>
      <c r="L155" s="72"/>
      <c r="M155" s="22"/>
      <c r="N155" s="7"/>
      <c r="O155" s="23"/>
      <c r="P155" s="80"/>
      <c r="Q155" s="78"/>
    </row>
    <row r="156" spans="1:17" ht="12.75">
      <c r="A156" s="43" t="s">
        <v>303</v>
      </c>
      <c r="B156" s="97">
        <v>2067</v>
      </c>
      <c r="C156" s="197"/>
      <c r="D156" s="146">
        <f>0.27</f>
        <v>0.27</v>
      </c>
      <c r="E156" s="146"/>
      <c r="F156" s="134">
        <f t="shared" si="45"/>
        <v>0.27</v>
      </c>
      <c r="G156" s="263"/>
      <c r="H156" s="308"/>
      <c r="I156" s="244">
        <f t="shared" si="46"/>
        <v>0.27</v>
      </c>
      <c r="J156" s="86"/>
      <c r="K156" s="7"/>
      <c r="L156" s="72"/>
      <c r="M156" s="22"/>
      <c r="N156" s="7"/>
      <c r="O156" s="23"/>
      <c r="P156" s="80"/>
      <c r="Q156" s="78"/>
    </row>
    <row r="157" spans="1:17" ht="12.75">
      <c r="A157" s="43" t="s">
        <v>297</v>
      </c>
      <c r="B157" s="97">
        <v>2067</v>
      </c>
      <c r="C157" s="197"/>
      <c r="D157" s="146">
        <f>2217.64</f>
        <v>2217.64</v>
      </c>
      <c r="E157" s="146"/>
      <c r="F157" s="134">
        <f t="shared" si="45"/>
        <v>2217.64</v>
      </c>
      <c r="G157" s="263"/>
      <c r="H157" s="308"/>
      <c r="I157" s="244">
        <f t="shared" si="46"/>
        <v>2217.64</v>
      </c>
      <c r="J157" s="86"/>
      <c r="K157" s="7"/>
      <c r="L157" s="72"/>
      <c r="M157" s="22"/>
      <c r="N157" s="7"/>
      <c r="O157" s="23"/>
      <c r="P157" s="80"/>
      <c r="Q157" s="78"/>
    </row>
    <row r="158" spans="1:17" ht="12.75">
      <c r="A158" s="43" t="s">
        <v>320</v>
      </c>
      <c r="B158" s="97">
        <v>2074</v>
      </c>
      <c r="C158" s="197"/>
      <c r="D158" s="146">
        <f>612.62</f>
        <v>612.62</v>
      </c>
      <c r="E158" s="146"/>
      <c r="F158" s="134">
        <f t="shared" si="45"/>
        <v>612.62</v>
      </c>
      <c r="G158" s="263"/>
      <c r="H158" s="308"/>
      <c r="I158" s="244">
        <f t="shared" si="46"/>
        <v>612.62</v>
      </c>
      <c r="J158" s="86"/>
      <c r="K158" s="7"/>
      <c r="L158" s="72"/>
      <c r="M158" s="22"/>
      <c r="N158" s="7"/>
      <c r="O158" s="23"/>
      <c r="P158" s="80"/>
      <c r="Q158" s="78"/>
    </row>
    <row r="159" spans="1:17" ht="12.75">
      <c r="A159" s="43" t="s">
        <v>319</v>
      </c>
      <c r="B159" s="97">
        <v>2074</v>
      </c>
      <c r="C159" s="197"/>
      <c r="D159" s="146">
        <f>1738.53</f>
        <v>1738.53</v>
      </c>
      <c r="E159" s="146"/>
      <c r="F159" s="134">
        <f t="shared" si="45"/>
        <v>1738.53</v>
      </c>
      <c r="G159" s="263"/>
      <c r="H159" s="308"/>
      <c r="I159" s="244">
        <f t="shared" si="46"/>
        <v>1738.53</v>
      </c>
      <c r="J159" s="86"/>
      <c r="K159" s="7"/>
      <c r="L159" s="72"/>
      <c r="M159" s="22"/>
      <c r="N159" s="7"/>
      <c r="O159" s="23"/>
      <c r="P159" s="80"/>
      <c r="Q159" s="78"/>
    </row>
    <row r="160" spans="1:17" ht="12.75">
      <c r="A160" s="98" t="s">
        <v>317</v>
      </c>
      <c r="B160" s="97">
        <v>2068</v>
      </c>
      <c r="C160" s="197"/>
      <c r="D160" s="146">
        <f>4636.84</f>
        <v>4636.84</v>
      </c>
      <c r="E160" s="146"/>
      <c r="F160" s="134">
        <f t="shared" si="45"/>
        <v>4636.84</v>
      </c>
      <c r="G160" s="263"/>
      <c r="H160" s="308"/>
      <c r="I160" s="244">
        <f t="shared" si="46"/>
        <v>4636.84</v>
      </c>
      <c r="J160" s="86"/>
      <c r="K160" s="7"/>
      <c r="L160" s="72"/>
      <c r="M160" s="22"/>
      <c r="N160" s="7"/>
      <c r="O160" s="23"/>
      <c r="P160" s="80"/>
      <c r="Q160" s="78"/>
    </row>
    <row r="161" spans="1:17" ht="12.75">
      <c r="A161" s="98" t="s">
        <v>318</v>
      </c>
      <c r="B161" s="97">
        <v>2242</v>
      </c>
      <c r="C161" s="197"/>
      <c r="D161" s="146">
        <f>375.64</f>
        <v>375.64</v>
      </c>
      <c r="E161" s="146"/>
      <c r="F161" s="134">
        <f t="shared" si="45"/>
        <v>375.64</v>
      </c>
      <c r="G161" s="263"/>
      <c r="H161" s="308"/>
      <c r="I161" s="244">
        <f t="shared" si="46"/>
        <v>375.64</v>
      </c>
      <c r="J161" s="86"/>
      <c r="K161" s="7"/>
      <c r="L161" s="72"/>
      <c r="M161" s="22"/>
      <c r="N161" s="7"/>
      <c r="O161" s="23"/>
      <c r="P161" s="80"/>
      <c r="Q161" s="78"/>
    </row>
    <row r="162" spans="1:17" ht="12.75" hidden="1">
      <c r="A162" s="98" t="s">
        <v>304</v>
      </c>
      <c r="B162" s="97">
        <v>2058</v>
      </c>
      <c r="C162" s="197"/>
      <c r="D162" s="146"/>
      <c r="E162" s="146"/>
      <c r="F162" s="134">
        <f t="shared" si="45"/>
        <v>0</v>
      </c>
      <c r="G162" s="263"/>
      <c r="H162" s="308"/>
      <c r="I162" s="244">
        <f t="shared" si="46"/>
        <v>0</v>
      </c>
      <c r="J162" s="86"/>
      <c r="K162" s="7"/>
      <c r="L162" s="72"/>
      <c r="M162" s="22"/>
      <c r="N162" s="7"/>
      <c r="O162" s="23"/>
      <c r="P162" s="80"/>
      <c r="Q162" s="78"/>
    </row>
    <row r="163" spans="1:17" ht="12.75">
      <c r="A163" s="34" t="s">
        <v>78</v>
      </c>
      <c r="B163" s="97"/>
      <c r="C163" s="197">
        <v>1559.4</v>
      </c>
      <c r="D163" s="146">
        <f>954+159.54+332.5+85.99+1428.88+391.14+155.61+7243.82</f>
        <v>10751.48</v>
      </c>
      <c r="E163" s="146"/>
      <c r="F163" s="134">
        <f t="shared" si="45"/>
        <v>12310.88</v>
      </c>
      <c r="G163" s="263">
        <f>-2900+747-1201.81</f>
        <v>-3354.81</v>
      </c>
      <c r="H163" s="308"/>
      <c r="I163" s="244">
        <f t="shared" si="46"/>
        <v>8956.07</v>
      </c>
      <c r="J163" s="86"/>
      <c r="K163" s="7"/>
      <c r="L163" s="72"/>
      <c r="M163" s="22"/>
      <c r="N163" s="7"/>
      <c r="O163" s="23"/>
      <c r="P163" s="80"/>
      <c r="Q163" s="78"/>
    </row>
    <row r="164" spans="1:17" ht="12.75">
      <c r="A164" s="41" t="s">
        <v>54</v>
      </c>
      <c r="B164" s="101"/>
      <c r="C164" s="201">
        <f>SUM(C166:C172)</f>
        <v>0</v>
      </c>
      <c r="D164" s="150">
        <f aca="true" t="shared" si="47" ref="D164:Q164">SUM(D166:D172)</f>
        <v>199473.66999999998</v>
      </c>
      <c r="E164" s="150">
        <f t="shared" si="47"/>
        <v>0</v>
      </c>
      <c r="F164" s="176">
        <f t="shared" si="47"/>
        <v>199473.66999999998</v>
      </c>
      <c r="G164" s="266">
        <f t="shared" si="47"/>
        <v>0</v>
      </c>
      <c r="H164" s="313">
        <f t="shared" si="47"/>
        <v>0</v>
      </c>
      <c r="I164" s="247">
        <f t="shared" si="47"/>
        <v>199473.66999999998</v>
      </c>
      <c r="J164" s="176">
        <f t="shared" si="47"/>
        <v>0</v>
      </c>
      <c r="K164" s="121">
        <f t="shared" si="47"/>
        <v>0</v>
      </c>
      <c r="L164" s="150">
        <f t="shared" si="47"/>
        <v>0</v>
      </c>
      <c r="M164" s="120">
        <f t="shared" si="47"/>
        <v>0</v>
      </c>
      <c r="N164" s="120">
        <f t="shared" si="47"/>
        <v>0</v>
      </c>
      <c r="O164" s="120">
        <f t="shared" si="47"/>
        <v>0</v>
      </c>
      <c r="P164" s="120">
        <f t="shared" si="47"/>
        <v>0</v>
      </c>
      <c r="Q164" s="201">
        <f t="shared" si="47"/>
        <v>0</v>
      </c>
    </row>
    <row r="165" spans="1:17" ht="12.75">
      <c r="A165" s="43" t="s">
        <v>26</v>
      </c>
      <c r="B165" s="97"/>
      <c r="C165" s="197"/>
      <c r="D165" s="146"/>
      <c r="E165" s="146"/>
      <c r="F165" s="134"/>
      <c r="G165" s="263"/>
      <c r="H165" s="308"/>
      <c r="I165" s="244"/>
      <c r="J165" s="86"/>
      <c r="K165" s="7"/>
      <c r="L165" s="72"/>
      <c r="M165" s="22"/>
      <c r="N165" s="7"/>
      <c r="O165" s="23"/>
      <c r="P165" s="80"/>
      <c r="Q165" s="78"/>
    </row>
    <row r="166" spans="1:17" ht="12.75" hidden="1">
      <c r="A166" s="43" t="s">
        <v>316</v>
      </c>
      <c r="B166" s="97">
        <v>2057</v>
      </c>
      <c r="C166" s="197"/>
      <c r="D166" s="146"/>
      <c r="E166" s="146"/>
      <c r="F166" s="134">
        <f aca="true" t="shared" si="48" ref="F166:F172">C166+D166+E166</f>
        <v>0</v>
      </c>
      <c r="G166" s="263"/>
      <c r="H166" s="308"/>
      <c r="I166" s="244">
        <f>F166+G166+H166</f>
        <v>0</v>
      </c>
      <c r="J166" s="86"/>
      <c r="K166" s="7"/>
      <c r="L166" s="72">
        <f>I166+J166+K166</f>
        <v>0</v>
      </c>
      <c r="M166" s="22"/>
      <c r="N166" s="7"/>
      <c r="O166" s="23">
        <f>L166+M166+N166</f>
        <v>0</v>
      </c>
      <c r="P166" s="80"/>
      <c r="Q166" s="78">
        <f aca="true" t="shared" si="49" ref="Q166:Q219">O166+P166</f>
        <v>0</v>
      </c>
    </row>
    <row r="167" spans="1:17" ht="12.75" hidden="1">
      <c r="A167" s="43" t="s">
        <v>302</v>
      </c>
      <c r="B167" s="97">
        <v>2064</v>
      </c>
      <c r="C167" s="197"/>
      <c r="D167" s="146"/>
      <c r="E167" s="146"/>
      <c r="F167" s="134">
        <f t="shared" si="48"/>
        <v>0</v>
      </c>
      <c r="G167" s="263"/>
      <c r="H167" s="308"/>
      <c r="I167" s="244"/>
      <c r="J167" s="86"/>
      <c r="K167" s="7"/>
      <c r="L167" s="72"/>
      <c r="M167" s="22"/>
      <c r="N167" s="7"/>
      <c r="O167" s="23"/>
      <c r="P167" s="80"/>
      <c r="Q167" s="78"/>
    </row>
    <row r="168" spans="1:17" ht="12.75">
      <c r="A168" s="43" t="s">
        <v>314</v>
      </c>
      <c r="B168" s="97">
        <v>2079</v>
      </c>
      <c r="C168" s="197"/>
      <c r="D168" s="146">
        <f>99736.83</f>
        <v>99736.83</v>
      </c>
      <c r="E168" s="146"/>
      <c r="F168" s="134">
        <f t="shared" si="48"/>
        <v>99736.83</v>
      </c>
      <c r="G168" s="263"/>
      <c r="H168" s="308"/>
      <c r="I168" s="244">
        <f>F168+G168+H168</f>
        <v>99736.83</v>
      </c>
      <c r="J168" s="86"/>
      <c r="K168" s="7"/>
      <c r="L168" s="72"/>
      <c r="M168" s="22"/>
      <c r="N168" s="7"/>
      <c r="O168" s="23"/>
      <c r="P168" s="80"/>
      <c r="Q168" s="78"/>
    </row>
    <row r="169" spans="1:17" ht="12.75">
      <c r="A169" s="223" t="s">
        <v>315</v>
      </c>
      <c r="B169" s="100">
        <v>2079</v>
      </c>
      <c r="C169" s="292"/>
      <c r="D169" s="213">
        <f>99736.84</f>
        <v>99736.84</v>
      </c>
      <c r="E169" s="213"/>
      <c r="F169" s="229">
        <f t="shared" si="48"/>
        <v>99736.84</v>
      </c>
      <c r="G169" s="268"/>
      <c r="H169" s="312"/>
      <c r="I169" s="248">
        <f>F169+G169+H169</f>
        <v>99736.84</v>
      </c>
      <c r="J169" s="86"/>
      <c r="K169" s="7"/>
      <c r="L169" s="72"/>
      <c r="M169" s="22"/>
      <c r="N169" s="7"/>
      <c r="O169" s="23"/>
      <c r="P169" s="80"/>
      <c r="Q169" s="78"/>
    </row>
    <row r="170" spans="1:17" ht="12.75" hidden="1">
      <c r="A170" s="34" t="s">
        <v>69</v>
      </c>
      <c r="B170" s="97"/>
      <c r="C170" s="197"/>
      <c r="D170" s="146"/>
      <c r="E170" s="146"/>
      <c r="F170" s="134">
        <f t="shared" si="48"/>
        <v>0</v>
      </c>
      <c r="G170" s="263"/>
      <c r="H170" s="308"/>
      <c r="I170" s="244">
        <f>F170+G170+H170</f>
        <v>0</v>
      </c>
      <c r="J170" s="86"/>
      <c r="K170" s="7"/>
      <c r="L170" s="72">
        <f>I170+J170+K170</f>
        <v>0</v>
      </c>
      <c r="M170" s="22"/>
      <c r="N170" s="7"/>
      <c r="O170" s="23">
        <f>L170+M170+N170</f>
        <v>0</v>
      </c>
      <c r="P170" s="80"/>
      <c r="Q170" s="78">
        <f t="shared" si="49"/>
        <v>0</v>
      </c>
    </row>
    <row r="171" spans="1:17" ht="12.75" hidden="1">
      <c r="A171" s="37" t="s">
        <v>55</v>
      </c>
      <c r="B171" s="100"/>
      <c r="C171" s="292"/>
      <c r="D171" s="213"/>
      <c r="E171" s="213"/>
      <c r="F171" s="229">
        <f t="shared" si="48"/>
        <v>0</v>
      </c>
      <c r="G171" s="263"/>
      <c r="H171" s="308"/>
      <c r="I171" s="244">
        <f>F171+G171+H171</f>
        <v>0</v>
      </c>
      <c r="J171" s="86"/>
      <c r="K171" s="7"/>
      <c r="L171" s="72">
        <f>I171+J171+K171</f>
        <v>0</v>
      </c>
      <c r="M171" s="22"/>
      <c r="N171" s="7"/>
      <c r="O171" s="23">
        <f>L171+M171+N171</f>
        <v>0</v>
      </c>
      <c r="P171" s="80"/>
      <c r="Q171" s="78">
        <f t="shared" si="49"/>
        <v>0</v>
      </c>
    </row>
    <row r="172" spans="1:17" ht="12.75" hidden="1">
      <c r="A172" s="37" t="s">
        <v>78</v>
      </c>
      <c r="B172" s="100"/>
      <c r="C172" s="292"/>
      <c r="D172" s="213"/>
      <c r="E172" s="213"/>
      <c r="F172" s="229">
        <f t="shared" si="48"/>
        <v>0</v>
      </c>
      <c r="G172" s="268"/>
      <c r="H172" s="312"/>
      <c r="I172" s="248">
        <f>F172+G172+H172</f>
        <v>0</v>
      </c>
      <c r="J172" s="177"/>
      <c r="K172" s="10"/>
      <c r="L172" s="71">
        <f>I172+J172+K172</f>
        <v>0</v>
      </c>
      <c r="M172" s="26"/>
      <c r="N172" s="10"/>
      <c r="O172" s="27">
        <f>L172+M172+N172</f>
        <v>0</v>
      </c>
      <c r="P172" s="83"/>
      <c r="Q172" s="84">
        <f t="shared" si="49"/>
        <v>0</v>
      </c>
    </row>
    <row r="173" spans="1:17" ht="12.75">
      <c r="A173" s="31" t="s">
        <v>82</v>
      </c>
      <c r="B173" s="101"/>
      <c r="C173" s="196">
        <f aca="true" t="shared" si="50" ref="C173:Q173">C174+C211</f>
        <v>401602.02</v>
      </c>
      <c r="D173" s="129">
        <f t="shared" si="50"/>
        <v>8246377.53</v>
      </c>
      <c r="E173" s="129">
        <f t="shared" si="50"/>
        <v>0</v>
      </c>
      <c r="F173" s="140">
        <f t="shared" si="50"/>
        <v>8647979.550000003</v>
      </c>
      <c r="G173" s="262">
        <f t="shared" si="50"/>
        <v>127838.15999999997</v>
      </c>
      <c r="H173" s="307">
        <f t="shared" si="50"/>
        <v>0</v>
      </c>
      <c r="I173" s="243">
        <f t="shared" si="50"/>
        <v>8775817.709999999</v>
      </c>
      <c r="J173" s="140">
        <f t="shared" si="50"/>
        <v>0</v>
      </c>
      <c r="K173" s="112">
        <f t="shared" si="50"/>
        <v>0</v>
      </c>
      <c r="L173" s="129">
        <f t="shared" si="50"/>
        <v>627289.8400000001</v>
      </c>
      <c r="M173" s="111">
        <f t="shared" si="50"/>
        <v>0</v>
      </c>
      <c r="N173" s="111">
        <f t="shared" si="50"/>
        <v>0</v>
      </c>
      <c r="O173" s="111">
        <f t="shared" si="50"/>
        <v>627289.8400000001</v>
      </c>
      <c r="P173" s="111">
        <f t="shared" si="50"/>
        <v>0</v>
      </c>
      <c r="Q173" s="196">
        <f t="shared" si="50"/>
        <v>627289.8400000001</v>
      </c>
    </row>
    <row r="174" spans="1:17" ht="12.75">
      <c r="A174" s="40" t="s">
        <v>49</v>
      </c>
      <c r="B174" s="101"/>
      <c r="C174" s="200">
        <f aca="true" t="shared" si="51" ref="C174:Q174">SUM(C176:C210)</f>
        <v>400862.02</v>
      </c>
      <c r="D174" s="149">
        <f t="shared" si="51"/>
        <v>8245836.890000001</v>
      </c>
      <c r="E174" s="149">
        <f t="shared" si="51"/>
        <v>0</v>
      </c>
      <c r="F174" s="175">
        <f t="shared" si="51"/>
        <v>8646698.910000002</v>
      </c>
      <c r="G174" s="265">
        <f t="shared" si="51"/>
        <v>126174.39999999998</v>
      </c>
      <c r="H174" s="311">
        <f t="shared" si="51"/>
        <v>0</v>
      </c>
      <c r="I174" s="246">
        <f t="shared" si="51"/>
        <v>8772873.309999999</v>
      </c>
      <c r="J174" s="175">
        <f t="shared" si="51"/>
        <v>0</v>
      </c>
      <c r="K174" s="119">
        <f t="shared" si="51"/>
        <v>0</v>
      </c>
      <c r="L174" s="149">
        <f t="shared" si="51"/>
        <v>624345.4400000001</v>
      </c>
      <c r="M174" s="118">
        <f t="shared" si="51"/>
        <v>0</v>
      </c>
      <c r="N174" s="118">
        <f t="shared" si="51"/>
        <v>0</v>
      </c>
      <c r="O174" s="118">
        <f t="shared" si="51"/>
        <v>624345.4400000001</v>
      </c>
      <c r="P174" s="118">
        <f t="shared" si="51"/>
        <v>0</v>
      </c>
      <c r="Q174" s="200">
        <f t="shared" si="51"/>
        <v>624345.4400000001</v>
      </c>
    </row>
    <row r="175" spans="1:17" ht="12.75">
      <c r="A175" s="32" t="s">
        <v>26</v>
      </c>
      <c r="B175" s="97"/>
      <c r="C175" s="197"/>
      <c r="D175" s="146"/>
      <c r="E175" s="146"/>
      <c r="F175" s="134"/>
      <c r="G175" s="263"/>
      <c r="H175" s="308"/>
      <c r="I175" s="244"/>
      <c r="J175" s="86"/>
      <c r="K175" s="7"/>
      <c r="L175" s="72"/>
      <c r="M175" s="22"/>
      <c r="N175" s="7"/>
      <c r="O175" s="23"/>
      <c r="P175" s="80"/>
      <c r="Q175" s="78"/>
    </row>
    <row r="176" spans="1:17" ht="12.75">
      <c r="A176" s="38" t="s">
        <v>74</v>
      </c>
      <c r="B176" s="97"/>
      <c r="C176" s="197">
        <v>362078.95</v>
      </c>
      <c r="D176" s="146">
        <f>3980.63+15002.59</f>
        <v>18983.22</v>
      </c>
      <c r="E176" s="146"/>
      <c r="F176" s="134">
        <f aca="true" t="shared" si="52" ref="F176:F210">C176+D176+E176</f>
        <v>381062.17000000004</v>
      </c>
      <c r="G176" s="263">
        <f>3959.4+5000</f>
        <v>8959.4</v>
      </c>
      <c r="H176" s="308"/>
      <c r="I176" s="244">
        <f>F176+G176+H176</f>
        <v>390021.57000000007</v>
      </c>
      <c r="J176" s="86"/>
      <c r="K176" s="7"/>
      <c r="L176" s="72">
        <f>I176+J176+K176</f>
        <v>390021.57000000007</v>
      </c>
      <c r="M176" s="22"/>
      <c r="N176" s="7"/>
      <c r="O176" s="23">
        <f>L176+M176+N176</f>
        <v>390021.57000000007</v>
      </c>
      <c r="P176" s="80"/>
      <c r="Q176" s="78">
        <f t="shared" si="49"/>
        <v>390021.57000000007</v>
      </c>
    </row>
    <row r="177" spans="1:17" ht="12.75">
      <c r="A177" s="38" t="s">
        <v>291</v>
      </c>
      <c r="B177" s="97">
        <v>33353</v>
      </c>
      <c r="C177" s="197"/>
      <c r="D177" s="146">
        <f>8106896.7</f>
        <v>8106896.7</v>
      </c>
      <c r="E177" s="146"/>
      <c r="F177" s="134">
        <f t="shared" si="52"/>
        <v>8106896.7</v>
      </c>
      <c r="G177" s="263"/>
      <c r="H177" s="308"/>
      <c r="I177" s="244">
        <f aca="true" t="shared" si="53" ref="I177:I210">F177+G177+H177</f>
        <v>8106896.7</v>
      </c>
      <c r="J177" s="86"/>
      <c r="K177" s="7"/>
      <c r="L177" s="72"/>
      <c r="M177" s="22"/>
      <c r="N177" s="7"/>
      <c r="O177" s="23"/>
      <c r="P177" s="80"/>
      <c r="Q177" s="78"/>
    </row>
    <row r="178" spans="1:17" ht="12.75">
      <c r="A178" s="38" t="s">
        <v>292</v>
      </c>
      <c r="B178" s="97">
        <v>33155</v>
      </c>
      <c r="C178" s="197"/>
      <c r="D178" s="215">
        <v>100779.32</v>
      </c>
      <c r="E178" s="146"/>
      <c r="F178" s="134">
        <f t="shared" si="52"/>
        <v>100779.32</v>
      </c>
      <c r="G178" s="263">
        <f>91445.3</f>
        <v>91445.3</v>
      </c>
      <c r="H178" s="308"/>
      <c r="I178" s="244">
        <f t="shared" si="53"/>
        <v>192224.62</v>
      </c>
      <c r="J178" s="86"/>
      <c r="K178" s="7"/>
      <c r="L178" s="72">
        <f aca="true" t="shared" si="54" ref="L178:L210">I178+J178+K178</f>
        <v>192224.62</v>
      </c>
      <c r="M178" s="22"/>
      <c r="N178" s="7"/>
      <c r="O178" s="23">
        <f aca="true" t="shared" si="55" ref="O178:O210">L178+M178+N178</f>
        <v>192224.62</v>
      </c>
      <c r="P178" s="80"/>
      <c r="Q178" s="78">
        <f t="shared" si="49"/>
        <v>192224.62</v>
      </c>
    </row>
    <row r="179" spans="1:17" ht="12.75" hidden="1">
      <c r="A179" s="38" t="s">
        <v>83</v>
      </c>
      <c r="B179" s="97" t="s">
        <v>215</v>
      </c>
      <c r="C179" s="197"/>
      <c r="D179" s="146"/>
      <c r="E179" s="146"/>
      <c r="F179" s="134">
        <f t="shared" si="52"/>
        <v>0</v>
      </c>
      <c r="G179" s="263"/>
      <c r="H179" s="308"/>
      <c r="I179" s="244">
        <f t="shared" si="53"/>
        <v>0</v>
      </c>
      <c r="J179" s="86"/>
      <c r="K179" s="7"/>
      <c r="L179" s="72">
        <f t="shared" si="54"/>
        <v>0</v>
      </c>
      <c r="M179" s="22"/>
      <c r="N179" s="7"/>
      <c r="O179" s="23">
        <f t="shared" si="55"/>
        <v>0</v>
      </c>
      <c r="P179" s="80"/>
      <c r="Q179" s="78">
        <f t="shared" si="49"/>
        <v>0</v>
      </c>
    </row>
    <row r="180" spans="1:17" ht="12.75" hidden="1">
      <c r="A180" s="38" t="s">
        <v>138</v>
      </c>
      <c r="B180" s="97"/>
      <c r="C180" s="197"/>
      <c r="D180" s="146"/>
      <c r="E180" s="146"/>
      <c r="F180" s="134">
        <f t="shared" si="52"/>
        <v>0</v>
      </c>
      <c r="G180" s="263"/>
      <c r="H180" s="308"/>
      <c r="I180" s="244">
        <f t="shared" si="53"/>
        <v>0</v>
      </c>
      <c r="J180" s="86"/>
      <c r="K180" s="7"/>
      <c r="L180" s="72">
        <f t="shared" si="54"/>
        <v>0</v>
      </c>
      <c r="M180" s="22"/>
      <c r="N180" s="7"/>
      <c r="O180" s="23">
        <f t="shared" si="55"/>
        <v>0</v>
      </c>
      <c r="P180" s="80"/>
      <c r="Q180" s="78">
        <f t="shared" si="49"/>
        <v>0</v>
      </c>
    </row>
    <row r="181" spans="1:17" ht="12.75" hidden="1">
      <c r="A181" s="38" t="s">
        <v>212</v>
      </c>
      <c r="B181" s="97">
        <v>33215</v>
      </c>
      <c r="C181" s="197"/>
      <c r="D181" s="146"/>
      <c r="E181" s="146"/>
      <c r="F181" s="134">
        <f t="shared" si="52"/>
        <v>0</v>
      </c>
      <c r="G181" s="263"/>
      <c r="H181" s="308"/>
      <c r="I181" s="244">
        <f t="shared" si="53"/>
        <v>0</v>
      </c>
      <c r="J181" s="86"/>
      <c r="K181" s="7"/>
      <c r="L181" s="72">
        <f t="shared" si="54"/>
        <v>0</v>
      </c>
      <c r="M181" s="22"/>
      <c r="N181" s="7"/>
      <c r="O181" s="23">
        <f t="shared" si="55"/>
        <v>0</v>
      </c>
      <c r="P181" s="80"/>
      <c r="Q181" s="78">
        <f t="shared" si="49"/>
        <v>0</v>
      </c>
    </row>
    <row r="182" spans="1:17" ht="12.75" hidden="1">
      <c r="A182" s="38" t="s">
        <v>213</v>
      </c>
      <c r="B182" s="97">
        <v>33457</v>
      </c>
      <c r="C182" s="197"/>
      <c r="D182" s="146"/>
      <c r="E182" s="146"/>
      <c r="F182" s="134">
        <f t="shared" si="52"/>
        <v>0</v>
      </c>
      <c r="G182" s="263"/>
      <c r="H182" s="308"/>
      <c r="I182" s="244">
        <f t="shared" si="53"/>
        <v>0</v>
      </c>
      <c r="J182" s="86"/>
      <c r="K182" s="7"/>
      <c r="L182" s="72">
        <f t="shared" si="54"/>
        <v>0</v>
      </c>
      <c r="M182" s="22"/>
      <c r="N182" s="7"/>
      <c r="O182" s="23">
        <f t="shared" si="55"/>
        <v>0</v>
      </c>
      <c r="P182" s="80"/>
      <c r="Q182" s="78">
        <f t="shared" si="49"/>
        <v>0</v>
      </c>
    </row>
    <row r="183" spans="1:17" ht="12.75" hidden="1">
      <c r="A183" s="55" t="s">
        <v>194</v>
      </c>
      <c r="B183" s="97">
        <v>33052</v>
      </c>
      <c r="C183" s="197"/>
      <c r="D183" s="146"/>
      <c r="E183" s="146"/>
      <c r="F183" s="134">
        <f t="shared" si="52"/>
        <v>0</v>
      </c>
      <c r="G183" s="263"/>
      <c r="H183" s="308"/>
      <c r="I183" s="244">
        <f t="shared" si="53"/>
        <v>0</v>
      </c>
      <c r="J183" s="86"/>
      <c r="K183" s="7"/>
      <c r="L183" s="72">
        <f t="shared" si="54"/>
        <v>0</v>
      </c>
      <c r="M183" s="22"/>
      <c r="N183" s="7"/>
      <c r="O183" s="23">
        <f t="shared" si="55"/>
        <v>0</v>
      </c>
      <c r="P183" s="80"/>
      <c r="Q183" s="78">
        <f t="shared" si="49"/>
        <v>0</v>
      </c>
    </row>
    <row r="184" spans="1:17" ht="12.75">
      <c r="A184" s="38" t="s">
        <v>352</v>
      </c>
      <c r="B184" s="97">
        <v>33075</v>
      </c>
      <c r="C184" s="197"/>
      <c r="D184" s="146"/>
      <c r="E184" s="146"/>
      <c r="F184" s="134">
        <f t="shared" si="52"/>
        <v>0</v>
      </c>
      <c r="G184" s="263">
        <f>2070</f>
        <v>2070</v>
      </c>
      <c r="H184" s="308"/>
      <c r="I184" s="244">
        <f t="shared" si="53"/>
        <v>2070</v>
      </c>
      <c r="J184" s="86"/>
      <c r="K184" s="7"/>
      <c r="L184" s="72"/>
      <c r="M184" s="22"/>
      <c r="N184" s="7"/>
      <c r="O184" s="23"/>
      <c r="P184" s="80"/>
      <c r="Q184" s="78"/>
    </row>
    <row r="185" spans="1:17" ht="12.75" hidden="1">
      <c r="A185" s="55" t="s">
        <v>275</v>
      </c>
      <c r="B185" s="97">
        <v>33076</v>
      </c>
      <c r="C185" s="197"/>
      <c r="D185" s="146"/>
      <c r="E185" s="146"/>
      <c r="F185" s="134">
        <f t="shared" si="52"/>
        <v>0</v>
      </c>
      <c r="G185" s="263"/>
      <c r="H185" s="308"/>
      <c r="I185" s="244">
        <f t="shared" si="53"/>
        <v>0</v>
      </c>
      <c r="J185" s="86"/>
      <c r="K185" s="7"/>
      <c r="L185" s="72"/>
      <c r="M185" s="22"/>
      <c r="N185" s="7"/>
      <c r="O185" s="23"/>
      <c r="P185" s="80"/>
      <c r="Q185" s="78"/>
    </row>
    <row r="186" spans="1:17" ht="12.75" hidden="1">
      <c r="A186" s="55" t="s">
        <v>230</v>
      </c>
      <c r="B186" s="97">
        <v>33069</v>
      </c>
      <c r="C186" s="197"/>
      <c r="D186" s="146"/>
      <c r="E186" s="146"/>
      <c r="F186" s="134">
        <f t="shared" si="52"/>
        <v>0</v>
      </c>
      <c r="G186" s="263"/>
      <c r="H186" s="308"/>
      <c r="I186" s="244">
        <f t="shared" si="53"/>
        <v>0</v>
      </c>
      <c r="J186" s="86"/>
      <c r="K186" s="7"/>
      <c r="L186" s="72"/>
      <c r="M186" s="22"/>
      <c r="N186" s="7"/>
      <c r="O186" s="23"/>
      <c r="P186" s="80"/>
      <c r="Q186" s="78"/>
    </row>
    <row r="187" spans="1:17" ht="12.75" hidden="1">
      <c r="A187" s="55" t="s">
        <v>264</v>
      </c>
      <c r="B187" s="97">
        <v>33070</v>
      </c>
      <c r="C187" s="197"/>
      <c r="D187" s="146"/>
      <c r="E187" s="146"/>
      <c r="F187" s="134">
        <f t="shared" si="52"/>
        <v>0</v>
      </c>
      <c r="G187" s="263"/>
      <c r="H187" s="308"/>
      <c r="I187" s="244">
        <f t="shared" si="53"/>
        <v>0</v>
      </c>
      <c r="J187" s="86"/>
      <c r="K187" s="7"/>
      <c r="L187" s="72"/>
      <c r="M187" s="22"/>
      <c r="N187" s="7"/>
      <c r="O187" s="23"/>
      <c r="P187" s="80"/>
      <c r="Q187" s="78"/>
    </row>
    <row r="188" spans="1:17" ht="12.75">
      <c r="A188" s="38" t="s">
        <v>256</v>
      </c>
      <c r="B188" s="97">
        <v>33071</v>
      </c>
      <c r="C188" s="197"/>
      <c r="D188" s="146"/>
      <c r="E188" s="146"/>
      <c r="F188" s="134">
        <f t="shared" si="52"/>
        <v>0</v>
      </c>
      <c r="G188" s="263">
        <f>735</f>
        <v>735</v>
      </c>
      <c r="H188" s="308"/>
      <c r="I188" s="244">
        <f t="shared" si="53"/>
        <v>735</v>
      </c>
      <c r="J188" s="86"/>
      <c r="K188" s="7"/>
      <c r="L188" s="72">
        <f t="shared" si="54"/>
        <v>735</v>
      </c>
      <c r="M188" s="22"/>
      <c r="N188" s="7"/>
      <c r="O188" s="23">
        <f t="shared" si="55"/>
        <v>735</v>
      </c>
      <c r="P188" s="80"/>
      <c r="Q188" s="78">
        <f t="shared" si="49"/>
        <v>735</v>
      </c>
    </row>
    <row r="189" spans="1:17" ht="12.75" hidden="1">
      <c r="A189" s="38" t="s">
        <v>195</v>
      </c>
      <c r="B189" s="97">
        <v>33050</v>
      </c>
      <c r="C189" s="197"/>
      <c r="D189" s="146"/>
      <c r="E189" s="146"/>
      <c r="F189" s="134">
        <f t="shared" si="52"/>
        <v>0</v>
      </c>
      <c r="G189" s="263"/>
      <c r="H189" s="308"/>
      <c r="I189" s="244">
        <f t="shared" si="53"/>
        <v>0</v>
      </c>
      <c r="J189" s="86"/>
      <c r="K189" s="7"/>
      <c r="L189" s="72">
        <f t="shared" si="54"/>
        <v>0</v>
      </c>
      <c r="M189" s="22"/>
      <c r="N189" s="7"/>
      <c r="O189" s="23">
        <f t="shared" si="55"/>
        <v>0</v>
      </c>
      <c r="P189" s="80"/>
      <c r="Q189" s="78">
        <f t="shared" si="49"/>
        <v>0</v>
      </c>
    </row>
    <row r="190" spans="1:17" ht="12.75" hidden="1">
      <c r="A190" s="38" t="s">
        <v>150</v>
      </c>
      <c r="B190" s="97">
        <v>33435</v>
      </c>
      <c r="C190" s="197"/>
      <c r="D190" s="146"/>
      <c r="E190" s="146"/>
      <c r="F190" s="134">
        <f t="shared" si="52"/>
        <v>0</v>
      </c>
      <c r="G190" s="263"/>
      <c r="H190" s="308"/>
      <c r="I190" s="244">
        <f t="shared" si="53"/>
        <v>0</v>
      </c>
      <c r="J190" s="86"/>
      <c r="K190" s="7"/>
      <c r="L190" s="72">
        <f t="shared" si="54"/>
        <v>0</v>
      </c>
      <c r="M190" s="22"/>
      <c r="N190" s="7"/>
      <c r="O190" s="23">
        <f t="shared" si="55"/>
        <v>0</v>
      </c>
      <c r="P190" s="80"/>
      <c r="Q190" s="78">
        <f t="shared" si="49"/>
        <v>0</v>
      </c>
    </row>
    <row r="191" spans="1:17" ht="12.75" hidden="1">
      <c r="A191" s="38" t="s">
        <v>218</v>
      </c>
      <c r="B191" s="97">
        <v>33049</v>
      </c>
      <c r="C191" s="197"/>
      <c r="D191" s="146"/>
      <c r="E191" s="146"/>
      <c r="F191" s="134">
        <f t="shared" si="52"/>
        <v>0</v>
      </c>
      <c r="G191" s="263"/>
      <c r="H191" s="308"/>
      <c r="I191" s="244">
        <f t="shared" si="53"/>
        <v>0</v>
      </c>
      <c r="J191" s="86"/>
      <c r="K191" s="7"/>
      <c r="L191" s="72"/>
      <c r="M191" s="22"/>
      <c r="N191" s="7"/>
      <c r="O191" s="23"/>
      <c r="P191" s="80"/>
      <c r="Q191" s="78"/>
    </row>
    <row r="192" spans="1:17" ht="12.75" hidden="1">
      <c r="A192" s="38" t="s">
        <v>196</v>
      </c>
      <c r="B192" s="97">
        <v>33044</v>
      </c>
      <c r="C192" s="197"/>
      <c r="D192" s="146"/>
      <c r="E192" s="146"/>
      <c r="F192" s="134">
        <f t="shared" si="52"/>
        <v>0</v>
      </c>
      <c r="G192" s="263"/>
      <c r="H192" s="308"/>
      <c r="I192" s="244">
        <f t="shared" si="53"/>
        <v>0</v>
      </c>
      <c r="J192" s="86"/>
      <c r="K192" s="7"/>
      <c r="L192" s="72">
        <f t="shared" si="54"/>
        <v>0</v>
      </c>
      <c r="M192" s="22"/>
      <c r="N192" s="7"/>
      <c r="O192" s="23">
        <f t="shared" si="55"/>
        <v>0</v>
      </c>
      <c r="P192" s="80"/>
      <c r="Q192" s="78">
        <f t="shared" si="49"/>
        <v>0</v>
      </c>
    </row>
    <row r="193" spans="1:17" ht="12.75" hidden="1">
      <c r="A193" s="38" t="s">
        <v>201</v>
      </c>
      <c r="B193" s="97">
        <v>33024</v>
      </c>
      <c r="C193" s="197"/>
      <c r="D193" s="146"/>
      <c r="E193" s="146"/>
      <c r="F193" s="134">
        <f t="shared" si="52"/>
        <v>0</v>
      </c>
      <c r="G193" s="263"/>
      <c r="H193" s="308"/>
      <c r="I193" s="244">
        <f t="shared" si="53"/>
        <v>0</v>
      </c>
      <c r="J193" s="86"/>
      <c r="K193" s="7"/>
      <c r="L193" s="72"/>
      <c r="M193" s="22"/>
      <c r="N193" s="7"/>
      <c r="O193" s="23"/>
      <c r="P193" s="80"/>
      <c r="Q193" s="78"/>
    </row>
    <row r="194" spans="1:17" ht="12.75" hidden="1">
      <c r="A194" s="55" t="s">
        <v>155</v>
      </c>
      <c r="B194" s="97">
        <v>33018</v>
      </c>
      <c r="C194" s="197"/>
      <c r="D194" s="146"/>
      <c r="E194" s="146"/>
      <c r="F194" s="134">
        <f t="shared" si="52"/>
        <v>0</v>
      </c>
      <c r="G194" s="263"/>
      <c r="H194" s="308"/>
      <c r="I194" s="244">
        <f t="shared" si="53"/>
        <v>0</v>
      </c>
      <c r="J194" s="86"/>
      <c r="K194" s="7"/>
      <c r="L194" s="72">
        <f t="shared" si="54"/>
        <v>0</v>
      </c>
      <c r="M194" s="22"/>
      <c r="N194" s="7"/>
      <c r="O194" s="23">
        <f t="shared" si="55"/>
        <v>0</v>
      </c>
      <c r="P194" s="80"/>
      <c r="Q194" s="78">
        <f t="shared" si="49"/>
        <v>0</v>
      </c>
    </row>
    <row r="195" spans="1:17" ht="12.75" hidden="1">
      <c r="A195" s="36" t="s">
        <v>156</v>
      </c>
      <c r="B195" s="97"/>
      <c r="C195" s="197"/>
      <c r="D195" s="146"/>
      <c r="E195" s="146"/>
      <c r="F195" s="134">
        <f t="shared" si="52"/>
        <v>0</v>
      </c>
      <c r="G195" s="263"/>
      <c r="H195" s="308"/>
      <c r="I195" s="244">
        <f t="shared" si="53"/>
        <v>0</v>
      </c>
      <c r="J195" s="86"/>
      <c r="K195" s="7"/>
      <c r="L195" s="72">
        <f t="shared" si="54"/>
        <v>0</v>
      </c>
      <c r="M195" s="22"/>
      <c r="N195" s="7"/>
      <c r="O195" s="23">
        <f t="shared" si="55"/>
        <v>0</v>
      </c>
      <c r="P195" s="80"/>
      <c r="Q195" s="78">
        <f t="shared" si="49"/>
        <v>0</v>
      </c>
    </row>
    <row r="196" spans="1:17" ht="12.75">
      <c r="A196" s="55" t="s">
        <v>175</v>
      </c>
      <c r="B196" s="97">
        <v>33160</v>
      </c>
      <c r="C196" s="197"/>
      <c r="D196" s="146"/>
      <c r="E196" s="146"/>
      <c r="F196" s="134">
        <f t="shared" si="52"/>
        <v>0</v>
      </c>
      <c r="G196" s="263">
        <f>93.4</f>
        <v>93.4</v>
      </c>
      <c r="H196" s="308"/>
      <c r="I196" s="244">
        <f t="shared" si="53"/>
        <v>93.4</v>
      </c>
      <c r="J196" s="86"/>
      <c r="K196" s="7"/>
      <c r="L196" s="72">
        <f t="shared" si="54"/>
        <v>93.4</v>
      </c>
      <c r="M196" s="22"/>
      <c r="N196" s="7"/>
      <c r="O196" s="23">
        <f t="shared" si="55"/>
        <v>93.4</v>
      </c>
      <c r="P196" s="80"/>
      <c r="Q196" s="78">
        <f t="shared" si="49"/>
        <v>93.4</v>
      </c>
    </row>
    <row r="197" spans="1:17" ht="12.75" hidden="1">
      <c r="A197" s="38" t="s">
        <v>143</v>
      </c>
      <c r="B197" s="97"/>
      <c r="C197" s="197"/>
      <c r="D197" s="146"/>
      <c r="E197" s="146"/>
      <c r="F197" s="134">
        <f t="shared" si="52"/>
        <v>0</v>
      </c>
      <c r="G197" s="263"/>
      <c r="H197" s="308"/>
      <c r="I197" s="244">
        <f t="shared" si="53"/>
        <v>0</v>
      </c>
      <c r="J197" s="86"/>
      <c r="K197" s="7"/>
      <c r="L197" s="72">
        <f t="shared" si="54"/>
        <v>0</v>
      </c>
      <c r="M197" s="22"/>
      <c r="N197" s="7"/>
      <c r="O197" s="23">
        <f t="shared" si="55"/>
        <v>0</v>
      </c>
      <c r="P197" s="80"/>
      <c r="Q197" s="78">
        <f t="shared" si="49"/>
        <v>0</v>
      </c>
    </row>
    <row r="198" spans="1:17" ht="12.75" hidden="1">
      <c r="A198" s="55" t="s">
        <v>133</v>
      </c>
      <c r="B198" s="97"/>
      <c r="C198" s="197"/>
      <c r="D198" s="146"/>
      <c r="E198" s="146"/>
      <c r="F198" s="134">
        <f t="shared" si="52"/>
        <v>0</v>
      </c>
      <c r="G198" s="263"/>
      <c r="H198" s="308"/>
      <c r="I198" s="244">
        <f t="shared" si="53"/>
        <v>0</v>
      </c>
      <c r="J198" s="86"/>
      <c r="K198" s="7"/>
      <c r="L198" s="72">
        <f t="shared" si="54"/>
        <v>0</v>
      </c>
      <c r="M198" s="22"/>
      <c r="N198" s="7"/>
      <c r="O198" s="23">
        <f t="shared" si="55"/>
        <v>0</v>
      </c>
      <c r="P198" s="80"/>
      <c r="Q198" s="78">
        <f t="shared" si="49"/>
        <v>0</v>
      </c>
    </row>
    <row r="199" spans="1:17" ht="12.75" hidden="1">
      <c r="A199" s="55" t="s">
        <v>142</v>
      </c>
      <c r="B199" s="97"/>
      <c r="C199" s="197"/>
      <c r="D199" s="146"/>
      <c r="E199" s="146"/>
      <c r="F199" s="134">
        <f t="shared" si="52"/>
        <v>0</v>
      </c>
      <c r="G199" s="263"/>
      <c r="H199" s="308"/>
      <c r="I199" s="244">
        <f t="shared" si="53"/>
        <v>0</v>
      </c>
      <c r="J199" s="86"/>
      <c r="K199" s="7"/>
      <c r="L199" s="72">
        <f t="shared" si="54"/>
        <v>0</v>
      </c>
      <c r="M199" s="22"/>
      <c r="N199" s="7"/>
      <c r="O199" s="23">
        <f t="shared" si="55"/>
        <v>0</v>
      </c>
      <c r="P199" s="80"/>
      <c r="Q199" s="78">
        <f t="shared" si="49"/>
        <v>0</v>
      </c>
    </row>
    <row r="200" spans="1:17" ht="12.75" hidden="1">
      <c r="A200" s="38" t="s">
        <v>84</v>
      </c>
      <c r="B200" s="97">
        <v>33025</v>
      </c>
      <c r="C200" s="197"/>
      <c r="D200" s="146"/>
      <c r="E200" s="146"/>
      <c r="F200" s="134">
        <f t="shared" si="52"/>
        <v>0</v>
      </c>
      <c r="G200" s="263"/>
      <c r="H200" s="308"/>
      <c r="I200" s="244">
        <f t="shared" si="53"/>
        <v>0</v>
      </c>
      <c r="J200" s="86"/>
      <c r="K200" s="7"/>
      <c r="L200" s="72">
        <f t="shared" si="54"/>
        <v>0</v>
      </c>
      <c r="M200" s="22"/>
      <c r="N200" s="7"/>
      <c r="O200" s="23">
        <f t="shared" si="55"/>
        <v>0</v>
      </c>
      <c r="P200" s="80"/>
      <c r="Q200" s="78">
        <f t="shared" si="49"/>
        <v>0</v>
      </c>
    </row>
    <row r="201" spans="1:17" ht="12.75">
      <c r="A201" s="38" t="s">
        <v>164</v>
      </c>
      <c r="B201" s="97">
        <v>33038</v>
      </c>
      <c r="C201" s="197"/>
      <c r="D201" s="146"/>
      <c r="E201" s="146"/>
      <c r="F201" s="134">
        <f t="shared" si="52"/>
        <v>0</v>
      </c>
      <c r="G201" s="263">
        <f>1490.9</f>
        <v>1490.9</v>
      </c>
      <c r="H201" s="308"/>
      <c r="I201" s="244">
        <f t="shared" si="53"/>
        <v>1490.9</v>
      </c>
      <c r="J201" s="86"/>
      <c r="K201" s="7"/>
      <c r="L201" s="72">
        <f t="shared" si="54"/>
        <v>1490.9</v>
      </c>
      <c r="M201" s="22"/>
      <c r="N201" s="7"/>
      <c r="O201" s="23">
        <f t="shared" si="55"/>
        <v>1490.9</v>
      </c>
      <c r="P201" s="80"/>
      <c r="Q201" s="78">
        <f t="shared" si="49"/>
        <v>1490.9</v>
      </c>
    </row>
    <row r="202" spans="1:17" ht="12.75">
      <c r="A202" s="45" t="s">
        <v>276</v>
      </c>
      <c r="B202" s="100">
        <v>33063</v>
      </c>
      <c r="C202" s="292"/>
      <c r="D202" s="213">
        <f>10991.83+1658.34</f>
        <v>12650.17</v>
      </c>
      <c r="E202" s="213"/>
      <c r="F202" s="229">
        <f t="shared" si="52"/>
        <v>12650.17</v>
      </c>
      <c r="G202" s="268">
        <f>6566.9+3355.18+953.09+1598.95+1500</f>
        <v>13974.12</v>
      </c>
      <c r="H202" s="312"/>
      <c r="I202" s="248">
        <f t="shared" si="53"/>
        <v>26624.29</v>
      </c>
      <c r="J202" s="86"/>
      <c r="K202" s="7"/>
      <c r="L202" s="72"/>
      <c r="M202" s="22"/>
      <c r="N202" s="7"/>
      <c r="O202" s="23"/>
      <c r="P202" s="80"/>
      <c r="Q202" s="78"/>
    </row>
    <row r="203" spans="1:17" ht="12.75" hidden="1">
      <c r="A203" s="38" t="s">
        <v>269</v>
      </c>
      <c r="B203" s="97" t="s">
        <v>270</v>
      </c>
      <c r="C203" s="197"/>
      <c r="D203" s="146"/>
      <c r="E203" s="146"/>
      <c r="F203" s="134">
        <f t="shared" si="52"/>
        <v>0</v>
      </c>
      <c r="G203" s="263"/>
      <c r="H203" s="308"/>
      <c r="I203" s="244">
        <f t="shared" si="53"/>
        <v>0</v>
      </c>
      <c r="J203" s="86"/>
      <c r="K203" s="7"/>
      <c r="L203" s="72"/>
      <c r="M203" s="22"/>
      <c r="N203" s="7"/>
      <c r="O203" s="23"/>
      <c r="P203" s="80"/>
      <c r="Q203" s="78"/>
    </row>
    <row r="204" spans="1:17" ht="12.75">
      <c r="A204" s="38" t="s">
        <v>309</v>
      </c>
      <c r="B204" s="97">
        <v>2054</v>
      </c>
      <c r="C204" s="197"/>
      <c r="D204" s="146">
        <f>183.89</f>
        <v>183.89</v>
      </c>
      <c r="E204" s="146"/>
      <c r="F204" s="134">
        <f t="shared" si="52"/>
        <v>183.89</v>
      </c>
      <c r="G204" s="263"/>
      <c r="H204" s="308"/>
      <c r="I204" s="244">
        <f t="shared" si="53"/>
        <v>183.89</v>
      </c>
      <c r="J204" s="86"/>
      <c r="K204" s="7"/>
      <c r="L204" s="72"/>
      <c r="M204" s="22"/>
      <c r="N204" s="7"/>
      <c r="O204" s="23"/>
      <c r="P204" s="80"/>
      <c r="Q204" s="78"/>
    </row>
    <row r="205" spans="1:17" ht="12.75">
      <c r="A205" s="38" t="s">
        <v>313</v>
      </c>
      <c r="B205" s="97">
        <v>2054</v>
      </c>
      <c r="C205" s="197"/>
      <c r="D205" s="146">
        <f>1744.74</f>
        <v>1744.74</v>
      </c>
      <c r="E205" s="146"/>
      <c r="F205" s="134">
        <f t="shared" si="52"/>
        <v>1744.74</v>
      </c>
      <c r="G205" s="263"/>
      <c r="H205" s="308"/>
      <c r="I205" s="244">
        <f t="shared" si="53"/>
        <v>1744.74</v>
      </c>
      <c r="J205" s="86"/>
      <c r="K205" s="7"/>
      <c r="L205" s="72"/>
      <c r="M205" s="22"/>
      <c r="N205" s="7"/>
      <c r="O205" s="23"/>
      <c r="P205" s="80"/>
      <c r="Q205" s="78"/>
    </row>
    <row r="206" spans="1:17" ht="12.75">
      <c r="A206" s="38" t="s">
        <v>310</v>
      </c>
      <c r="B206" s="97">
        <v>2066</v>
      </c>
      <c r="C206" s="197"/>
      <c r="D206" s="146">
        <f>636.23</f>
        <v>636.23</v>
      </c>
      <c r="E206" s="146"/>
      <c r="F206" s="134">
        <f t="shared" si="52"/>
        <v>636.23</v>
      </c>
      <c r="G206" s="263"/>
      <c r="H206" s="308"/>
      <c r="I206" s="244">
        <f t="shared" si="53"/>
        <v>636.23</v>
      </c>
      <c r="J206" s="86"/>
      <c r="K206" s="7"/>
      <c r="L206" s="72">
        <f t="shared" si="54"/>
        <v>636.23</v>
      </c>
      <c r="M206" s="22"/>
      <c r="N206" s="7"/>
      <c r="O206" s="23">
        <f t="shared" si="55"/>
        <v>636.23</v>
      </c>
      <c r="P206" s="80"/>
      <c r="Q206" s="78">
        <f t="shared" si="49"/>
        <v>636.23</v>
      </c>
    </row>
    <row r="207" spans="1:17" ht="12.75">
      <c r="A207" s="38" t="s">
        <v>281</v>
      </c>
      <c r="B207" s="97">
        <v>2066</v>
      </c>
      <c r="C207" s="197"/>
      <c r="D207" s="146"/>
      <c r="E207" s="146"/>
      <c r="F207" s="134">
        <f t="shared" si="52"/>
        <v>0</v>
      </c>
      <c r="G207" s="263">
        <f>7600</f>
        <v>7600</v>
      </c>
      <c r="H207" s="308"/>
      <c r="I207" s="244">
        <f t="shared" si="53"/>
        <v>7600</v>
      </c>
      <c r="J207" s="86"/>
      <c r="K207" s="7"/>
      <c r="L207" s="72"/>
      <c r="M207" s="22"/>
      <c r="N207" s="7"/>
      <c r="O207" s="23"/>
      <c r="P207" s="80"/>
      <c r="Q207" s="78"/>
    </row>
    <row r="208" spans="1:17" ht="12.75">
      <c r="A208" s="38" t="s">
        <v>339</v>
      </c>
      <c r="B208" s="97">
        <v>13305</v>
      </c>
      <c r="C208" s="197"/>
      <c r="D208" s="146"/>
      <c r="E208" s="146"/>
      <c r="F208" s="134">
        <f t="shared" si="52"/>
        <v>0</v>
      </c>
      <c r="G208" s="263">
        <f>3408.25</f>
        <v>3408.25</v>
      </c>
      <c r="H208" s="308"/>
      <c r="I208" s="244">
        <f t="shared" si="53"/>
        <v>3408.25</v>
      </c>
      <c r="J208" s="86"/>
      <c r="K208" s="7"/>
      <c r="L208" s="72"/>
      <c r="M208" s="22"/>
      <c r="N208" s="7"/>
      <c r="O208" s="23"/>
      <c r="P208" s="80"/>
      <c r="Q208" s="78"/>
    </row>
    <row r="209" spans="1:17" ht="12.75">
      <c r="A209" s="38" t="s">
        <v>77</v>
      </c>
      <c r="B209" s="191" t="s">
        <v>267</v>
      </c>
      <c r="C209" s="197"/>
      <c r="D209" s="146">
        <f>213.18+6902+349.03+6964.2</f>
        <v>14428.41</v>
      </c>
      <c r="E209" s="146"/>
      <c r="F209" s="134">
        <f t="shared" si="52"/>
        <v>14428.41</v>
      </c>
      <c r="G209" s="263">
        <f>300.78</f>
        <v>300.78</v>
      </c>
      <c r="H209" s="308"/>
      <c r="I209" s="244">
        <f t="shared" si="53"/>
        <v>14729.19</v>
      </c>
      <c r="J209" s="86"/>
      <c r="K209" s="7"/>
      <c r="L209" s="72">
        <f t="shared" si="54"/>
        <v>14729.19</v>
      </c>
      <c r="M209" s="30"/>
      <c r="N209" s="7"/>
      <c r="O209" s="23">
        <f t="shared" si="55"/>
        <v>14729.19</v>
      </c>
      <c r="P209" s="80"/>
      <c r="Q209" s="78">
        <f t="shared" si="49"/>
        <v>14729.19</v>
      </c>
    </row>
    <row r="210" spans="1:17" ht="12.75">
      <c r="A210" s="38" t="s">
        <v>51</v>
      </c>
      <c r="B210" s="97"/>
      <c r="C210" s="197">
        <v>38783.07</v>
      </c>
      <c r="D210" s="146">
        <f>-4500+1190.66-12156.45+5000</f>
        <v>-10465.79</v>
      </c>
      <c r="E210" s="146"/>
      <c r="F210" s="134">
        <f t="shared" si="52"/>
        <v>28317.28</v>
      </c>
      <c r="G210" s="263">
        <f>-3902.75</f>
        <v>-3902.75</v>
      </c>
      <c r="H210" s="308"/>
      <c r="I210" s="244">
        <f t="shared" si="53"/>
        <v>24414.53</v>
      </c>
      <c r="J210" s="86"/>
      <c r="K210" s="7"/>
      <c r="L210" s="72">
        <f t="shared" si="54"/>
        <v>24414.53</v>
      </c>
      <c r="M210" s="30"/>
      <c r="N210" s="7"/>
      <c r="O210" s="23">
        <f t="shared" si="55"/>
        <v>24414.53</v>
      </c>
      <c r="P210" s="80"/>
      <c r="Q210" s="78">
        <f t="shared" si="49"/>
        <v>24414.53</v>
      </c>
    </row>
    <row r="211" spans="1:17" ht="12.75">
      <c r="A211" s="41" t="s">
        <v>54</v>
      </c>
      <c r="B211" s="101"/>
      <c r="C211" s="201">
        <f>SUM(C213:C219)</f>
        <v>740</v>
      </c>
      <c r="D211" s="150">
        <f aca="true" t="shared" si="56" ref="D211:Q211">SUM(D213:D219)</f>
        <v>540.64</v>
      </c>
      <c r="E211" s="150">
        <f t="shared" si="56"/>
        <v>0</v>
      </c>
      <c r="F211" s="176">
        <f t="shared" si="56"/>
        <v>1280.6399999999999</v>
      </c>
      <c r="G211" s="266">
        <f t="shared" si="56"/>
        <v>1663.76</v>
      </c>
      <c r="H211" s="313">
        <f t="shared" si="56"/>
        <v>0</v>
      </c>
      <c r="I211" s="247">
        <f t="shared" si="56"/>
        <v>2944.4</v>
      </c>
      <c r="J211" s="176">
        <f t="shared" si="56"/>
        <v>0</v>
      </c>
      <c r="K211" s="121">
        <f t="shared" si="56"/>
        <v>0</v>
      </c>
      <c r="L211" s="150">
        <f t="shared" si="56"/>
        <v>2944.4</v>
      </c>
      <c r="M211" s="120">
        <f t="shared" si="56"/>
        <v>0</v>
      </c>
      <c r="N211" s="120">
        <f t="shared" si="56"/>
        <v>0</v>
      </c>
      <c r="O211" s="120">
        <f t="shared" si="56"/>
        <v>2944.4</v>
      </c>
      <c r="P211" s="120">
        <f t="shared" si="56"/>
        <v>0</v>
      </c>
      <c r="Q211" s="201">
        <f t="shared" si="56"/>
        <v>2944.4</v>
      </c>
    </row>
    <row r="212" spans="1:17" ht="12.75">
      <c r="A212" s="36" t="s">
        <v>26</v>
      </c>
      <c r="B212" s="97"/>
      <c r="C212" s="197"/>
      <c r="D212" s="146"/>
      <c r="E212" s="146"/>
      <c r="F212" s="134"/>
      <c r="G212" s="263"/>
      <c r="H212" s="308"/>
      <c r="I212" s="243"/>
      <c r="J212" s="86"/>
      <c r="K212" s="7"/>
      <c r="L212" s="68"/>
      <c r="M212" s="22"/>
      <c r="N212" s="7"/>
      <c r="O212" s="21"/>
      <c r="P212" s="80"/>
      <c r="Q212" s="78"/>
    </row>
    <row r="213" spans="1:17" ht="12.75">
      <c r="A213" s="38" t="s">
        <v>85</v>
      </c>
      <c r="B213" s="97"/>
      <c r="C213" s="197">
        <v>740</v>
      </c>
      <c r="D213" s="146">
        <f>519.37</f>
        <v>519.37</v>
      </c>
      <c r="E213" s="146"/>
      <c r="F213" s="134">
        <f aca="true" t="shared" si="57" ref="F213:F219">C213+D213+E213</f>
        <v>1259.37</v>
      </c>
      <c r="G213" s="263">
        <f>1663.76</f>
        <v>1663.76</v>
      </c>
      <c r="H213" s="308"/>
      <c r="I213" s="244">
        <f>F213+G213+H213</f>
        <v>2923.13</v>
      </c>
      <c r="J213" s="86"/>
      <c r="K213" s="7"/>
      <c r="L213" s="72">
        <f>I213+J213+K213</f>
        <v>2923.13</v>
      </c>
      <c r="M213" s="22"/>
      <c r="N213" s="7"/>
      <c r="O213" s="23">
        <f>L213+M213+N213</f>
        <v>2923.13</v>
      </c>
      <c r="P213" s="80"/>
      <c r="Q213" s="78">
        <f t="shared" si="49"/>
        <v>2923.13</v>
      </c>
    </row>
    <row r="214" spans="1:17" ht="12.75" hidden="1">
      <c r="A214" s="38" t="s">
        <v>269</v>
      </c>
      <c r="B214" s="97" t="s">
        <v>271</v>
      </c>
      <c r="C214" s="197"/>
      <c r="D214" s="146"/>
      <c r="E214" s="146"/>
      <c r="F214" s="134">
        <f t="shared" si="57"/>
        <v>0</v>
      </c>
      <c r="G214" s="263"/>
      <c r="H214" s="308"/>
      <c r="I214" s="244"/>
      <c r="J214" s="86"/>
      <c r="K214" s="7"/>
      <c r="L214" s="72"/>
      <c r="M214" s="22"/>
      <c r="N214" s="7"/>
      <c r="O214" s="23"/>
      <c r="P214" s="80"/>
      <c r="Q214" s="78"/>
    </row>
    <row r="215" spans="1:17" ht="12.75" hidden="1">
      <c r="A215" s="38" t="s">
        <v>281</v>
      </c>
      <c r="B215" s="97"/>
      <c r="C215" s="197"/>
      <c r="D215" s="146"/>
      <c r="E215" s="146"/>
      <c r="F215" s="134">
        <f t="shared" si="57"/>
        <v>0</v>
      </c>
      <c r="G215" s="263"/>
      <c r="H215" s="308"/>
      <c r="I215" s="244"/>
      <c r="J215" s="86"/>
      <c r="K215" s="7"/>
      <c r="L215" s="72"/>
      <c r="M215" s="22"/>
      <c r="N215" s="7"/>
      <c r="O215" s="23"/>
      <c r="P215" s="80"/>
      <c r="Q215" s="78"/>
    </row>
    <row r="216" spans="1:17" ht="12.75" hidden="1">
      <c r="A216" s="38" t="s">
        <v>69</v>
      </c>
      <c r="B216" s="97"/>
      <c r="C216" s="197"/>
      <c r="D216" s="146"/>
      <c r="E216" s="146"/>
      <c r="F216" s="134">
        <f t="shared" si="57"/>
        <v>0</v>
      </c>
      <c r="G216" s="263"/>
      <c r="H216" s="308"/>
      <c r="I216" s="244">
        <f>F216+G216+H216</f>
        <v>0</v>
      </c>
      <c r="J216" s="86"/>
      <c r="K216" s="7"/>
      <c r="L216" s="72">
        <f>I216+J216+K216</f>
        <v>0</v>
      </c>
      <c r="M216" s="22"/>
      <c r="N216" s="7"/>
      <c r="O216" s="23">
        <f>L216+M216+N216</f>
        <v>0</v>
      </c>
      <c r="P216" s="80"/>
      <c r="Q216" s="78">
        <f t="shared" si="49"/>
        <v>0</v>
      </c>
    </row>
    <row r="217" spans="1:17" ht="12.75" hidden="1">
      <c r="A217" s="38" t="s">
        <v>86</v>
      </c>
      <c r="B217" s="97"/>
      <c r="C217" s="197"/>
      <c r="D217" s="146"/>
      <c r="E217" s="146"/>
      <c r="F217" s="134">
        <f t="shared" si="57"/>
        <v>0</v>
      </c>
      <c r="G217" s="263"/>
      <c r="H217" s="308"/>
      <c r="I217" s="244">
        <f>F217+G217+H217</f>
        <v>0</v>
      </c>
      <c r="J217" s="86"/>
      <c r="K217" s="7"/>
      <c r="L217" s="72">
        <f>I217+J217+K217</f>
        <v>0</v>
      </c>
      <c r="M217" s="22"/>
      <c r="N217" s="7"/>
      <c r="O217" s="23">
        <f>L217+M217+N217</f>
        <v>0</v>
      </c>
      <c r="P217" s="80"/>
      <c r="Q217" s="78">
        <f t="shared" si="49"/>
        <v>0</v>
      </c>
    </row>
    <row r="218" spans="1:17" ht="12.75" hidden="1">
      <c r="A218" s="38" t="s">
        <v>55</v>
      </c>
      <c r="B218" s="97"/>
      <c r="C218" s="197"/>
      <c r="D218" s="146"/>
      <c r="E218" s="146"/>
      <c r="F218" s="134">
        <f t="shared" si="57"/>
        <v>0</v>
      </c>
      <c r="G218" s="263"/>
      <c r="H218" s="308"/>
      <c r="I218" s="244">
        <f>F218+G218+H218</f>
        <v>0</v>
      </c>
      <c r="J218" s="86"/>
      <c r="K218" s="9"/>
      <c r="L218" s="72">
        <f>I218+J218+K218</f>
        <v>0</v>
      </c>
      <c r="M218" s="22"/>
      <c r="N218" s="7"/>
      <c r="O218" s="23">
        <f>L218+M218+N218</f>
        <v>0</v>
      </c>
      <c r="P218" s="80"/>
      <c r="Q218" s="78">
        <f t="shared" si="49"/>
        <v>0</v>
      </c>
    </row>
    <row r="219" spans="1:17" ht="12.75">
      <c r="A219" s="45" t="s">
        <v>77</v>
      </c>
      <c r="B219" s="100"/>
      <c r="C219" s="292"/>
      <c r="D219" s="213">
        <f>21.27</f>
        <v>21.27</v>
      </c>
      <c r="E219" s="213"/>
      <c r="F219" s="229">
        <f t="shared" si="57"/>
        <v>21.27</v>
      </c>
      <c r="G219" s="268"/>
      <c r="H219" s="312"/>
      <c r="I219" s="248">
        <f>F219+G219+H219</f>
        <v>21.27</v>
      </c>
      <c r="J219" s="177"/>
      <c r="K219" s="67"/>
      <c r="L219" s="71">
        <f>I219+J219+K219</f>
        <v>21.27</v>
      </c>
      <c r="M219" s="26"/>
      <c r="N219" s="10"/>
      <c r="O219" s="27">
        <f>L219+M219+N219</f>
        <v>21.27</v>
      </c>
      <c r="P219" s="83"/>
      <c r="Q219" s="84">
        <f t="shared" si="49"/>
        <v>21.27</v>
      </c>
    </row>
    <row r="220" spans="1:17" ht="12.75">
      <c r="A220" s="31" t="s">
        <v>87</v>
      </c>
      <c r="B220" s="101"/>
      <c r="C220" s="196">
        <f aca="true" t="shared" si="58" ref="C220:Q220">C221+C234</f>
        <v>644136.8</v>
      </c>
      <c r="D220" s="129">
        <f t="shared" si="58"/>
        <v>59414.100000000006</v>
      </c>
      <c r="E220" s="129">
        <f t="shared" si="58"/>
        <v>0</v>
      </c>
      <c r="F220" s="140">
        <f t="shared" si="58"/>
        <v>703550.9</v>
      </c>
      <c r="G220" s="262">
        <f t="shared" si="58"/>
        <v>14357.990000000002</v>
      </c>
      <c r="H220" s="307">
        <f t="shared" si="58"/>
        <v>-6933</v>
      </c>
      <c r="I220" s="243">
        <f t="shared" si="58"/>
        <v>710975.89</v>
      </c>
      <c r="J220" s="140">
        <f t="shared" si="58"/>
        <v>0</v>
      </c>
      <c r="K220" s="112">
        <f t="shared" si="58"/>
        <v>0</v>
      </c>
      <c r="L220" s="129">
        <f t="shared" si="58"/>
        <v>666467.9</v>
      </c>
      <c r="M220" s="111">
        <f t="shared" si="58"/>
        <v>0</v>
      </c>
      <c r="N220" s="111">
        <f t="shared" si="58"/>
        <v>0</v>
      </c>
      <c r="O220" s="111">
        <f t="shared" si="58"/>
        <v>666467.9</v>
      </c>
      <c r="P220" s="111">
        <f t="shared" si="58"/>
        <v>0</v>
      </c>
      <c r="Q220" s="196">
        <f t="shared" si="58"/>
        <v>666467.9</v>
      </c>
    </row>
    <row r="221" spans="1:17" ht="12.75">
      <c r="A221" s="40" t="s">
        <v>49</v>
      </c>
      <c r="B221" s="101"/>
      <c r="C221" s="200">
        <f aca="true" t="shared" si="59" ref="C221:Q221">SUM(C223:C233)</f>
        <v>644136.8</v>
      </c>
      <c r="D221" s="149">
        <f t="shared" si="59"/>
        <v>51563.33</v>
      </c>
      <c r="E221" s="149">
        <f t="shared" si="59"/>
        <v>0</v>
      </c>
      <c r="F221" s="175">
        <f t="shared" si="59"/>
        <v>695700.13</v>
      </c>
      <c r="G221" s="265">
        <f t="shared" si="59"/>
        <v>22208.760000000002</v>
      </c>
      <c r="H221" s="311">
        <f t="shared" si="59"/>
        <v>-6933</v>
      </c>
      <c r="I221" s="246">
        <f t="shared" si="59"/>
        <v>710975.89</v>
      </c>
      <c r="J221" s="175">
        <f t="shared" si="59"/>
        <v>0</v>
      </c>
      <c r="K221" s="119">
        <f t="shared" si="59"/>
        <v>0</v>
      </c>
      <c r="L221" s="149">
        <f t="shared" si="59"/>
        <v>666467.9</v>
      </c>
      <c r="M221" s="118">
        <f t="shared" si="59"/>
        <v>0</v>
      </c>
      <c r="N221" s="118">
        <f t="shared" si="59"/>
        <v>0</v>
      </c>
      <c r="O221" s="118">
        <f t="shared" si="59"/>
        <v>666467.9</v>
      </c>
      <c r="P221" s="118">
        <f t="shared" si="59"/>
        <v>0</v>
      </c>
      <c r="Q221" s="200">
        <f t="shared" si="59"/>
        <v>666467.9</v>
      </c>
    </row>
    <row r="222" spans="1:17" ht="12.75">
      <c r="A222" s="36" t="s">
        <v>26</v>
      </c>
      <c r="B222" s="97"/>
      <c r="C222" s="197"/>
      <c r="D222" s="146"/>
      <c r="E222" s="146"/>
      <c r="F222" s="140"/>
      <c r="G222" s="263"/>
      <c r="H222" s="308"/>
      <c r="I222" s="243"/>
      <c r="J222" s="86"/>
      <c r="K222" s="7"/>
      <c r="L222" s="68"/>
      <c r="M222" s="22"/>
      <c r="N222" s="7"/>
      <c r="O222" s="21"/>
      <c r="P222" s="80"/>
      <c r="Q222" s="78"/>
    </row>
    <row r="223" spans="1:17" ht="12.75">
      <c r="A223" s="33" t="s">
        <v>74</v>
      </c>
      <c r="B223" s="97"/>
      <c r="C223" s="197">
        <v>296650</v>
      </c>
      <c r="D223" s="146"/>
      <c r="E223" s="146"/>
      <c r="F223" s="134">
        <f aca="true" t="shared" si="60" ref="F223:F233">C223+D223+E223</f>
        <v>296650</v>
      </c>
      <c r="G223" s="263"/>
      <c r="H223" s="308"/>
      <c r="I223" s="244">
        <f aca="true" t="shared" si="61" ref="I223:I233">F223+G223+H223</f>
        <v>296650</v>
      </c>
      <c r="J223" s="86"/>
      <c r="K223" s="7"/>
      <c r="L223" s="72">
        <f aca="true" t="shared" si="62" ref="L223:L233">I223+J223+K223</f>
        <v>296650</v>
      </c>
      <c r="M223" s="22"/>
      <c r="N223" s="7"/>
      <c r="O223" s="23">
        <f aca="true" t="shared" si="63" ref="O223:O233">L223+M223+N223</f>
        <v>296650</v>
      </c>
      <c r="P223" s="80"/>
      <c r="Q223" s="78">
        <f>O223+P223</f>
        <v>296650</v>
      </c>
    </row>
    <row r="224" spans="1:17" ht="12.75">
      <c r="A224" s="98" t="s">
        <v>208</v>
      </c>
      <c r="B224" s="97"/>
      <c r="C224" s="197">
        <v>12000</v>
      </c>
      <c r="D224" s="146">
        <f>18000</f>
        <v>18000</v>
      </c>
      <c r="E224" s="146"/>
      <c r="F224" s="134">
        <f t="shared" si="60"/>
        <v>30000</v>
      </c>
      <c r="G224" s="263">
        <f>150</f>
        <v>150</v>
      </c>
      <c r="H224" s="308"/>
      <c r="I224" s="244">
        <f t="shared" si="61"/>
        <v>30150</v>
      </c>
      <c r="J224" s="86"/>
      <c r="K224" s="7"/>
      <c r="L224" s="72"/>
      <c r="M224" s="22"/>
      <c r="N224" s="7"/>
      <c r="O224" s="23"/>
      <c r="P224" s="80"/>
      <c r="Q224" s="78"/>
    </row>
    <row r="225" spans="1:17" ht="12.75">
      <c r="A225" s="38" t="s">
        <v>64</v>
      </c>
      <c r="B225" s="97"/>
      <c r="C225" s="197">
        <v>236200</v>
      </c>
      <c r="D225" s="146"/>
      <c r="E225" s="146"/>
      <c r="F225" s="134">
        <f t="shared" si="60"/>
        <v>236200</v>
      </c>
      <c r="G225" s="263">
        <f>16500</f>
        <v>16500</v>
      </c>
      <c r="H225" s="308"/>
      <c r="I225" s="244">
        <f t="shared" si="61"/>
        <v>252700</v>
      </c>
      <c r="J225" s="86"/>
      <c r="K225" s="7"/>
      <c r="L225" s="72">
        <f t="shared" si="62"/>
        <v>252700</v>
      </c>
      <c r="M225" s="22"/>
      <c r="N225" s="7"/>
      <c r="O225" s="23">
        <f t="shared" si="63"/>
        <v>252700</v>
      </c>
      <c r="P225" s="80"/>
      <c r="Q225" s="78">
        <f>O225+P225</f>
        <v>252700</v>
      </c>
    </row>
    <row r="226" spans="1:17" ht="12.75" hidden="1">
      <c r="A226" s="38" t="s">
        <v>170</v>
      </c>
      <c r="B226" s="97"/>
      <c r="C226" s="197">
        <v>0</v>
      </c>
      <c r="D226" s="215"/>
      <c r="E226" s="146"/>
      <c r="F226" s="134">
        <f t="shared" si="60"/>
        <v>0</v>
      </c>
      <c r="G226" s="263"/>
      <c r="H226" s="308"/>
      <c r="I226" s="244">
        <f t="shared" si="61"/>
        <v>0</v>
      </c>
      <c r="J226" s="86"/>
      <c r="K226" s="7"/>
      <c r="L226" s="72"/>
      <c r="M226" s="22"/>
      <c r="N226" s="7"/>
      <c r="O226" s="23"/>
      <c r="P226" s="80"/>
      <c r="Q226" s="78"/>
    </row>
    <row r="227" spans="1:17" ht="12.75">
      <c r="A227" s="38" t="s">
        <v>51</v>
      </c>
      <c r="B227" s="97"/>
      <c r="C227" s="202">
        <v>99286.8</v>
      </c>
      <c r="D227" s="146">
        <f>18317</f>
        <v>18317</v>
      </c>
      <c r="E227" s="146"/>
      <c r="F227" s="134">
        <f t="shared" si="60"/>
        <v>117603.8</v>
      </c>
      <c r="G227" s="263">
        <f>-8649.23-150</f>
        <v>-8799.23</v>
      </c>
      <c r="H227" s="308">
        <f>-6933</f>
        <v>-6933</v>
      </c>
      <c r="I227" s="244">
        <f t="shared" si="61"/>
        <v>101871.57</v>
      </c>
      <c r="J227" s="86"/>
      <c r="K227" s="7"/>
      <c r="L227" s="72">
        <f t="shared" si="62"/>
        <v>101871.57</v>
      </c>
      <c r="M227" s="22"/>
      <c r="N227" s="7"/>
      <c r="O227" s="23">
        <f t="shared" si="63"/>
        <v>101871.57</v>
      </c>
      <c r="P227" s="80"/>
      <c r="Q227" s="78">
        <f>O227+P227</f>
        <v>101871.57</v>
      </c>
    </row>
    <row r="228" spans="1:17" ht="12.75">
      <c r="A228" s="38" t="s">
        <v>78</v>
      </c>
      <c r="B228" s="97"/>
      <c r="C228" s="202"/>
      <c r="D228" s="146">
        <f>7500+7500</f>
        <v>15000</v>
      </c>
      <c r="E228" s="146"/>
      <c r="F228" s="134">
        <f t="shared" si="60"/>
        <v>15000</v>
      </c>
      <c r="G228" s="263"/>
      <c r="H228" s="308"/>
      <c r="I228" s="244">
        <f t="shared" si="61"/>
        <v>15000</v>
      </c>
      <c r="J228" s="86"/>
      <c r="K228" s="7"/>
      <c r="L228" s="72">
        <f t="shared" si="62"/>
        <v>15000</v>
      </c>
      <c r="M228" s="22"/>
      <c r="N228" s="7"/>
      <c r="O228" s="23">
        <f t="shared" si="63"/>
        <v>15000</v>
      </c>
      <c r="P228" s="80"/>
      <c r="Q228" s="78">
        <f>O228+P228</f>
        <v>15000</v>
      </c>
    </row>
    <row r="229" spans="1:17" ht="12.75">
      <c r="A229" s="38" t="s">
        <v>278</v>
      </c>
      <c r="B229" s="97">
        <v>35018</v>
      </c>
      <c r="C229" s="202"/>
      <c r="D229" s="146"/>
      <c r="E229" s="146"/>
      <c r="F229" s="134">
        <f t="shared" si="60"/>
        <v>0</v>
      </c>
      <c r="G229" s="263">
        <f>2000+3341.47</f>
        <v>5341.469999999999</v>
      </c>
      <c r="H229" s="308"/>
      <c r="I229" s="244">
        <f t="shared" si="61"/>
        <v>5341.469999999999</v>
      </c>
      <c r="J229" s="86"/>
      <c r="K229" s="7"/>
      <c r="L229" s="72"/>
      <c r="M229" s="22"/>
      <c r="N229" s="7"/>
      <c r="O229" s="23"/>
      <c r="P229" s="80"/>
      <c r="Q229" s="78"/>
    </row>
    <row r="230" spans="1:17" ht="12.75">
      <c r="A230" s="38" t="s">
        <v>334</v>
      </c>
      <c r="B230" s="97"/>
      <c r="C230" s="202"/>
      <c r="D230" s="146">
        <f>13.91+232.42</f>
        <v>246.32999999999998</v>
      </c>
      <c r="E230" s="146"/>
      <c r="F230" s="134">
        <f t="shared" si="60"/>
        <v>246.32999999999998</v>
      </c>
      <c r="G230" s="263"/>
      <c r="H230" s="308"/>
      <c r="I230" s="244">
        <f t="shared" si="61"/>
        <v>246.32999999999998</v>
      </c>
      <c r="J230" s="86"/>
      <c r="K230" s="7"/>
      <c r="L230" s="72">
        <f t="shared" si="62"/>
        <v>246.32999999999998</v>
      </c>
      <c r="M230" s="22"/>
      <c r="N230" s="7"/>
      <c r="O230" s="23">
        <f t="shared" si="63"/>
        <v>246.32999999999998</v>
      </c>
      <c r="P230" s="80"/>
      <c r="Q230" s="78">
        <f>O230+P230</f>
        <v>246.32999999999998</v>
      </c>
    </row>
    <row r="231" spans="1:17" ht="12.75">
      <c r="A231" s="38" t="s">
        <v>345</v>
      </c>
      <c r="B231" s="280" t="s">
        <v>346</v>
      </c>
      <c r="C231" s="202"/>
      <c r="D231" s="146"/>
      <c r="E231" s="146"/>
      <c r="F231" s="134">
        <f t="shared" si="60"/>
        <v>0</v>
      </c>
      <c r="G231" s="263">
        <f>5154.15+3197.37</f>
        <v>8351.52</v>
      </c>
      <c r="H231" s="308"/>
      <c r="I231" s="244">
        <f t="shared" si="61"/>
        <v>8351.52</v>
      </c>
      <c r="J231" s="86"/>
      <c r="K231" s="7"/>
      <c r="L231" s="72"/>
      <c r="M231" s="22"/>
      <c r="N231" s="7"/>
      <c r="O231" s="23"/>
      <c r="P231" s="80"/>
      <c r="Q231" s="78"/>
    </row>
    <row r="232" spans="1:17" ht="12.75">
      <c r="A232" s="38" t="s">
        <v>344</v>
      </c>
      <c r="B232" s="97">
        <v>4359</v>
      </c>
      <c r="C232" s="202"/>
      <c r="D232" s="146"/>
      <c r="E232" s="146"/>
      <c r="F232" s="134">
        <f t="shared" si="60"/>
        <v>0</v>
      </c>
      <c r="G232" s="263">
        <f>284+381</f>
        <v>665</v>
      </c>
      <c r="H232" s="308"/>
      <c r="I232" s="244">
        <f t="shared" si="61"/>
        <v>665</v>
      </c>
      <c r="J232" s="86"/>
      <c r="K232" s="7"/>
      <c r="L232" s="72"/>
      <c r="M232" s="22"/>
      <c r="N232" s="7"/>
      <c r="O232" s="23"/>
      <c r="P232" s="80"/>
      <c r="Q232" s="78"/>
    </row>
    <row r="233" spans="1:17" ht="12.75" hidden="1">
      <c r="A233" s="38" t="s">
        <v>88</v>
      </c>
      <c r="B233" s="97"/>
      <c r="C233" s="197"/>
      <c r="D233" s="146"/>
      <c r="E233" s="146"/>
      <c r="F233" s="134">
        <f t="shared" si="60"/>
        <v>0</v>
      </c>
      <c r="G233" s="263"/>
      <c r="H233" s="308"/>
      <c r="I233" s="244">
        <f t="shared" si="61"/>
        <v>0</v>
      </c>
      <c r="J233" s="86"/>
      <c r="K233" s="7"/>
      <c r="L233" s="72">
        <f t="shared" si="62"/>
        <v>0</v>
      </c>
      <c r="M233" s="22"/>
      <c r="N233" s="7"/>
      <c r="O233" s="23">
        <f t="shared" si="63"/>
        <v>0</v>
      </c>
      <c r="P233" s="80"/>
      <c r="Q233" s="78">
        <f>O233+P233</f>
        <v>0</v>
      </c>
    </row>
    <row r="234" spans="1:17" ht="12.75">
      <c r="A234" s="40" t="s">
        <v>54</v>
      </c>
      <c r="B234" s="101"/>
      <c r="C234" s="200">
        <f>SUM(C236:C240)</f>
        <v>0</v>
      </c>
      <c r="D234" s="149">
        <f aca="true" t="shared" si="64" ref="D234:Q234">SUM(D236:D240)</f>
        <v>7850.77</v>
      </c>
      <c r="E234" s="149">
        <f t="shared" si="64"/>
        <v>0</v>
      </c>
      <c r="F234" s="175">
        <f t="shared" si="64"/>
        <v>7850.77</v>
      </c>
      <c r="G234" s="265">
        <f t="shared" si="64"/>
        <v>-7850.77</v>
      </c>
      <c r="H234" s="311">
        <f t="shared" si="64"/>
        <v>0</v>
      </c>
      <c r="I234" s="246">
        <f t="shared" si="64"/>
        <v>0</v>
      </c>
      <c r="J234" s="175">
        <f t="shared" si="64"/>
        <v>0</v>
      </c>
      <c r="K234" s="119">
        <f t="shared" si="64"/>
        <v>0</v>
      </c>
      <c r="L234" s="149">
        <f t="shared" si="64"/>
        <v>0</v>
      </c>
      <c r="M234" s="118">
        <f t="shared" si="64"/>
        <v>0</v>
      </c>
      <c r="N234" s="118">
        <f t="shared" si="64"/>
        <v>0</v>
      </c>
      <c r="O234" s="118">
        <f t="shared" si="64"/>
        <v>0</v>
      </c>
      <c r="P234" s="118">
        <f t="shared" si="64"/>
        <v>0</v>
      </c>
      <c r="Q234" s="200">
        <f t="shared" si="64"/>
        <v>0</v>
      </c>
    </row>
    <row r="235" spans="1:17" ht="12.75">
      <c r="A235" s="36" t="s">
        <v>26</v>
      </c>
      <c r="B235" s="97"/>
      <c r="C235" s="197"/>
      <c r="D235" s="146"/>
      <c r="E235" s="146"/>
      <c r="F235" s="134"/>
      <c r="G235" s="263"/>
      <c r="H235" s="308"/>
      <c r="I235" s="244"/>
      <c r="J235" s="86"/>
      <c r="K235" s="7"/>
      <c r="L235" s="72"/>
      <c r="M235" s="22"/>
      <c r="N235" s="7"/>
      <c r="O235" s="23"/>
      <c r="P235" s="80"/>
      <c r="Q235" s="78"/>
    </row>
    <row r="236" spans="1:17" ht="12.75">
      <c r="A236" s="45" t="s">
        <v>55</v>
      </c>
      <c r="B236" s="100"/>
      <c r="C236" s="292">
        <v>0</v>
      </c>
      <c r="D236" s="213">
        <f>7850.77</f>
        <v>7850.77</v>
      </c>
      <c r="E236" s="213"/>
      <c r="F236" s="229">
        <f>C236+D236+E236</f>
        <v>7850.77</v>
      </c>
      <c r="G236" s="268">
        <f>-7850.77</f>
        <v>-7850.77</v>
      </c>
      <c r="H236" s="312"/>
      <c r="I236" s="248">
        <f>F236+G236+H236</f>
        <v>0</v>
      </c>
      <c r="J236" s="86"/>
      <c r="K236" s="7"/>
      <c r="L236" s="72"/>
      <c r="M236" s="22"/>
      <c r="N236" s="7"/>
      <c r="O236" s="23"/>
      <c r="P236" s="80"/>
      <c r="Q236" s="78"/>
    </row>
    <row r="237" spans="1:17" ht="12.75" hidden="1">
      <c r="A237" s="38" t="s">
        <v>241</v>
      </c>
      <c r="B237" s="97"/>
      <c r="C237" s="197"/>
      <c r="D237" s="146"/>
      <c r="E237" s="146"/>
      <c r="F237" s="134">
        <f>C237+D237+E237</f>
        <v>0</v>
      </c>
      <c r="G237" s="263"/>
      <c r="H237" s="308"/>
      <c r="I237" s="244"/>
      <c r="J237" s="86"/>
      <c r="K237" s="7"/>
      <c r="L237" s="72"/>
      <c r="M237" s="22"/>
      <c r="N237" s="7"/>
      <c r="O237" s="23"/>
      <c r="P237" s="80"/>
      <c r="Q237" s="78"/>
    </row>
    <row r="238" spans="1:17" ht="12.75" hidden="1">
      <c r="A238" s="38" t="s">
        <v>69</v>
      </c>
      <c r="B238" s="97"/>
      <c r="C238" s="197"/>
      <c r="D238" s="146"/>
      <c r="E238" s="146"/>
      <c r="F238" s="134">
        <f>C238+D238+E238</f>
        <v>0</v>
      </c>
      <c r="G238" s="263"/>
      <c r="H238" s="308"/>
      <c r="I238" s="244">
        <f>F238+G238+H238</f>
        <v>0</v>
      </c>
      <c r="J238" s="86"/>
      <c r="K238" s="7"/>
      <c r="L238" s="72">
        <f>I238+J238+K238</f>
        <v>0</v>
      </c>
      <c r="M238" s="22"/>
      <c r="N238" s="7"/>
      <c r="O238" s="23">
        <f>L238+M238+N238</f>
        <v>0</v>
      </c>
      <c r="P238" s="80"/>
      <c r="Q238" s="78">
        <f>O238+P238</f>
        <v>0</v>
      </c>
    </row>
    <row r="239" spans="1:17" ht="12.75" hidden="1">
      <c r="A239" s="38" t="s">
        <v>214</v>
      </c>
      <c r="B239" s="97"/>
      <c r="C239" s="197"/>
      <c r="D239" s="146"/>
      <c r="E239" s="146"/>
      <c r="F239" s="134">
        <f>C239+D239+E239</f>
        <v>0</v>
      </c>
      <c r="G239" s="268"/>
      <c r="H239" s="312"/>
      <c r="I239" s="248">
        <f>F239+G239+H239</f>
        <v>0</v>
      </c>
      <c r="J239" s="177"/>
      <c r="K239" s="10"/>
      <c r="L239" s="71">
        <f>I239+J239+K239</f>
        <v>0</v>
      </c>
      <c r="M239" s="26"/>
      <c r="N239" s="10"/>
      <c r="O239" s="27">
        <f>L239+M239+N239</f>
        <v>0</v>
      </c>
      <c r="P239" s="83"/>
      <c r="Q239" s="84">
        <f>O239+P239</f>
        <v>0</v>
      </c>
    </row>
    <row r="240" spans="1:17" ht="12.75" hidden="1">
      <c r="A240" s="37" t="s">
        <v>78</v>
      </c>
      <c r="B240" s="100"/>
      <c r="C240" s="292"/>
      <c r="D240" s="213"/>
      <c r="E240" s="213"/>
      <c r="F240" s="229">
        <f>C240+D240+E240</f>
        <v>0</v>
      </c>
      <c r="G240" s="268"/>
      <c r="H240" s="312"/>
      <c r="I240" s="248">
        <f>F240+G240+H240</f>
        <v>0</v>
      </c>
      <c r="J240" s="177"/>
      <c r="K240" s="10"/>
      <c r="L240" s="71">
        <f>I240+J240+K240</f>
        <v>0</v>
      </c>
      <c r="M240" s="26"/>
      <c r="N240" s="10"/>
      <c r="O240" s="27">
        <f>L240+M240+N240</f>
        <v>0</v>
      </c>
      <c r="P240" s="83"/>
      <c r="Q240" s="84">
        <f>O240+P240</f>
        <v>0</v>
      </c>
    </row>
    <row r="241" spans="1:17" ht="12.75">
      <c r="A241" s="46" t="s">
        <v>89</v>
      </c>
      <c r="B241" s="102"/>
      <c r="C241" s="199">
        <f aca="true" t="shared" si="65" ref="C241:Q241">C242+C255</f>
        <v>228552.1</v>
      </c>
      <c r="D241" s="147">
        <f t="shared" si="65"/>
        <v>16061.180000000002</v>
      </c>
      <c r="E241" s="147">
        <f t="shared" si="65"/>
        <v>0</v>
      </c>
      <c r="F241" s="131">
        <f t="shared" si="65"/>
        <v>244613.28</v>
      </c>
      <c r="G241" s="267">
        <f t="shared" si="65"/>
        <v>10542.05</v>
      </c>
      <c r="H241" s="309">
        <f t="shared" si="65"/>
        <v>-4280</v>
      </c>
      <c r="I241" s="226">
        <f t="shared" si="65"/>
        <v>250875.33</v>
      </c>
      <c r="J241" s="131">
        <f t="shared" si="65"/>
        <v>0</v>
      </c>
      <c r="K241" s="116">
        <f t="shared" si="65"/>
        <v>0</v>
      </c>
      <c r="L241" s="147">
        <f t="shared" si="65"/>
        <v>247767.59</v>
      </c>
      <c r="M241" s="115">
        <f t="shared" si="65"/>
        <v>0</v>
      </c>
      <c r="N241" s="115">
        <f t="shared" si="65"/>
        <v>0</v>
      </c>
      <c r="O241" s="115">
        <f t="shared" si="65"/>
        <v>247767.59</v>
      </c>
      <c r="P241" s="115">
        <f t="shared" si="65"/>
        <v>0</v>
      </c>
      <c r="Q241" s="199">
        <f t="shared" si="65"/>
        <v>247767.59</v>
      </c>
    </row>
    <row r="242" spans="1:17" ht="12.75">
      <c r="A242" s="40" t="s">
        <v>49</v>
      </c>
      <c r="B242" s="101"/>
      <c r="C242" s="200">
        <f aca="true" t="shared" si="66" ref="C242:Q242">SUM(C244:C254)</f>
        <v>225172.1</v>
      </c>
      <c r="D242" s="149">
        <f t="shared" si="66"/>
        <v>12691.180000000002</v>
      </c>
      <c r="E242" s="149">
        <f t="shared" si="66"/>
        <v>0</v>
      </c>
      <c r="F242" s="175">
        <f t="shared" si="66"/>
        <v>237863.28</v>
      </c>
      <c r="G242" s="265">
        <f t="shared" si="66"/>
        <v>10649.05</v>
      </c>
      <c r="H242" s="311">
        <f t="shared" si="66"/>
        <v>-1180</v>
      </c>
      <c r="I242" s="246">
        <f t="shared" si="66"/>
        <v>247332.33</v>
      </c>
      <c r="J242" s="175">
        <f t="shared" si="66"/>
        <v>0</v>
      </c>
      <c r="K242" s="119">
        <f t="shared" si="66"/>
        <v>0</v>
      </c>
      <c r="L242" s="149">
        <f t="shared" si="66"/>
        <v>244317.59</v>
      </c>
      <c r="M242" s="118">
        <f t="shared" si="66"/>
        <v>0</v>
      </c>
      <c r="N242" s="118">
        <f t="shared" si="66"/>
        <v>0</v>
      </c>
      <c r="O242" s="118">
        <f t="shared" si="66"/>
        <v>244317.59</v>
      </c>
      <c r="P242" s="118">
        <f t="shared" si="66"/>
        <v>0</v>
      </c>
      <c r="Q242" s="200">
        <f t="shared" si="66"/>
        <v>244317.59</v>
      </c>
    </row>
    <row r="243" spans="1:17" ht="12.75">
      <c r="A243" s="36" t="s">
        <v>26</v>
      </c>
      <c r="B243" s="97"/>
      <c r="C243" s="197"/>
      <c r="D243" s="146"/>
      <c r="E243" s="146"/>
      <c r="F243" s="134"/>
      <c r="G243" s="263"/>
      <c r="H243" s="308"/>
      <c r="I243" s="244"/>
      <c r="J243" s="86"/>
      <c r="K243" s="7"/>
      <c r="L243" s="72"/>
      <c r="M243" s="22"/>
      <c r="N243" s="7"/>
      <c r="O243" s="23"/>
      <c r="P243" s="80"/>
      <c r="Q243" s="78"/>
    </row>
    <row r="244" spans="1:17" ht="12.75">
      <c r="A244" s="38" t="s">
        <v>74</v>
      </c>
      <c r="B244" s="97"/>
      <c r="C244" s="197">
        <v>190968.5</v>
      </c>
      <c r="D244" s="146">
        <f>2154.6+7724.6</f>
        <v>9879.2</v>
      </c>
      <c r="E244" s="146"/>
      <c r="F244" s="134">
        <f aca="true" t="shared" si="67" ref="F244:F254">C244+D244+E244</f>
        <v>200847.7</v>
      </c>
      <c r="G244" s="263">
        <f>428.7+136.4+6611.7+220.95</f>
        <v>7397.75</v>
      </c>
      <c r="H244" s="308"/>
      <c r="I244" s="244">
        <f>F244+G244+H244</f>
        <v>208245.45</v>
      </c>
      <c r="J244" s="86"/>
      <c r="K244" s="7"/>
      <c r="L244" s="72">
        <f>I244+J244+K244</f>
        <v>208245.45</v>
      </c>
      <c r="M244" s="22"/>
      <c r="N244" s="7"/>
      <c r="O244" s="23">
        <f>L244+M244+N244</f>
        <v>208245.45</v>
      </c>
      <c r="P244" s="80"/>
      <c r="Q244" s="78">
        <f aca="true" t="shared" si="68" ref="Q244:Q254">O244+P244</f>
        <v>208245.45</v>
      </c>
    </row>
    <row r="245" spans="1:17" ht="12.75">
      <c r="A245" s="38" t="s">
        <v>51</v>
      </c>
      <c r="B245" s="97"/>
      <c r="C245" s="197">
        <v>30515.6</v>
      </c>
      <c r="D245" s="146">
        <f>-1130-6273+556-2490.05+2641.14+1500</f>
        <v>-5195.91</v>
      </c>
      <c r="E245" s="146"/>
      <c r="F245" s="134">
        <f t="shared" si="67"/>
        <v>25319.69</v>
      </c>
      <c r="G245" s="263">
        <f>200</f>
        <v>200</v>
      </c>
      <c r="H245" s="308">
        <f>-1180</f>
        <v>-1180</v>
      </c>
      <c r="I245" s="244">
        <f aca="true" t="shared" si="69" ref="I245:I254">F245+G245+H245</f>
        <v>24339.69</v>
      </c>
      <c r="J245" s="86"/>
      <c r="K245" s="7"/>
      <c r="L245" s="72">
        <f aca="true" t="shared" si="70" ref="L245:L254">I245+J245+K245</f>
        <v>24339.69</v>
      </c>
      <c r="M245" s="22"/>
      <c r="N245" s="7"/>
      <c r="O245" s="23">
        <f aca="true" t="shared" si="71" ref="O245:O254">L245+M245+N245</f>
        <v>24339.69</v>
      </c>
      <c r="P245" s="80"/>
      <c r="Q245" s="78">
        <f t="shared" si="68"/>
        <v>24339.69</v>
      </c>
    </row>
    <row r="246" spans="1:17" ht="12.75">
      <c r="A246" s="38" t="s">
        <v>131</v>
      </c>
      <c r="B246" s="97"/>
      <c r="C246" s="197">
        <v>3388</v>
      </c>
      <c r="D246" s="146">
        <f>94.86</f>
        <v>94.86</v>
      </c>
      <c r="E246" s="146"/>
      <c r="F246" s="134">
        <f t="shared" si="67"/>
        <v>3482.86</v>
      </c>
      <c r="G246" s="263"/>
      <c r="H246" s="308"/>
      <c r="I246" s="244">
        <f t="shared" si="69"/>
        <v>3482.86</v>
      </c>
      <c r="J246" s="86"/>
      <c r="K246" s="7"/>
      <c r="L246" s="72">
        <f t="shared" si="70"/>
        <v>3482.86</v>
      </c>
      <c r="M246" s="22"/>
      <c r="N246" s="7"/>
      <c r="O246" s="23">
        <f t="shared" si="71"/>
        <v>3482.86</v>
      </c>
      <c r="P246" s="80"/>
      <c r="Q246" s="78">
        <f t="shared" si="68"/>
        <v>3482.86</v>
      </c>
    </row>
    <row r="247" spans="1:17" ht="12.75">
      <c r="A247" s="38" t="s">
        <v>65</v>
      </c>
      <c r="B247" s="97"/>
      <c r="C247" s="197"/>
      <c r="D247" s="146">
        <f>1130+6273+240.59</f>
        <v>7643.59</v>
      </c>
      <c r="E247" s="146"/>
      <c r="F247" s="134">
        <f t="shared" si="67"/>
        <v>7643.59</v>
      </c>
      <c r="G247" s="263"/>
      <c r="H247" s="308"/>
      <c r="I247" s="244">
        <f t="shared" si="69"/>
        <v>7643.59</v>
      </c>
      <c r="J247" s="86"/>
      <c r="K247" s="7"/>
      <c r="L247" s="72">
        <f t="shared" si="70"/>
        <v>7643.59</v>
      </c>
      <c r="M247" s="22"/>
      <c r="N247" s="7"/>
      <c r="O247" s="23">
        <f t="shared" si="71"/>
        <v>7643.59</v>
      </c>
      <c r="P247" s="80"/>
      <c r="Q247" s="78">
        <f t="shared" si="68"/>
        <v>7643.59</v>
      </c>
    </row>
    <row r="248" spans="1:17" ht="12.75" hidden="1">
      <c r="A248" s="38" t="s">
        <v>90</v>
      </c>
      <c r="B248" s="97">
        <v>34070</v>
      </c>
      <c r="C248" s="197"/>
      <c r="D248" s="146"/>
      <c r="E248" s="146"/>
      <c r="F248" s="134">
        <f t="shared" si="67"/>
        <v>0</v>
      </c>
      <c r="G248" s="263"/>
      <c r="H248" s="308"/>
      <c r="I248" s="244">
        <f t="shared" si="69"/>
        <v>0</v>
      </c>
      <c r="J248" s="86"/>
      <c r="K248" s="7"/>
      <c r="L248" s="72">
        <f t="shared" si="70"/>
        <v>0</v>
      </c>
      <c r="M248" s="22"/>
      <c r="N248" s="7"/>
      <c r="O248" s="23">
        <f t="shared" si="71"/>
        <v>0</v>
      </c>
      <c r="P248" s="80"/>
      <c r="Q248" s="78">
        <f t="shared" si="68"/>
        <v>0</v>
      </c>
    </row>
    <row r="249" spans="1:17" ht="12.75">
      <c r="A249" s="38" t="s">
        <v>350</v>
      </c>
      <c r="B249" s="97">
        <v>34013</v>
      </c>
      <c r="C249" s="197"/>
      <c r="D249" s="146"/>
      <c r="E249" s="146"/>
      <c r="F249" s="134">
        <f t="shared" si="67"/>
        <v>0</v>
      </c>
      <c r="G249" s="263">
        <f>108+110+167+65</f>
        <v>450</v>
      </c>
      <c r="H249" s="308"/>
      <c r="I249" s="244">
        <f t="shared" si="69"/>
        <v>450</v>
      </c>
      <c r="J249" s="86"/>
      <c r="K249" s="7"/>
      <c r="L249" s="72"/>
      <c r="M249" s="22"/>
      <c r="N249" s="7"/>
      <c r="O249" s="23"/>
      <c r="P249" s="80"/>
      <c r="Q249" s="78"/>
    </row>
    <row r="250" spans="1:17" ht="12.75">
      <c r="A250" s="38" t="s">
        <v>349</v>
      </c>
      <c r="B250" s="97">
        <v>34026</v>
      </c>
      <c r="C250" s="197"/>
      <c r="D250" s="146"/>
      <c r="E250" s="146"/>
      <c r="F250" s="134">
        <f t="shared" si="67"/>
        <v>0</v>
      </c>
      <c r="G250" s="263">
        <f>490.3</f>
        <v>490.3</v>
      </c>
      <c r="H250" s="308"/>
      <c r="I250" s="244">
        <f t="shared" si="69"/>
        <v>490.3</v>
      </c>
      <c r="J250" s="86"/>
      <c r="K250" s="7"/>
      <c r="L250" s="72"/>
      <c r="M250" s="22"/>
      <c r="N250" s="7"/>
      <c r="O250" s="23"/>
      <c r="P250" s="80"/>
      <c r="Q250" s="78"/>
    </row>
    <row r="251" spans="1:17" ht="12.75">
      <c r="A251" s="38" t="s">
        <v>91</v>
      </c>
      <c r="B251" s="97">
        <v>34053</v>
      </c>
      <c r="C251" s="197"/>
      <c r="D251" s="146"/>
      <c r="E251" s="146"/>
      <c r="F251" s="134">
        <f t="shared" si="67"/>
        <v>0</v>
      </c>
      <c r="G251" s="263">
        <f>306</f>
        <v>306</v>
      </c>
      <c r="H251" s="308"/>
      <c r="I251" s="244">
        <f t="shared" si="69"/>
        <v>306</v>
      </c>
      <c r="J251" s="86"/>
      <c r="K251" s="7"/>
      <c r="L251" s="72">
        <f t="shared" si="70"/>
        <v>306</v>
      </c>
      <c r="M251" s="22"/>
      <c r="N251" s="7"/>
      <c r="O251" s="23">
        <f t="shared" si="71"/>
        <v>306</v>
      </c>
      <c r="P251" s="80"/>
      <c r="Q251" s="78">
        <f t="shared" si="68"/>
        <v>306</v>
      </c>
    </row>
    <row r="252" spans="1:17" ht="12.75">
      <c r="A252" s="38" t="s">
        <v>351</v>
      </c>
      <c r="B252" s="97">
        <v>33063</v>
      </c>
      <c r="C252" s="197"/>
      <c r="D252" s="146"/>
      <c r="E252" s="146"/>
      <c r="F252" s="134">
        <f t="shared" si="67"/>
        <v>0</v>
      </c>
      <c r="G252" s="263">
        <f>1805</f>
        <v>1805</v>
      </c>
      <c r="H252" s="308"/>
      <c r="I252" s="244">
        <f t="shared" si="69"/>
        <v>1805</v>
      </c>
      <c r="J252" s="86"/>
      <c r="K252" s="7"/>
      <c r="L252" s="72"/>
      <c r="M252" s="22"/>
      <c r="N252" s="7"/>
      <c r="O252" s="23"/>
      <c r="P252" s="80"/>
      <c r="Q252" s="78"/>
    </row>
    <row r="253" spans="1:17" ht="12.75">
      <c r="A253" s="38" t="s">
        <v>330</v>
      </c>
      <c r="B253" s="97"/>
      <c r="C253" s="197"/>
      <c r="D253" s="146">
        <f>269.44</f>
        <v>269.44</v>
      </c>
      <c r="E253" s="146"/>
      <c r="F253" s="134">
        <f t="shared" si="67"/>
        <v>269.44</v>
      </c>
      <c r="G253" s="263"/>
      <c r="H253" s="308"/>
      <c r="I253" s="244">
        <f t="shared" si="69"/>
        <v>269.44</v>
      </c>
      <c r="J253" s="86"/>
      <c r="K253" s="7"/>
      <c r="L253" s="72"/>
      <c r="M253" s="22"/>
      <c r="N253" s="7"/>
      <c r="O253" s="23"/>
      <c r="P253" s="80"/>
      <c r="Q253" s="78"/>
    </row>
    <row r="254" spans="1:17" ht="12.75">
      <c r="A254" s="38" t="s">
        <v>78</v>
      </c>
      <c r="B254" s="97"/>
      <c r="C254" s="197">
        <v>300</v>
      </c>
      <c r="D254" s="146"/>
      <c r="E254" s="146"/>
      <c r="F254" s="134">
        <f t="shared" si="67"/>
        <v>300</v>
      </c>
      <c r="G254" s="263"/>
      <c r="H254" s="308"/>
      <c r="I254" s="244">
        <f t="shared" si="69"/>
        <v>300</v>
      </c>
      <c r="J254" s="86"/>
      <c r="K254" s="7"/>
      <c r="L254" s="72">
        <f t="shared" si="70"/>
        <v>300</v>
      </c>
      <c r="M254" s="22"/>
      <c r="N254" s="7"/>
      <c r="O254" s="23">
        <f t="shared" si="71"/>
        <v>300</v>
      </c>
      <c r="P254" s="80"/>
      <c r="Q254" s="78">
        <f t="shared" si="68"/>
        <v>300</v>
      </c>
    </row>
    <row r="255" spans="1:17" ht="12.75">
      <c r="A255" s="40" t="s">
        <v>54</v>
      </c>
      <c r="B255" s="101"/>
      <c r="C255" s="200">
        <f>SUM(C257:C261)</f>
        <v>3380</v>
      </c>
      <c r="D255" s="149">
        <f aca="true" t="shared" si="72" ref="D255:Q255">SUM(D257:D261)</f>
        <v>3370</v>
      </c>
      <c r="E255" s="149">
        <f t="shared" si="72"/>
        <v>0</v>
      </c>
      <c r="F255" s="175">
        <f t="shared" si="72"/>
        <v>6750</v>
      </c>
      <c r="G255" s="265">
        <f t="shared" si="72"/>
        <v>-107</v>
      </c>
      <c r="H255" s="311">
        <f t="shared" si="72"/>
        <v>-3100</v>
      </c>
      <c r="I255" s="246">
        <f t="shared" si="72"/>
        <v>3543</v>
      </c>
      <c r="J255" s="175">
        <f t="shared" si="72"/>
        <v>0</v>
      </c>
      <c r="K255" s="119">
        <f t="shared" si="72"/>
        <v>0</v>
      </c>
      <c r="L255" s="149">
        <f t="shared" si="72"/>
        <v>3450</v>
      </c>
      <c r="M255" s="118">
        <f t="shared" si="72"/>
        <v>0</v>
      </c>
      <c r="N255" s="118">
        <f t="shared" si="72"/>
        <v>0</v>
      </c>
      <c r="O255" s="118">
        <f t="shared" si="72"/>
        <v>3450</v>
      </c>
      <c r="P255" s="118">
        <f t="shared" si="72"/>
        <v>0</v>
      </c>
      <c r="Q255" s="200">
        <f t="shared" si="72"/>
        <v>3450</v>
      </c>
    </row>
    <row r="256" spans="1:17" ht="12.75">
      <c r="A256" s="36" t="s">
        <v>26</v>
      </c>
      <c r="B256" s="97"/>
      <c r="C256" s="197"/>
      <c r="D256" s="146"/>
      <c r="E256" s="146"/>
      <c r="F256" s="134"/>
      <c r="G256" s="263"/>
      <c r="H256" s="308"/>
      <c r="I256" s="244"/>
      <c r="J256" s="86"/>
      <c r="K256" s="7"/>
      <c r="L256" s="72"/>
      <c r="M256" s="22"/>
      <c r="N256" s="7"/>
      <c r="O256" s="23"/>
      <c r="P256" s="80"/>
      <c r="Q256" s="78"/>
    </row>
    <row r="257" spans="1:17" ht="12.75" hidden="1">
      <c r="A257" s="38" t="s">
        <v>91</v>
      </c>
      <c r="B257" s="97">
        <v>34544</v>
      </c>
      <c r="C257" s="197"/>
      <c r="D257" s="146"/>
      <c r="E257" s="146"/>
      <c r="F257" s="134">
        <f>C257+D257+E257</f>
        <v>0</v>
      </c>
      <c r="G257" s="263"/>
      <c r="H257" s="308"/>
      <c r="I257" s="244">
        <f>F257+G257+H257</f>
        <v>0</v>
      </c>
      <c r="J257" s="86"/>
      <c r="K257" s="7"/>
      <c r="L257" s="72">
        <f>I257+J257+K257</f>
        <v>0</v>
      </c>
      <c r="M257" s="22"/>
      <c r="N257" s="7"/>
      <c r="O257" s="23">
        <f>L257+M257+N257</f>
        <v>0</v>
      </c>
      <c r="P257" s="80"/>
      <c r="Q257" s="78">
        <f>O257+P257</f>
        <v>0</v>
      </c>
    </row>
    <row r="258" spans="1:17" ht="12.75">
      <c r="A258" s="38" t="s">
        <v>350</v>
      </c>
      <c r="B258" s="97">
        <v>34941</v>
      </c>
      <c r="C258" s="197"/>
      <c r="D258" s="146"/>
      <c r="E258" s="146"/>
      <c r="F258" s="134">
        <f>C258+D258+E258</f>
        <v>0</v>
      </c>
      <c r="G258" s="263">
        <f>93</f>
        <v>93</v>
      </c>
      <c r="H258" s="308"/>
      <c r="I258" s="244">
        <f>F258+G258+H258</f>
        <v>93</v>
      </c>
      <c r="J258" s="86"/>
      <c r="K258" s="7"/>
      <c r="L258" s="72"/>
      <c r="M258" s="22"/>
      <c r="N258" s="7"/>
      <c r="O258" s="23"/>
      <c r="P258" s="80"/>
      <c r="Q258" s="78"/>
    </row>
    <row r="259" spans="1:17" ht="12.75">
      <c r="A259" s="95" t="s">
        <v>85</v>
      </c>
      <c r="B259" s="97"/>
      <c r="C259" s="197">
        <v>2850</v>
      </c>
      <c r="D259" s="146"/>
      <c r="E259" s="146"/>
      <c r="F259" s="134">
        <f>C259+D259+E259</f>
        <v>2850</v>
      </c>
      <c r="G259" s="263"/>
      <c r="H259" s="308"/>
      <c r="I259" s="244">
        <f>F259+G259+H259</f>
        <v>2850</v>
      </c>
      <c r="J259" s="86"/>
      <c r="K259" s="7"/>
      <c r="L259" s="72">
        <f>I259+J259+K259</f>
        <v>2850</v>
      </c>
      <c r="M259" s="22"/>
      <c r="N259" s="7"/>
      <c r="O259" s="23">
        <f>L259+M259+N259</f>
        <v>2850</v>
      </c>
      <c r="P259" s="80"/>
      <c r="Q259" s="78">
        <f>O259+P259</f>
        <v>2850</v>
      </c>
    </row>
    <row r="260" spans="1:17" ht="12.75">
      <c r="A260" s="195" t="s">
        <v>55</v>
      </c>
      <c r="B260" s="100"/>
      <c r="C260" s="292">
        <v>530</v>
      </c>
      <c r="D260" s="213">
        <f>3370</f>
        <v>3370</v>
      </c>
      <c r="E260" s="213"/>
      <c r="F260" s="229">
        <f>C260+D260+E260</f>
        <v>3900</v>
      </c>
      <c r="G260" s="268">
        <f>-200</f>
        <v>-200</v>
      </c>
      <c r="H260" s="312">
        <f>-3100</f>
        <v>-3100</v>
      </c>
      <c r="I260" s="248">
        <f>F260+G260+H260</f>
        <v>600</v>
      </c>
      <c r="J260" s="86"/>
      <c r="K260" s="7"/>
      <c r="L260" s="72">
        <f>I260+J260+K260</f>
        <v>600</v>
      </c>
      <c r="M260" s="22"/>
      <c r="N260" s="7"/>
      <c r="O260" s="23">
        <f>L260+M260+N260</f>
        <v>600</v>
      </c>
      <c r="P260" s="80"/>
      <c r="Q260" s="78">
        <f>O260+P260</f>
        <v>600</v>
      </c>
    </row>
    <row r="261" spans="1:17" ht="12.75" hidden="1">
      <c r="A261" s="45" t="s">
        <v>78</v>
      </c>
      <c r="B261" s="100"/>
      <c r="C261" s="292"/>
      <c r="D261" s="213"/>
      <c r="E261" s="213"/>
      <c r="F261" s="229">
        <f>C261+D261+E261</f>
        <v>0</v>
      </c>
      <c r="G261" s="268"/>
      <c r="H261" s="312"/>
      <c r="I261" s="248">
        <f>F261+G261+H261</f>
        <v>0</v>
      </c>
      <c r="J261" s="177"/>
      <c r="K261" s="10"/>
      <c r="L261" s="71">
        <f>I261+J261+K261</f>
        <v>0</v>
      </c>
      <c r="M261" s="75"/>
      <c r="N261" s="10"/>
      <c r="O261" s="27">
        <f>L261+M261+N261</f>
        <v>0</v>
      </c>
      <c r="P261" s="83"/>
      <c r="Q261" s="84">
        <f>O261+P261</f>
        <v>0</v>
      </c>
    </row>
    <row r="262" spans="1:28" ht="12.75">
      <c r="A262" s="31" t="s">
        <v>283</v>
      </c>
      <c r="B262" s="101"/>
      <c r="C262" s="196">
        <f>C263+C266</f>
        <v>1365.7</v>
      </c>
      <c r="D262" s="129">
        <f>D263+D266</f>
        <v>160</v>
      </c>
      <c r="E262" s="129">
        <f>E263+E268</f>
        <v>0</v>
      </c>
      <c r="F262" s="140">
        <f>F263+F266</f>
        <v>1525.7</v>
      </c>
      <c r="G262" s="262">
        <f aca="true" t="shared" si="73" ref="G262:Q262">G263+G266</f>
        <v>0</v>
      </c>
      <c r="H262" s="307">
        <f t="shared" si="73"/>
        <v>-485.7</v>
      </c>
      <c r="I262" s="243">
        <f t="shared" si="73"/>
        <v>1040</v>
      </c>
      <c r="J262" s="153">
        <f t="shared" si="73"/>
        <v>0</v>
      </c>
      <c r="K262" s="153">
        <f t="shared" si="73"/>
        <v>0</v>
      </c>
      <c r="L262" s="153">
        <f t="shared" si="73"/>
        <v>0</v>
      </c>
      <c r="M262" s="153">
        <f t="shared" si="73"/>
        <v>0</v>
      </c>
      <c r="N262" s="153">
        <f t="shared" si="73"/>
        <v>0</v>
      </c>
      <c r="O262" s="153">
        <f t="shared" si="73"/>
        <v>0</v>
      </c>
      <c r="P262" s="153">
        <f t="shared" si="73"/>
        <v>0</v>
      </c>
      <c r="Q262" s="153">
        <f t="shared" si="73"/>
        <v>0</v>
      </c>
      <c r="AA262" s="198"/>
      <c r="AB262" s="140"/>
    </row>
    <row r="263" spans="1:17" ht="12.75">
      <c r="A263" s="40" t="s">
        <v>49</v>
      </c>
      <c r="B263" s="101"/>
      <c r="C263" s="200">
        <f>SUM(C265:C265)</f>
        <v>1365.7</v>
      </c>
      <c r="D263" s="149">
        <f>SUM(D265:D265)</f>
        <v>160</v>
      </c>
      <c r="E263" s="149">
        <f>SUM(E265:E265)</f>
        <v>0</v>
      </c>
      <c r="F263" s="175">
        <f>SUM(F265:F265)</f>
        <v>1525.7</v>
      </c>
      <c r="G263" s="265">
        <f aca="true" t="shared" si="74" ref="G263:Q263">SUM(G265:G265)</f>
        <v>0</v>
      </c>
      <c r="H263" s="311">
        <f t="shared" si="74"/>
        <v>-485.7</v>
      </c>
      <c r="I263" s="246">
        <f t="shared" si="74"/>
        <v>1040</v>
      </c>
      <c r="J263" s="163">
        <f t="shared" si="74"/>
        <v>0</v>
      </c>
      <c r="K263" s="163">
        <f t="shared" si="74"/>
        <v>0</v>
      </c>
      <c r="L263" s="163">
        <f t="shared" si="74"/>
        <v>0</v>
      </c>
      <c r="M263" s="163">
        <f t="shared" si="74"/>
        <v>0</v>
      </c>
      <c r="N263" s="163">
        <f t="shared" si="74"/>
        <v>0</v>
      </c>
      <c r="O263" s="163">
        <f t="shared" si="74"/>
        <v>0</v>
      </c>
      <c r="P263" s="163">
        <f t="shared" si="74"/>
        <v>0</v>
      </c>
      <c r="Q263" s="163">
        <f t="shared" si="74"/>
        <v>0</v>
      </c>
    </row>
    <row r="264" spans="1:17" ht="12.75">
      <c r="A264" s="36" t="s">
        <v>26</v>
      </c>
      <c r="B264" s="97"/>
      <c r="C264" s="197"/>
      <c r="D264" s="146"/>
      <c r="E264" s="146"/>
      <c r="F264" s="134"/>
      <c r="G264" s="263"/>
      <c r="H264" s="308"/>
      <c r="I264" s="244"/>
      <c r="J264" s="86"/>
      <c r="K264" s="7"/>
      <c r="L264" s="86"/>
      <c r="M264" s="30"/>
      <c r="N264" s="128"/>
      <c r="O264" s="86"/>
      <c r="P264" s="80"/>
      <c r="Q264" s="78"/>
    </row>
    <row r="265" spans="1:17" ht="12.75">
      <c r="A265" s="37" t="s">
        <v>51</v>
      </c>
      <c r="B265" s="100"/>
      <c r="C265" s="292">
        <v>1365.7</v>
      </c>
      <c r="D265" s="213">
        <f>-40+200</f>
        <v>160</v>
      </c>
      <c r="E265" s="213"/>
      <c r="F265" s="229">
        <f>C265+D265+E265</f>
        <v>1525.7</v>
      </c>
      <c r="G265" s="268"/>
      <c r="H265" s="312">
        <f>-485.7</f>
        <v>-485.7</v>
      </c>
      <c r="I265" s="248">
        <f>F265+G265+H265</f>
        <v>1040</v>
      </c>
      <c r="J265" s="86"/>
      <c r="K265" s="7"/>
      <c r="L265" s="86"/>
      <c r="M265" s="30"/>
      <c r="N265" s="128"/>
      <c r="O265" s="86"/>
      <c r="P265" s="80"/>
      <c r="Q265" s="78"/>
    </row>
    <row r="266" spans="1:17" ht="12.75" hidden="1">
      <c r="A266" s="40" t="s">
        <v>54</v>
      </c>
      <c r="B266" s="101"/>
      <c r="C266" s="200">
        <f>C268</f>
        <v>0</v>
      </c>
      <c r="D266" s="149">
        <f>D268</f>
        <v>0</v>
      </c>
      <c r="E266" s="119">
        <f aca="true" t="shared" si="75" ref="E266:Q266">E268</f>
        <v>0</v>
      </c>
      <c r="F266" s="230">
        <f t="shared" si="75"/>
        <v>0</v>
      </c>
      <c r="G266" s="265">
        <f t="shared" si="75"/>
        <v>0</v>
      </c>
      <c r="H266" s="311">
        <f t="shared" si="75"/>
        <v>0</v>
      </c>
      <c r="I266" s="246">
        <f t="shared" si="75"/>
        <v>0</v>
      </c>
      <c r="J266" s="149">
        <f t="shared" si="75"/>
        <v>0</v>
      </c>
      <c r="K266" s="119">
        <f t="shared" si="75"/>
        <v>0</v>
      </c>
      <c r="L266" s="119">
        <f t="shared" si="75"/>
        <v>0</v>
      </c>
      <c r="M266" s="119">
        <f t="shared" si="75"/>
        <v>0</v>
      </c>
      <c r="N266" s="119">
        <f t="shared" si="75"/>
        <v>0</v>
      </c>
      <c r="O266" s="119">
        <f t="shared" si="75"/>
        <v>0</v>
      </c>
      <c r="P266" s="119">
        <f t="shared" si="75"/>
        <v>0</v>
      </c>
      <c r="Q266" s="119">
        <f t="shared" si="75"/>
        <v>0</v>
      </c>
    </row>
    <row r="267" spans="1:17" ht="12.75" hidden="1">
      <c r="A267" s="36" t="s">
        <v>26</v>
      </c>
      <c r="B267" s="97"/>
      <c r="C267" s="197"/>
      <c r="D267" s="146"/>
      <c r="E267" s="146"/>
      <c r="F267" s="134"/>
      <c r="G267" s="263"/>
      <c r="H267" s="308"/>
      <c r="I267" s="244"/>
      <c r="J267" s="86"/>
      <c r="K267" s="7"/>
      <c r="L267" s="72"/>
      <c r="M267" s="22"/>
      <c r="N267" s="7"/>
      <c r="O267" s="23"/>
      <c r="P267" s="80"/>
      <c r="Q267" s="78"/>
    </row>
    <row r="268" spans="1:17" ht="12.75" hidden="1">
      <c r="A268" s="195" t="s">
        <v>55</v>
      </c>
      <c r="B268" s="100"/>
      <c r="C268" s="292"/>
      <c r="D268" s="213"/>
      <c r="E268" s="213"/>
      <c r="F268" s="229">
        <f>C268+D268+E268</f>
        <v>0</v>
      </c>
      <c r="G268" s="263"/>
      <c r="H268" s="308"/>
      <c r="I268" s="244">
        <f>F268+G268+H268</f>
        <v>0</v>
      </c>
      <c r="J268" s="86"/>
      <c r="K268" s="7"/>
      <c r="L268" s="72">
        <f>I268+J268+K268</f>
        <v>0</v>
      </c>
      <c r="M268" s="22"/>
      <c r="N268" s="7"/>
      <c r="O268" s="23">
        <f>L268+M268+N268</f>
        <v>0</v>
      </c>
      <c r="P268" s="80"/>
      <c r="Q268" s="78">
        <f>O268+P268</f>
        <v>0</v>
      </c>
    </row>
    <row r="269" spans="1:17" ht="12.75">
      <c r="A269" s="31" t="s">
        <v>48</v>
      </c>
      <c r="B269" s="99"/>
      <c r="C269" s="196">
        <f>C270+C283</f>
        <v>63729.03999999999</v>
      </c>
      <c r="D269" s="129">
        <f>D270+D283</f>
        <v>208525.06</v>
      </c>
      <c r="E269" s="129">
        <f>E270+E283</f>
        <v>10000</v>
      </c>
      <c r="F269" s="140">
        <f>F270+F283</f>
        <v>282254.1</v>
      </c>
      <c r="G269" s="262">
        <f aca="true" t="shared" si="76" ref="G269:Q269">G270+G283</f>
        <v>-130000</v>
      </c>
      <c r="H269" s="307">
        <f t="shared" si="76"/>
        <v>3350</v>
      </c>
      <c r="I269" s="243">
        <f t="shared" si="76"/>
        <v>155604.09999999998</v>
      </c>
      <c r="J269" s="153">
        <f t="shared" si="76"/>
        <v>0</v>
      </c>
      <c r="K269" s="153">
        <f t="shared" si="76"/>
        <v>0</v>
      </c>
      <c r="L269" s="153">
        <f t="shared" si="76"/>
        <v>54419.03999999999</v>
      </c>
      <c r="M269" s="153">
        <f t="shared" si="76"/>
        <v>0</v>
      </c>
      <c r="N269" s="153">
        <f t="shared" si="76"/>
        <v>0</v>
      </c>
      <c r="O269" s="153">
        <f t="shared" si="76"/>
        <v>54419.03999999999</v>
      </c>
      <c r="P269" s="153">
        <f t="shared" si="76"/>
        <v>0</v>
      </c>
      <c r="Q269" s="153">
        <f t="shared" si="76"/>
        <v>54419.03999999999</v>
      </c>
    </row>
    <row r="270" spans="1:17" ht="12.75">
      <c r="A270" s="40" t="s">
        <v>49</v>
      </c>
      <c r="B270" s="99"/>
      <c r="C270" s="200">
        <f>SUM(C272:C282)</f>
        <v>63729.03999999999</v>
      </c>
      <c r="D270" s="149">
        <f>SUM(D272:D282)</f>
        <v>204113</v>
      </c>
      <c r="E270" s="149">
        <f>SUM(E272:E282)</f>
        <v>10000</v>
      </c>
      <c r="F270" s="175">
        <f>SUM(F272:F282)</f>
        <v>277842.04</v>
      </c>
      <c r="G270" s="265">
        <f aca="true" t="shared" si="77" ref="G270:Q270">SUM(G272:G282)</f>
        <v>-130000</v>
      </c>
      <c r="H270" s="311">
        <f t="shared" si="77"/>
        <v>2990</v>
      </c>
      <c r="I270" s="246">
        <f t="shared" si="77"/>
        <v>150832.03999999998</v>
      </c>
      <c r="J270" s="163">
        <f t="shared" si="77"/>
        <v>0</v>
      </c>
      <c r="K270" s="163">
        <f t="shared" si="77"/>
        <v>0</v>
      </c>
      <c r="L270" s="163">
        <f t="shared" si="77"/>
        <v>54419.03999999999</v>
      </c>
      <c r="M270" s="163">
        <f t="shared" si="77"/>
        <v>0</v>
      </c>
      <c r="N270" s="163">
        <f t="shared" si="77"/>
        <v>0</v>
      </c>
      <c r="O270" s="163">
        <f t="shared" si="77"/>
        <v>54419.03999999999</v>
      </c>
      <c r="P270" s="163">
        <f t="shared" si="77"/>
        <v>0</v>
      </c>
      <c r="Q270" s="163">
        <f t="shared" si="77"/>
        <v>54419.03999999999</v>
      </c>
    </row>
    <row r="271" spans="1:17" ht="12.75">
      <c r="A271" s="36" t="s">
        <v>26</v>
      </c>
      <c r="B271" s="70"/>
      <c r="C271" s="197"/>
      <c r="D271" s="146"/>
      <c r="E271" s="146"/>
      <c r="F271" s="134"/>
      <c r="G271" s="263"/>
      <c r="H271" s="308"/>
      <c r="I271" s="244"/>
      <c r="J271" s="86"/>
      <c r="K271" s="7"/>
      <c r="L271" s="72"/>
      <c r="M271" s="22"/>
      <c r="N271" s="7"/>
      <c r="O271" s="23"/>
      <c r="P271" s="80"/>
      <c r="Q271" s="78"/>
    </row>
    <row r="272" spans="1:17" ht="12.75">
      <c r="A272" s="34" t="s">
        <v>135</v>
      </c>
      <c r="B272" s="97"/>
      <c r="C272" s="197">
        <v>28272.67</v>
      </c>
      <c r="D272" s="146"/>
      <c r="E272" s="146"/>
      <c r="F272" s="134">
        <f aca="true" t="shared" si="78" ref="F272:F282">C272+D272+E272</f>
        <v>28272.67</v>
      </c>
      <c r="G272" s="263"/>
      <c r="H272" s="308"/>
      <c r="I272" s="244">
        <f aca="true" t="shared" si="79" ref="I272:I282">F272+G272+H272</f>
        <v>28272.67</v>
      </c>
      <c r="J272" s="86"/>
      <c r="K272" s="7"/>
      <c r="L272" s="72">
        <f>I272+J272+K272</f>
        <v>28272.67</v>
      </c>
      <c r="M272" s="22"/>
      <c r="N272" s="7"/>
      <c r="O272" s="23">
        <f>L272+M272+N272</f>
        <v>28272.67</v>
      </c>
      <c r="P272" s="80"/>
      <c r="Q272" s="78">
        <f>O272+P272</f>
        <v>28272.67</v>
      </c>
    </row>
    <row r="273" spans="1:17" ht="12.75">
      <c r="A273" s="34" t="s">
        <v>50</v>
      </c>
      <c r="B273" s="97"/>
      <c r="C273" s="197">
        <v>7192.59</v>
      </c>
      <c r="D273" s="146"/>
      <c r="E273" s="146"/>
      <c r="F273" s="134">
        <f t="shared" si="78"/>
        <v>7192.59</v>
      </c>
      <c r="G273" s="263"/>
      <c r="H273" s="308"/>
      <c r="I273" s="244">
        <f t="shared" si="79"/>
        <v>7192.59</v>
      </c>
      <c r="J273" s="86"/>
      <c r="K273" s="7"/>
      <c r="L273" s="72">
        <f>I273+J273+K273</f>
        <v>7192.59</v>
      </c>
      <c r="M273" s="22"/>
      <c r="N273" s="7"/>
      <c r="O273" s="23">
        <f>L273+M273+N273</f>
        <v>7192.59</v>
      </c>
      <c r="P273" s="80"/>
      <c r="Q273" s="78">
        <f>O273+P273</f>
        <v>7192.59</v>
      </c>
    </row>
    <row r="274" spans="1:17" ht="12.75">
      <c r="A274" s="34" t="s">
        <v>249</v>
      </c>
      <c r="B274" s="97"/>
      <c r="C274" s="197">
        <v>1450</v>
      </c>
      <c r="D274" s="146"/>
      <c r="E274" s="146"/>
      <c r="F274" s="134">
        <f t="shared" si="78"/>
        <v>1450</v>
      </c>
      <c r="G274" s="263"/>
      <c r="H274" s="308"/>
      <c r="I274" s="244">
        <f t="shared" si="79"/>
        <v>1450</v>
      </c>
      <c r="J274" s="86"/>
      <c r="K274" s="7"/>
      <c r="L274" s="72">
        <f>I274+J274+K274</f>
        <v>1450</v>
      </c>
      <c r="M274" s="22"/>
      <c r="N274" s="7"/>
      <c r="O274" s="23">
        <f>L274+M274+N274</f>
        <v>1450</v>
      </c>
      <c r="P274" s="80"/>
      <c r="Q274" s="78">
        <f>O274+P274</f>
        <v>1450</v>
      </c>
    </row>
    <row r="275" spans="1:17" ht="12.75">
      <c r="A275" s="34" t="s">
        <v>51</v>
      </c>
      <c r="B275" s="97"/>
      <c r="C275" s="197">
        <v>16713.78</v>
      </c>
      <c r="D275" s="146">
        <f>1300</f>
        <v>1300</v>
      </c>
      <c r="E275" s="146"/>
      <c r="F275" s="134">
        <f t="shared" si="78"/>
        <v>18013.78</v>
      </c>
      <c r="G275" s="263"/>
      <c r="H275" s="308">
        <f>-650</f>
        <v>-650</v>
      </c>
      <c r="I275" s="244">
        <f t="shared" si="79"/>
        <v>17363.78</v>
      </c>
      <c r="J275" s="86"/>
      <c r="K275" s="7"/>
      <c r="L275" s="72">
        <f>I275+J275+K275</f>
        <v>17363.78</v>
      </c>
      <c r="M275" s="22"/>
      <c r="N275" s="7"/>
      <c r="O275" s="23">
        <f>L275+M275+N275</f>
        <v>17363.78</v>
      </c>
      <c r="P275" s="80"/>
      <c r="Q275" s="78">
        <f>O275+P275</f>
        <v>17363.78</v>
      </c>
    </row>
    <row r="276" spans="1:17" ht="12.75" hidden="1">
      <c r="A276" s="34" t="s">
        <v>78</v>
      </c>
      <c r="B276" s="97"/>
      <c r="C276" s="197"/>
      <c r="D276" s="146"/>
      <c r="E276" s="146"/>
      <c r="F276" s="134">
        <f t="shared" si="78"/>
        <v>0</v>
      </c>
      <c r="G276" s="263"/>
      <c r="H276" s="308"/>
      <c r="I276" s="244">
        <f t="shared" si="79"/>
        <v>0</v>
      </c>
      <c r="J276" s="86"/>
      <c r="K276" s="7"/>
      <c r="L276" s="72"/>
      <c r="M276" s="22"/>
      <c r="N276" s="7"/>
      <c r="O276" s="23"/>
      <c r="P276" s="80"/>
      <c r="Q276" s="78"/>
    </row>
    <row r="277" spans="1:17" ht="12.75">
      <c r="A277" s="34" t="s">
        <v>354</v>
      </c>
      <c r="B277" s="97"/>
      <c r="C277" s="197">
        <v>500</v>
      </c>
      <c r="D277" s="146"/>
      <c r="E277" s="146"/>
      <c r="F277" s="134">
        <f t="shared" si="78"/>
        <v>500</v>
      </c>
      <c r="G277" s="263"/>
      <c r="H277" s="308">
        <f>-360</f>
        <v>-360</v>
      </c>
      <c r="I277" s="244">
        <f t="shared" si="79"/>
        <v>140</v>
      </c>
      <c r="J277" s="86"/>
      <c r="K277" s="7"/>
      <c r="L277" s="72">
        <f>I277+J277+K277</f>
        <v>140</v>
      </c>
      <c r="M277" s="22"/>
      <c r="N277" s="7"/>
      <c r="O277" s="23">
        <f>L277+M277+N277</f>
        <v>140</v>
      </c>
      <c r="P277" s="80"/>
      <c r="Q277" s="78">
        <f>O277+P277</f>
        <v>140</v>
      </c>
    </row>
    <row r="278" spans="1:17" ht="12.75">
      <c r="A278" s="34" t="s">
        <v>335</v>
      </c>
      <c r="B278" s="97"/>
      <c r="C278" s="197"/>
      <c r="D278" s="146">
        <v>200000</v>
      </c>
      <c r="E278" s="146">
        <v>10000</v>
      </c>
      <c r="F278" s="134">
        <f t="shared" si="78"/>
        <v>210000</v>
      </c>
      <c r="G278" s="263">
        <f>-140000</f>
        <v>-140000</v>
      </c>
      <c r="H278" s="308">
        <f>-3000</f>
        <v>-3000</v>
      </c>
      <c r="I278" s="244">
        <f t="shared" si="79"/>
        <v>67000</v>
      </c>
      <c r="J278" s="86"/>
      <c r="K278" s="7"/>
      <c r="L278" s="72"/>
      <c r="M278" s="22"/>
      <c r="N278" s="7"/>
      <c r="O278" s="23"/>
      <c r="P278" s="80"/>
      <c r="Q278" s="78"/>
    </row>
    <row r="279" spans="1:17" ht="12.75">
      <c r="A279" s="34" t="s">
        <v>336</v>
      </c>
      <c r="B279" s="97">
        <v>98022</v>
      </c>
      <c r="C279" s="197"/>
      <c r="D279" s="146"/>
      <c r="E279" s="146"/>
      <c r="F279" s="134">
        <f t="shared" si="78"/>
        <v>0</v>
      </c>
      <c r="G279" s="263">
        <f>10000</f>
        <v>10000</v>
      </c>
      <c r="H279" s="308"/>
      <c r="I279" s="244">
        <f t="shared" si="79"/>
        <v>10000</v>
      </c>
      <c r="J279" s="86"/>
      <c r="K279" s="7"/>
      <c r="L279" s="72"/>
      <c r="M279" s="22"/>
      <c r="N279" s="7"/>
      <c r="O279" s="23"/>
      <c r="P279" s="80"/>
      <c r="Q279" s="78"/>
    </row>
    <row r="280" spans="1:17" ht="12.75">
      <c r="A280" s="34" t="s">
        <v>250</v>
      </c>
      <c r="B280" s="97"/>
      <c r="C280" s="197">
        <v>9000</v>
      </c>
      <c r="D280" s="146">
        <f>2600+40</f>
        <v>2640</v>
      </c>
      <c r="E280" s="146"/>
      <c r="F280" s="134">
        <f t="shared" si="78"/>
        <v>11640</v>
      </c>
      <c r="G280" s="263"/>
      <c r="H280" s="308">
        <f>4000</f>
        <v>4000</v>
      </c>
      <c r="I280" s="244">
        <f t="shared" si="79"/>
        <v>15640</v>
      </c>
      <c r="J280" s="86"/>
      <c r="K280" s="7"/>
      <c r="L280" s="72"/>
      <c r="M280" s="22"/>
      <c r="N280" s="7"/>
      <c r="O280" s="23"/>
      <c r="P280" s="80"/>
      <c r="Q280" s="78"/>
    </row>
    <row r="281" spans="1:17" ht="12.75">
      <c r="A281" s="34" t="s">
        <v>251</v>
      </c>
      <c r="B281" s="97"/>
      <c r="C281" s="197">
        <v>600</v>
      </c>
      <c r="D281" s="146">
        <f>173</f>
        <v>173</v>
      </c>
      <c r="E281" s="146"/>
      <c r="F281" s="134">
        <f t="shared" si="78"/>
        <v>773</v>
      </c>
      <c r="G281" s="263"/>
      <c r="H281" s="308">
        <f>3000</f>
        <v>3000</v>
      </c>
      <c r="I281" s="244">
        <f t="shared" si="79"/>
        <v>3773</v>
      </c>
      <c r="J281" s="86"/>
      <c r="K281" s="7"/>
      <c r="L281" s="72"/>
      <c r="M281" s="22"/>
      <c r="N281" s="7"/>
      <c r="O281" s="23"/>
      <c r="P281" s="80"/>
      <c r="Q281" s="78"/>
    </row>
    <row r="282" spans="1:17" ht="12.75" hidden="1">
      <c r="A282" s="34" t="s">
        <v>53</v>
      </c>
      <c r="B282" s="97"/>
      <c r="C282" s="197"/>
      <c r="D282" s="146"/>
      <c r="E282" s="146"/>
      <c r="F282" s="134">
        <f t="shared" si="78"/>
        <v>0</v>
      </c>
      <c r="G282" s="263"/>
      <c r="H282" s="308"/>
      <c r="I282" s="244">
        <f t="shared" si="79"/>
        <v>0</v>
      </c>
      <c r="J282" s="86"/>
      <c r="K282" s="7"/>
      <c r="L282" s="72">
        <f>I282+J282+K282</f>
        <v>0</v>
      </c>
      <c r="M282" s="22"/>
      <c r="N282" s="7"/>
      <c r="O282" s="23">
        <f>L282+M282+N282</f>
        <v>0</v>
      </c>
      <c r="P282" s="80"/>
      <c r="Q282" s="78">
        <f>O282+P282</f>
        <v>0</v>
      </c>
    </row>
    <row r="283" spans="1:17" ht="12.75">
      <c r="A283" s="41" t="s">
        <v>54</v>
      </c>
      <c r="B283" s="101"/>
      <c r="C283" s="201">
        <f aca="true" t="shared" si="80" ref="C283:Q283">SUM(C285:C290)</f>
        <v>0</v>
      </c>
      <c r="D283" s="150">
        <f t="shared" si="80"/>
        <v>4412.0599999999995</v>
      </c>
      <c r="E283" s="150">
        <f t="shared" si="80"/>
        <v>0</v>
      </c>
      <c r="F283" s="176">
        <f t="shared" si="80"/>
        <v>4412.0599999999995</v>
      </c>
      <c r="G283" s="266">
        <f t="shared" si="80"/>
        <v>0</v>
      </c>
      <c r="H283" s="313">
        <f t="shared" si="80"/>
        <v>360</v>
      </c>
      <c r="I283" s="247">
        <f t="shared" si="80"/>
        <v>4772.0599999999995</v>
      </c>
      <c r="J283" s="176">
        <f t="shared" si="80"/>
        <v>0</v>
      </c>
      <c r="K283" s="121">
        <f t="shared" si="80"/>
        <v>0</v>
      </c>
      <c r="L283" s="150">
        <f t="shared" si="80"/>
        <v>0</v>
      </c>
      <c r="M283" s="120">
        <f t="shared" si="80"/>
        <v>0</v>
      </c>
      <c r="N283" s="120">
        <f t="shared" si="80"/>
        <v>0</v>
      </c>
      <c r="O283" s="120">
        <f t="shared" si="80"/>
        <v>0</v>
      </c>
      <c r="P283" s="120">
        <f t="shared" si="80"/>
        <v>0</v>
      </c>
      <c r="Q283" s="201">
        <f t="shared" si="80"/>
        <v>0</v>
      </c>
    </row>
    <row r="284" spans="1:17" ht="12.75">
      <c r="A284" s="32" t="s">
        <v>26</v>
      </c>
      <c r="B284" s="97"/>
      <c r="C284" s="199"/>
      <c r="D284" s="147"/>
      <c r="E284" s="147"/>
      <c r="F284" s="131"/>
      <c r="G284" s="267"/>
      <c r="H284" s="309"/>
      <c r="I284" s="226"/>
      <c r="J284" s="173"/>
      <c r="K284" s="8"/>
      <c r="L284" s="28"/>
      <c r="M284" s="24"/>
      <c r="N284" s="8"/>
      <c r="O284" s="25"/>
      <c r="P284" s="80"/>
      <c r="Q284" s="78"/>
    </row>
    <row r="285" spans="1:17" ht="12.75" hidden="1">
      <c r="A285" s="34" t="s">
        <v>154</v>
      </c>
      <c r="B285" s="97"/>
      <c r="C285" s="197"/>
      <c r="D285" s="146"/>
      <c r="E285" s="146"/>
      <c r="F285" s="134">
        <f aca="true" t="shared" si="81" ref="F285:F290">C285+D285+E285</f>
        <v>0</v>
      </c>
      <c r="G285" s="263"/>
      <c r="H285" s="308"/>
      <c r="I285" s="244">
        <f aca="true" t="shared" si="82" ref="I285:I290">F285+G285+H285</f>
        <v>0</v>
      </c>
      <c r="J285" s="86"/>
      <c r="K285" s="7"/>
      <c r="L285" s="72">
        <f>I285+J285+K285</f>
        <v>0</v>
      </c>
      <c r="M285" s="22"/>
      <c r="N285" s="7"/>
      <c r="O285" s="23">
        <f>L285+M285+N285</f>
        <v>0</v>
      </c>
      <c r="P285" s="80"/>
      <c r="Q285" s="78">
        <f>O285+P285</f>
        <v>0</v>
      </c>
    </row>
    <row r="286" spans="1:17" ht="12.75">
      <c r="A286" s="34" t="s">
        <v>354</v>
      </c>
      <c r="B286" s="97"/>
      <c r="C286" s="197"/>
      <c r="D286" s="146"/>
      <c r="E286" s="146"/>
      <c r="F286" s="134">
        <f t="shared" si="81"/>
        <v>0</v>
      </c>
      <c r="G286" s="263"/>
      <c r="H286" s="308">
        <f>360</f>
        <v>360</v>
      </c>
      <c r="I286" s="244">
        <f t="shared" si="82"/>
        <v>360</v>
      </c>
      <c r="J286" s="86"/>
      <c r="K286" s="7"/>
      <c r="L286" s="72"/>
      <c r="M286" s="22"/>
      <c r="N286" s="7"/>
      <c r="O286" s="23"/>
      <c r="P286" s="80"/>
      <c r="Q286" s="78"/>
    </row>
    <row r="287" spans="1:17" ht="12.75">
      <c r="A287" s="34" t="s">
        <v>250</v>
      </c>
      <c r="B287" s="97"/>
      <c r="C287" s="197"/>
      <c r="D287" s="146">
        <f>321+450</f>
        <v>771</v>
      </c>
      <c r="E287" s="146"/>
      <c r="F287" s="134">
        <f t="shared" si="81"/>
        <v>771</v>
      </c>
      <c r="G287" s="263"/>
      <c r="H287" s="308"/>
      <c r="I287" s="244">
        <f t="shared" si="82"/>
        <v>771</v>
      </c>
      <c r="J287" s="86"/>
      <c r="K287" s="7"/>
      <c r="L287" s="72"/>
      <c r="M287" s="22"/>
      <c r="N287" s="7"/>
      <c r="O287" s="23"/>
      <c r="P287" s="80"/>
      <c r="Q287" s="78"/>
    </row>
    <row r="288" spans="1:17" ht="12.75">
      <c r="A288" s="37" t="s">
        <v>251</v>
      </c>
      <c r="B288" s="100"/>
      <c r="C288" s="292"/>
      <c r="D288" s="213">
        <f>3641.06</f>
        <v>3641.06</v>
      </c>
      <c r="E288" s="213"/>
      <c r="F288" s="229">
        <f t="shared" si="81"/>
        <v>3641.06</v>
      </c>
      <c r="G288" s="268"/>
      <c r="H288" s="312"/>
      <c r="I288" s="248">
        <f t="shared" si="82"/>
        <v>3641.06</v>
      </c>
      <c r="J288" s="86"/>
      <c r="K288" s="7"/>
      <c r="L288" s="72"/>
      <c r="M288" s="22"/>
      <c r="N288" s="7"/>
      <c r="O288" s="23"/>
      <c r="P288" s="80"/>
      <c r="Q288" s="78"/>
    </row>
    <row r="289" spans="1:17" ht="12.75" hidden="1">
      <c r="A289" s="34" t="s">
        <v>53</v>
      </c>
      <c r="B289" s="97"/>
      <c r="C289" s="197"/>
      <c r="D289" s="146"/>
      <c r="E289" s="146"/>
      <c r="F289" s="134">
        <f t="shared" si="81"/>
        <v>0</v>
      </c>
      <c r="G289" s="268"/>
      <c r="H289" s="312"/>
      <c r="I289" s="248">
        <f t="shared" si="82"/>
        <v>0</v>
      </c>
      <c r="J289" s="177"/>
      <c r="K289" s="10"/>
      <c r="L289" s="71">
        <f>I289+J289+K289</f>
        <v>0</v>
      </c>
      <c r="M289" s="26"/>
      <c r="N289" s="10"/>
      <c r="O289" s="27">
        <f>L289+M289+N289</f>
        <v>0</v>
      </c>
      <c r="P289" s="83"/>
      <c r="Q289" s="84">
        <f>O289+P289</f>
        <v>0</v>
      </c>
    </row>
    <row r="290" spans="1:17" ht="12.75" hidden="1">
      <c r="A290" s="37" t="s">
        <v>55</v>
      </c>
      <c r="B290" s="100"/>
      <c r="C290" s="292"/>
      <c r="D290" s="213"/>
      <c r="E290" s="213"/>
      <c r="F290" s="229">
        <f t="shared" si="81"/>
        <v>0</v>
      </c>
      <c r="G290" s="268"/>
      <c r="H290" s="312"/>
      <c r="I290" s="248">
        <f t="shared" si="82"/>
        <v>0</v>
      </c>
      <c r="J290" s="177"/>
      <c r="K290" s="10"/>
      <c r="L290" s="71">
        <f>I290+J290+K290</f>
        <v>0</v>
      </c>
      <c r="M290" s="26"/>
      <c r="N290" s="10"/>
      <c r="O290" s="27">
        <f>L290+M290+N290</f>
        <v>0</v>
      </c>
      <c r="P290" s="80"/>
      <c r="Q290" s="78">
        <f>O290+P290</f>
        <v>0</v>
      </c>
    </row>
    <row r="291" spans="1:17" ht="12.75">
      <c r="A291" s="31" t="s">
        <v>255</v>
      </c>
      <c r="B291" s="101"/>
      <c r="C291" s="196">
        <f aca="true" t="shared" si="83" ref="C291:Q291">C292+C311</f>
        <v>448158.94</v>
      </c>
      <c r="D291" s="129">
        <f t="shared" si="83"/>
        <v>11224.98</v>
      </c>
      <c r="E291" s="129">
        <f t="shared" si="83"/>
        <v>0</v>
      </c>
      <c r="F291" s="140">
        <f t="shared" si="83"/>
        <v>459383.92</v>
      </c>
      <c r="G291" s="262">
        <f t="shared" si="83"/>
        <v>2082.86</v>
      </c>
      <c r="H291" s="307">
        <f t="shared" si="83"/>
        <v>-5010</v>
      </c>
      <c r="I291" s="243">
        <f t="shared" si="83"/>
        <v>456456.77999999997</v>
      </c>
      <c r="J291" s="140">
        <f t="shared" si="83"/>
        <v>0</v>
      </c>
      <c r="K291" s="112">
        <f t="shared" si="83"/>
        <v>0</v>
      </c>
      <c r="L291" s="129">
        <f t="shared" si="83"/>
        <v>455333.92</v>
      </c>
      <c r="M291" s="111">
        <f t="shared" si="83"/>
        <v>0</v>
      </c>
      <c r="N291" s="111">
        <f t="shared" si="83"/>
        <v>0</v>
      </c>
      <c r="O291" s="111">
        <f t="shared" si="83"/>
        <v>455333.92</v>
      </c>
      <c r="P291" s="111">
        <f t="shared" si="83"/>
        <v>0</v>
      </c>
      <c r="Q291" s="196">
        <f t="shared" si="83"/>
        <v>455333.92</v>
      </c>
    </row>
    <row r="292" spans="1:17" ht="12.75">
      <c r="A292" s="40" t="s">
        <v>49</v>
      </c>
      <c r="B292" s="101"/>
      <c r="C292" s="200">
        <f aca="true" t="shared" si="84" ref="C292:Q292">SUM(C294:C310)</f>
        <v>448158.94</v>
      </c>
      <c r="D292" s="149">
        <f t="shared" si="84"/>
        <v>11224.98</v>
      </c>
      <c r="E292" s="149">
        <f t="shared" si="84"/>
        <v>0</v>
      </c>
      <c r="F292" s="175">
        <f t="shared" si="84"/>
        <v>459383.92</v>
      </c>
      <c r="G292" s="265">
        <f t="shared" si="84"/>
        <v>2082.86</v>
      </c>
      <c r="H292" s="311">
        <f t="shared" si="84"/>
        <v>-5010</v>
      </c>
      <c r="I292" s="246">
        <f t="shared" si="84"/>
        <v>456456.77999999997</v>
      </c>
      <c r="J292" s="175">
        <f t="shared" si="84"/>
        <v>0</v>
      </c>
      <c r="K292" s="119">
        <f t="shared" si="84"/>
        <v>0</v>
      </c>
      <c r="L292" s="149">
        <f t="shared" si="84"/>
        <v>455333.92</v>
      </c>
      <c r="M292" s="118">
        <f t="shared" si="84"/>
        <v>0</v>
      </c>
      <c r="N292" s="118">
        <f t="shared" si="84"/>
        <v>0</v>
      </c>
      <c r="O292" s="118">
        <f t="shared" si="84"/>
        <v>455333.92</v>
      </c>
      <c r="P292" s="118">
        <f t="shared" si="84"/>
        <v>0</v>
      </c>
      <c r="Q292" s="200">
        <f t="shared" si="84"/>
        <v>455333.92</v>
      </c>
    </row>
    <row r="293" spans="1:17" ht="12.75">
      <c r="A293" s="36" t="s">
        <v>26</v>
      </c>
      <c r="B293" s="97"/>
      <c r="C293" s="197"/>
      <c r="D293" s="146"/>
      <c r="E293" s="146"/>
      <c r="F293" s="134"/>
      <c r="G293" s="263"/>
      <c r="H293" s="308"/>
      <c r="I293" s="244"/>
      <c r="J293" s="86"/>
      <c r="K293" s="7"/>
      <c r="L293" s="72"/>
      <c r="M293" s="22"/>
      <c r="N293" s="7"/>
      <c r="O293" s="23"/>
      <c r="P293" s="80"/>
      <c r="Q293" s="78"/>
    </row>
    <row r="294" spans="1:17" ht="12.75">
      <c r="A294" s="43" t="s">
        <v>136</v>
      </c>
      <c r="B294" s="97"/>
      <c r="C294" s="197">
        <v>237478.44</v>
      </c>
      <c r="D294" s="146"/>
      <c r="E294" s="146"/>
      <c r="F294" s="134">
        <f aca="true" t="shared" si="85" ref="F294:F310">C294+D294+E294</f>
        <v>237478.44</v>
      </c>
      <c r="G294" s="263">
        <f>320+120</f>
        <v>440</v>
      </c>
      <c r="H294" s="308"/>
      <c r="I294" s="244">
        <f>F294+G294+H294</f>
        <v>237918.44</v>
      </c>
      <c r="J294" s="86"/>
      <c r="K294" s="7"/>
      <c r="L294" s="72">
        <f>I294+J294+K294</f>
        <v>237918.44</v>
      </c>
      <c r="M294" s="22"/>
      <c r="N294" s="7"/>
      <c r="O294" s="23">
        <f>L294+M294+N294</f>
        <v>237918.44</v>
      </c>
      <c r="P294" s="80"/>
      <c r="Q294" s="78">
        <f aca="true" t="shared" si="86" ref="Q294:Q301">O294+P294</f>
        <v>237918.44</v>
      </c>
    </row>
    <row r="295" spans="1:17" ht="12.75">
      <c r="A295" s="34" t="s">
        <v>50</v>
      </c>
      <c r="B295" s="97"/>
      <c r="C295" s="197">
        <v>80587.27</v>
      </c>
      <c r="D295" s="146"/>
      <c r="E295" s="146"/>
      <c r="F295" s="134">
        <f t="shared" si="85"/>
        <v>80587.27</v>
      </c>
      <c r="G295" s="263">
        <f>20</f>
        <v>20</v>
      </c>
      <c r="H295" s="308"/>
      <c r="I295" s="244">
        <f aca="true" t="shared" si="87" ref="I295:I306">F295+G295+H295</f>
        <v>80607.27</v>
      </c>
      <c r="J295" s="86"/>
      <c r="K295" s="7"/>
      <c r="L295" s="72">
        <f aca="true" t="shared" si="88" ref="L295:L301">I295+J295+K295</f>
        <v>80607.27</v>
      </c>
      <c r="M295" s="22"/>
      <c r="N295" s="7"/>
      <c r="O295" s="23">
        <f aca="true" t="shared" si="89" ref="O295:O301">L295+M295+N295</f>
        <v>80607.27</v>
      </c>
      <c r="P295" s="80"/>
      <c r="Q295" s="78">
        <f t="shared" si="86"/>
        <v>80607.27</v>
      </c>
    </row>
    <row r="296" spans="1:17" ht="12.75">
      <c r="A296" s="34" t="s">
        <v>249</v>
      </c>
      <c r="B296" s="97"/>
      <c r="C296" s="197">
        <v>200</v>
      </c>
      <c r="D296" s="146"/>
      <c r="E296" s="146"/>
      <c r="F296" s="134">
        <f t="shared" si="85"/>
        <v>200</v>
      </c>
      <c r="G296" s="263"/>
      <c r="H296" s="308"/>
      <c r="I296" s="244">
        <f t="shared" si="87"/>
        <v>200</v>
      </c>
      <c r="J296" s="86"/>
      <c r="K296" s="7"/>
      <c r="L296" s="72">
        <f t="shared" si="88"/>
        <v>200</v>
      </c>
      <c r="M296" s="22"/>
      <c r="N296" s="7"/>
      <c r="O296" s="23">
        <f t="shared" si="89"/>
        <v>200</v>
      </c>
      <c r="P296" s="80"/>
      <c r="Q296" s="78">
        <f t="shared" si="86"/>
        <v>200</v>
      </c>
    </row>
    <row r="297" spans="1:17" ht="12.75">
      <c r="A297" s="34" t="s">
        <v>51</v>
      </c>
      <c r="B297" s="97"/>
      <c r="C297" s="197">
        <v>65726.5</v>
      </c>
      <c r="D297" s="283">
        <f>9011+418.98</f>
        <v>9429.98</v>
      </c>
      <c r="E297" s="146"/>
      <c r="F297" s="134">
        <f t="shared" si="85"/>
        <v>75156.48</v>
      </c>
      <c r="G297" s="263"/>
      <c r="H297" s="308">
        <f>-5010</f>
        <v>-5010</v>
      </c>
      <c r="I297" s="244">
        <f t="shared" si="87"/>
        <v>70146.48</v>
      </c>
      <c r="J297" s="86"/>
      <c r="K297" s="7"/>
      <c r="L297" s="72">
        <f t="shared" si="88"/>
        <v>70146.48</v>
      </c>
      <c r="M297" s="22"/>
      <c r="N297" s="7"/>
      <c r="O297" s="23">
        <f t="shared" si="89"/>
        <v>70146.48</v>
      </c>
      <c r="P297" s="80"/>
      <c r="Q297" s="78">
        <f t="shared" si="86"/>
        <v>70146.48</v>
      </c>
    </row>
    <row r="298" spans="1:17" ht="12.75">
      <c r="A298" s="34" t="s">
        <v>56</v>
      </c>
      <c r="B298" s="97">
        <v>1115</v>
      </c>
      <c r="C298" s="197">
        <v>350</v>
      </c>
      <c r="D298" s="146">
        <f>80</f>
        <v>80</v>
      </c>
      <c r="E298" s="146"/>
      <c r="F298" s="134">
        <f t="shared" si="85"/>
        <v>430</v>
      </c>
      <c r="G298" s="263"/>
      <c r="H298" s="308"/>
      <c r="I298" s="244">
        <f t="shared" si="87"/>
        <v>430</v>
      </c>
      <c r="J298" s="86"/>
      <c r="K298" s="7"/>
      <c r="L298" s="72">
        <f t="shared" si="88"/>
        <v>430</v>
      </c>
      <c r="M298" s="22"/>
      <c r="N298" s="7"/>
      <c r="O298" s="23">
        <f t="shared" si="89"/>
        <v>430</v>
      </c>
      <c r="P298" s="80"/>
      <c r="Q298" s="78">
        <f t="shared" si="86"/>
        <v>430</v>
      </c>
    </row>
    <row r="299" spans="1:17" ht="12.75" hidden="1">
      <c r="A299" s="34" t="s">
        <v>57</v>
      </c>
      <c r="B299" s="97"/>
      <c r="C299" s="197"/>
      <c r="D299" s="146"/>
      <c r="E299" s="146"/>
      <c r="F299" s="134">
        <f t="shared" si="85"/>
        <v>0</v>
      </c>
      <c r="G299" s="263"/>
      <c r="H299" s="308"/>
      <c r="I299" s="244">
        <f t="shared" si="87"/>
        <v>0</v>
      </c>
      <c r="J299" s="86"/>
      <c r="K299" s="7"/>
      <c r="L299" s="72">
        <f t="shared" si="88"/>
        <v>0</v>
      </c>
      <c r="M299" s="22"/>
      <c r="N299" s="7"/>
      <c r="O299" s="23">
        <f t="shared" si="89"/>
        <v>0</v>
      </c>
      <c r="P299" s="80"/>
      <c r="Q299" s="78">
        <f t="shared" si="86"/>
        <v>0</v>
      </c>
    </row>
    <row r="300" spans="1:17" ht="12.75">
      <c r="A300" s="34" t="s">
        <v>58</v>
      </c>
      <c r="B300" s="97">
        <v>51</v>
      </c>
      <c r="C300" s="197">
        <v>63816.73</v>
      </c>
      <c r="D300" s="146">
        <f>1700</f>
        <v>1700</v>
      </c>
      <c r="E300" s="146"/>
      <c r="F300" s="134">
        <f t="shared" si="85"/>
        <v>65516.73</v>
      </c>
      <c r="G300" s="263"/>
      <c r="H300" s="308"/>
      <c r="I300" s="244">
        <f t="shared" si="87"/>
        <v>65516.73</v>
      </c>
      <c r="J300" s="86"/>
      <c r="K300" s="7"/>
      <c r="L300" s="72">
        <f t="shared" si="88"/>
        <v>65516.73</v>
      </c>
      <c r="M300" s="22"/>
      <c r="N300" s="7"/>
      <c r="O300" s="23">
        <f t="shared" si="89"/>
        <v>65516.73</v>
      </c>
      <c r="P300" s="80"/>
      <c r="Q300" s="78">
        <f t="shared" si="86"/>
        <v>65516.73</v>
      </c>
    </row>
    <row r="301" spans="1:17" ht="12.75" hidden="1">
      <c r="A301" s="34" t="s">
        <v>77</v>
      </c>
      <c r="B301" s="97"/>
      <c r="C301" s="197"/>
      <c r="D301" s="146"/>
      <c r="E301" s="146"/>
      <c r="F301" s="134">
        <f t="shared" si="85"/>
        <v>0</v>
      </c>
      <c r="G301" s="263"/>
      <c r="H301" s="308"/>
      <c r="I301" s="244">
        <f t="shared" si="87"/>
        <v>0</v>
      </c>
      <c r="J301" s="86"/>
      <c r="K301" s="7"/>
      <c r="L301" s="72">
        <f t="shared" si="88"/>
        <v>0</v>
      </c>
      <c r="M301" s="22"/>
      <c r="N301" s="7"/>
      <c r="O301" s="23">
        <f t="shared" si="89"/>
        <v>0</v>
      </c>
      <c r="P301" s="80"/>
      <c r="Q301" s="78">
        <f t="shared" si="86"/>
        <v>0</v>
      </c>
    </row>
    <row r="302" spans="1:17" ht="12.75" hidden="1">
      <c r="A302" s="34" t="s">
        <v>200</v>
      </c>
      <c r="B302" s="97">
        <v>13234</v>
      </c>
      <c r="C302" s="197"/>
      <c r="D302" s="146"/>
      <c r="E302" s="146"/>
      <c r="F302" s="134">
        <f t="shared" si="85"/>
        <v>0</v>
      </c>
      <c r="G302" s="263"/>
      <c r="H302" s="308"/>
      <c r="I302" s="244">
        <f t="shared" si="87"/>
        <v>0</v>
      </c>
      <c r="J302" s="86"/>
      <c r="K302" s="7"/>
      <c r="L302" s="72"/>
      <c r="M302" s="22"/>
      <c r="N302" s="7"/>
      <c r="O302" s="23"/>
      <c r="P302" s="80"/>
      <c r="Q302" s="78"/>
    </row>
    <row r="303" spans="1:17" ht="12.75">
      <c r="A303" s="34" t="s">
        <v>340</v>
      </c>
      <c r="B303" s="143">
        <v>13014</v>
      </c>
      <c r="C303" s="197"/>
      <c r="D303" s="146"/>
      <c r="E303" s="146"/>
      <c r="F303" s="134">
        <f t="shared" si="85"/>
        <v>0</v>
      </c>
      <c r="G303" s="263">
        <f>234.94</f>
        <v>234.94</v>
      </c>
      <c r="H303" s="308"/>
      <c r="I303" s="244">
        <f t="shared" si="87"/>
        <v>234.94</v>
      </c>
      <c r="J303" s="86"/>
      <c r="K303" s="7"/>
      <c r="L303" s="72"/>
      <c r="M303" s="22"/>
      <c r="N303" s="7"/>
      <c r="O303" s="23"/>
      <c r="P303" s="80"/>
      <c r="Q303" s="78"/>
    </row>
    <row r="304" spans="1:17" ht="12.75" hidden="1">
      <c r="A304" s="34" t="s">
        <v>59</v>
      </c>
      <c r="B304" s="97"/>
      <c r="C304" s="197"/>
      <c r="D304" s="146"/>
      <c r="E304" s="146"/>
      <c r="F304" s="134">
        <f t="shared" si="85"/>
        <v>0</v>
      </c>
      <c r="G304" s="263"/>
      <c r="H304" s="308"/>
      <c r="I304" s="244">
        <f t="shared" si="87"/>
        <v>0</v>
      </c>
      <c r="J304" s="86"/>
      <c r="K304" s="7"/>
      <c r="L304" s="72">
        <f>I304+J304+K304</f>
        <v>0</v>
      </c>
      <c r="M304" s="22"/>
      <c r="N304" s="7"/>
      <c r="O304" s="23">
        <f>L304+M304+N304</f>
        <v>0</v>
      </c>
      <c r="P304" s="80"/>
      <c r="Q304" s="78">
        <f>O304+P304</f>
        <v>0</v>
      </c>
    </row>
    <row r="305" spans="1:17" ht="12.75" hidden="1">
      <c r="A305" s="34" t="s">
        <v>258</v>
      </c>
      <c r="B305" s="97">
        <v>98008</v>
      </c>
      <c r="C305" s="197"/>
      <c r="D305" s="146"/>
      <c r="E305" s="146"/>
      <c r="F305" s="134">
        <f t="shared" si="85"/>
        <v>0</v>
      </c>
      <c r="G305" s="263"/>
      <c r="H305" s="308"/>
      <c r="I305" s="244">
        <f t="shared" si="87"/>
        <v>0</v>
      </c>
      <c r="J305" s="86"/>
      <c r="K305" s="7"/>
      <c r="L305" s="72"/>
      <c r="M305" s="22"/>
      <c r="N305" s="7"/>
      <c r="O305" s="23"/>
      <c r="P305" s="80"/>
      <c r="Q305" s="78"/>
    </row>
    <row r="306" spans="1:17" ht="12.75" hidden="1">
      <c r="A306" s="34" t="s">
        <v>259</v>
      </c>
      <c r="B306" s="97">
        <v>98071</v>
      </c>
      <c r="C306" s="197"/>
      <c r="D306" s="146"/>
      <c r="E306" s="146"/>
      <c r="F306" s="134">
        <f t="shared" si="85"/>
        <v>0</v>
      </c>
      <c r="G306" s="263"/>
      <c r="H306" s="308"/>
      <c r="I306" s="244">
        <f t="shared" si="87"/>
        <v>0</v>
      </c>
      <c r="J306" s="86"/>
      <c r="K306" s="7"/>
      <c r="L306" s="72"/>
      <c r="M306" s="22"/>
      <c r="N306" s="7"/>
      <c r="O306" s="23"/>
      <c r="P306" s="80"/>
      <c r="Q306" s="78"/>
    </row>
    <row r="307" spans="1:17" ht="12.75">
      <c r="A307" s="34" t="s">
        <v>60</v>
      </c>
      <c r="B307" s="97">
        <v>98074</v>
      </c>
      <c r="C307" s="197"/>
      <c r="D307" s="146">
        <f>15</f>
        <v>15</v>
      </c>
      <c r="E307" s="146"/>
      <c r="F307" s="134">
        <f t="shared" si="85"/>
        <v>15</v>
      </c>
      <c r="G307" s="263"/>
      <c r="H307" s="308"/>
      <c r="I307" s="244">
        <f>F307+G307+H307</f>
        <v>15</v>
      </c>
      <c r="J307" s="86"/>
      <c r="K307" s="7"/>
      <c r="L307" s="72">
        <f>I307+J307+K307</f>
        <v>15</v>
      </c>
      <c r="M307" s="22"/>
      <c r="N307" s="7"/>
      <c r="O307" s="23">
        <f>L307+M307+N307</f>
        <v>15</v>
      </c>
      <c r="P307" s="80"/>
      <c r="Q307" s="78">
        <f>O307+P307</f>
        <v>15</v>
      </c>
    </row>
    <row r="308" spans="1:17" ht="12.75" hidden="1">
      <c r="A308" s="34" t="s">
        <v>61</v>
      </c>
      <c r="B308" s="97"/>
      <c r="C308" s="197"/>
      <c r="D308" s="146"/>
      <c r="E308" s="146"/>
      <c r="F308" s="134">
        <f t="shared" si="85"/>
        <v>0</v>
      </c>
      <c r="G308" s="263"/>
      <c r="H308" s="308"/>
      <c r="I308" s="244">
        <f>F308+G308+H308</f>
        <v>0</v>
      </c>
      <c r="J308" s="86"/>
      <c r="K308" s="7"/>
      <c r="L308" s="72">
        <f>I308+J308+K308</f>
        <v>0</v>
      </c>
      <c r="M308" s="22"/>
      <c r="N308" s="7"/>
      <c r="O308" s="23">
        <f>L308+M308+N308</f>
        <v>0</v>
      </c>
      <c r="P308" s="80"/>
      <c r="Q308" s="78">
        <f>O308+P308</f>
        <v>0</v>
      </c>
    </row>
    <row r="309" spans="1:17" ht="12.75">
      <c r="A309" s="34" t="s">
        <v>342</v>
      </c>
      <c r="B309" s="97">
        <v>13015</v>
      </c>
      <c r="C309" s="197"/>
      <c r="D309" s="146"/>
      <c r="E309" s="146"/>
      <c r="F309" s="134">
        <f t="shared" si="85"/>
        <v>0</v>
      </c>
      <c r="G309" s="263">
        <f>887.92</f>
        <v>887.92</v>
      </c>
      <c r="H309" s="308"/>
      <c r="I309" s="244">
        <f>F309+G309+H309</f>
        <v>887.92</v>
      </c>
      <c r="J309" s="86"/>
      <c r="K309" s="7"/>
      <c r="L309" s="72"/>
      <c r="M309" s="22"/>
      <c r="N309" s="7"/>
      <c r="O309" s="23"/>
      <c r="P309" s="80"/>
      <c r="Q309" s="78"/>
    </row>
    <row r="310" spans="1:17" ht="12.75">
      <c r="A310" s="37" t="s">
        <v>62</v>
      </c>
      <c r="B310" s="100">
        <v>4001</v>
      </c>
      <c r="C310" s="292"/>
      <c r="D310" s="213"/>
      <c r="E310" s="213"/>
      <c r="F310" s="229">
        <f t="shared" si="85"/>
        <v>0</v>
      </c>
      <c r="G310" s="268">
        <f>500</f>
        <v>500</v>
      </c>
      <c r="H310" s="312"/>
      <c r="I310" s="248">
        <f>F310+G310+H310</f>
        <v>500</v>
      </c>
      <c r="J310" s="86"/>
      <c r="K310" s="7"/>
      <c r="L310" s="72">
        <f>I310+J310+K310</f>
        <v>500</v>
      </c>
      <c r="M310" s="22"/>
      <c r="N310" s="7"/>
      <c r="O310" s="23">
        <f>L310+M310+N310</f>
        <v>500</v>
      </c>
      <c r="P310" s="80"/>
      <c r="Q310" s="78">
        <f>O310+P310</f>
        <v>500</v>
      </c>
    </row>
    <row r="311" spans="1:17" ht="12.75" hidden="1">
      <c r="A311" s="40" t="s">
        <v>54</v>
      </c>
      <c r="B311" s="101"/>
      <c r="C311" s="200">
        <f>C314+C313</f>
        <v>0</v>
      </c>
      <c r="D311" s="149">
        <f aca="true" t="shared" si="90" ref="D311:Q311">D314+D313</f>
        <v>0</v>
      </c>
      <c r="E311" s="149">
        <f t="shared" si="90"/>
        <v>0</v>
      </c>
      <c r="F311" s="175">
        <f t="shared" si="90"/>
        <v>0</v>
      </c>
      <c r="G311" s="265">
        <f t="shared" si="90"/>
        <v>0</v>
      </c>
      <c r="H311" s="311">
        <f t="shared" si="90"/>
        <v>0</v>
      </c>
      <c r="I311" s="246">
        <f t="shared" si="90"/>
        <v>0</v>
      </c>
      <c r="J311" s="175">
        <f t="shared" si="90"/>
        <v>0</v>
      </c>
      <c r="K311" s="119">
        <f t="shared" si="90"/>
        <v>0</v>
      </c>
      <c r="L311" s="149">
        <f t="shared" si="90"/>
        <v>0</v>
      </c>
      <c r="M311" s="118">
        <f t="shared" si="90"/>
        <v>0</v>
      </c>
      <c r="N311" s="118">
        <f t="shared" si="90"/>
        <v>0</v>
      </c>
      <c r="O311" s="118">
        <f t="shared" si="90"/>
        <v>0</v>
      </c>
      <c r="P311" s="118">
        <f t="shared" si="90"/>
        <v>0</v>
      </c>
      <c r="Q311" s="200">
        <f t="shared" si="90"/>
        <v>0</v>
      </c>
    </row>
    <row r="312" spans="1:17" ht="12.75" hidden="1">
      <c r="A312" s="36" t="s">
        <v>26</v>
      </c>
      <c r="B312" s="97"/>
      <c r="C312" s="197"/>
      <c r="D312" s="146"/>
      <c r="E312" s="146"/>
      <c r="F312" s="140"/>
      <c r="G312" s="263"/>
      <c r="H312" s="308"/>
      <c r="I312" s="243"/>
      <c r="J312" s="86"/>
      <c r="K312" s="7"/>
      <c r="L312" s="68"/>
      <c r="M312" s="22"/>
      <c r="N312" s="7"/>
      <c r="O312" s="21"/>
      <c r="P312" s="80"/>
      <c r="Q312" s="78"/>
    </row>
    <row r="313" spans="1:17" ht="12.75" hidden="1">
      <c r="A313" s="33" t="s">
        <v>55</v>
      </c>
      <c r="B313" s="97"/>
      <c r="C313" s="197"/>
      <c r="D313" s="146"/>
      <c r="E313" s="146"/>
      <c r="F313" s="134">
        <f>C313+D313+E313</f>
        <v>0</v>
      </c>
      <c r="G313" s="263"/>
      <c r="H313" s="308"/>
      <c r="I313" s="244">
        <f>F313+G313+H313</f>
        <v>0</v>
      </c>
      <c r="J313" s="86"/>
      <c r="K313" s="7"/>
      <c r="L313" s="72">
        <f>I313+J313+K313</f>
        <v>0</v>
      </c>
      <c r="M313" s="22"/>
      <c r="N313" s="7"/>
      <c r="O313" s="23">
        <f>L313+M313+N313</f>
        <v>0</v>
      </c>
      <c r="P313" s="80"/>
      <c r="Q313" s="78">
        <f>O313+P313</f>
        <v>0</v>
      </c>
    </row>
    <row r="314" spans="1:17" ht="12.75" hidden="1">
      <c r="A314" s="37" t="s">
        <v>78</v>
      </c>
      <c r="B314" s="100"/>
      <c r="C314" s="292"/>
      <c r="D314" s="213"/>
      <c r="E314" s="213"/>
      <c r="F314" s="229">
        <f>C314+D314+E314</f>
        <v>0</v>
      </c>
      <c r="G314" s="268"/>
      <c r="H314" s="312"/>
      <c r="I314" s="248">
        <f>F314+G314+H314</f>
        <v>0</v>
      </c>
      <c r="J314" s="177"/>
      <c r="K314" s="10"/>
      <c r="L314" s="71">
        <f>I314+J314+K314</f>
        <v>0</v>
      </c>
      <c r="M314" s="26"/>
      <c r="N314" s="10"/>
      <c r="O314" s="27">
        <f>L314+M314+N314</f>
        <v>0</v>
      </c>
      <c r="P314" s="83"/>
      <c r="Q314" s="84">
        <f>O314+P314</f>
        <v>0</v>
      </c>
    </row>
    <row r="315" spans="1:17" ht="12.75">
      <c r="A315" s="46" t="s">
        <v>165</v>
      </c>
      <c r="B315" s="102"/>
      <c r="C315" s="196">
        <f aca="true" t="shared" si="91" ref="C315:Q315">C316+C340</f>
        <v>829460.8700000001</v>
      </c>
      <c r="D315" s="129">
        <f t="shared" si="91"/>
        <v>1773618.5</v>
      </c>
      <c r="E315" s="129">
        <f t="shared" si="91"/>
        <v>0</v>
      </c>
      <c r="F315" s="140">
        <f t="shared" si="91"/>
        <v>2603079.37</v>
      </c>
      <c r="G315" s="262">
        <f t="shared" si="91"/>
        <v>208518.46999999997</v>
      </c>
      <c r="H315" s="307">
        <f t="shared" si="91"/>
        <v>-540.4199999999936</v>
      </c>
      <c r="I315" s="243">
        <f t="shared" si="91"/>
        <v>2811057.4200000004</v>
      </c>
      <c r="J315" s="140">
        <f t="shared" si="91"/>
        <v>0</v>
      </c>
      <c r="K315" s="112">
        <f t="shared" si="91"/>
        <v>0</v>
      </c>
      <c r="L315" s="129">
        <f t="shared" si="91"/>
        <v>0</v>
      </c>
      <c r="M315" s="111">
        <f t="shared" si="91"/>
        <v>0</v>
      </c>
      <c r="N315" s="111">
        <f t="shared" si="91"/>
        <v>0</v>
      </c>
      <c r="O315" s="111">
        <f t="shared" si="91"/>
        <v>0</v>
      </c>
      <c r="P315" s="111">
        <f t="shared" si="91"/>
        <v>0</v>
      </c>
      <c r="Q315" s="196">
        <f t="shared" si="91"/>
        <v>0</v>
      </c>
    </row>
    <row r="316" spans="1:17" ht="12.75">
      <c r="A316" s="40" t="s">
        <v>49</v>
      </c>
      <c r="B316" s="101"/>
      <c r="C316" s="200">
        <f aca="true" t="shared" si="92" ref="C316:Q316">SUM(C318:C328)</f>
        <v>76319.28</v>
      </c>
      <c r="D316" s="149">
        <f t="shared" si="92"/>
        <v>44694.51</v>
      </c>
      <c r="E316" s="149">
        <f t="shared" si="92"/>
        <v>0</v>
      </c>
      <c r="F316" s="175">
        <f t="shared" si="92"/>
        <v>121013.79000000001</v>
      </c>
      <c r="G316" s="265">
        <f t="shared" si="92"/>
        <v>12631.400000000001</v>
      </c>
      <c r="H316" s="311">
        <f t="shared" si="92"/>
        <v>257.37</v>
      </c>
      <c r="I316" s="246">
        <f t="shared" si="92"/>
        <v>133902.56</v>
      </c>
      <c r="J316" s="175">
        <f t="shared" si="92"/>
        <v>0</v>
      </c>
      <c r="K316" s="119">
        <f t="shared" si="92"/>
        <v>0</v>
      </c>
      <c r="L316" s="149">
        <f t="shared" si="92"/>
        <v>0</v>
      </c>
      <c r="M316" s="118">
        <f t="shared" si="92"/>
        <v>0</v>
      </c>
      <c r="N316" s="118">
        <f t="shared" si="92"/>
        <v>0</v>
      </c>
      <c r="O316" s="118">
        <f t="shared" si="92"/>
        <v>0</v>
      </c>
      <c r="P316" s="118">
        <f t="shared" si="92"/>
        <v>0</v>
      </c>
      <c r="Q316" s="200">
        <f t="shared" si="92"/>
        <v>0</v>
      </c>
    </row>
    <row r="317" spans="1:17" ht="12.75">
      <c r="A317" s="36" t="s">
        <v>26</v>
      </c>
      <c r="B317" s="97"/>
      <c r="C317" s="200"/>
      <c r="D317" s="214"/>
      <c r="E317" s="214"/>
      <c r="F317" s="175"/>
      <c r="G317" s="263"/>
      <c r="H317" s="308"/>
      <c r="I317" s="244"/>
      <c r="J317" s="86"/>
      <c r="K317" s="7"/>
      <c r="L317" s="72"/>
      <c r="M317" s="30"/>
      <c r="N317" s="7"/>
      <c r="O317" s="23"/>
      <c r="P317" s="80"/>
      <c r="Q317" s="78"/>
    </row>
    <row r="318" spans="1:17" ht="12.75">
      <c r="A318" s="38" t="s">
        <v>51</v>
      </c>
      <c r="B318" s="97"/>
      <c r="C318" s="197">
        <v>6645.87</v>
      </c>
      <c r="D318" s="215">
        <f>1000</f>
        <v>1000</v>
      </c>
      <c r="E318" s="215"/>
      <c r="F318" s="134">
        <f aca="true" t="shared" si="93" ref="F318:F339">C318+D318+E318</f>
        <v>7645.87</v>
      </c>
      <c r="G318" s="263">
        <f>135.18</f>
        <v>135.18</v>
      </c>
      <c r="H318" s="308"/>
      <c r="I318" s="244">
        <f aca="true" t="shared" si="94" ref="I318:I339">F318+G318+H318</f>
        <v>7781.05</v>
      </c>
      <c r="J318" s="86"/>
      <c r="K318" s="7"/>
      <c r="L318" s="72"/>
      <c r="M318" s="30"/>
      <c r="N318" s="7"/>
      <c r="O318" s="23"/>
      <c r="P318" s="80"/>
      <c r="Q318" s="78"/>
    </row>
    <row r="319" spans="1:17" ht="12.75">
      <c r="A319" s="38" t="s">
        <v>171</v>
      </c>
      <c r="B319" s="97">
        <v>1080</v>
      </c>
      <c r="C319" s="197"/>
      <c r="D319" s="215">
        <f>1306.05</f>
        <v>1306.05</v>
      </c>
      <c r="E319" s="215"/>
      <c r="F319" s="134">
        <f t="shared" si="93"/>
        <v>1306.05</v>
      </c>
      <c r="G319" s="263"/>
      <c r="H319" s="308"/>
      <c r="I319" s="244">
        <f t="shared" si="94"/>
        <v>1306.05</v>
      </c>
      <c r="J319" s="86"/>
      <c r="K319" s="7"/>
      <c r="L319" s="72"/>
      <c r="M319" s="30"/>
      <c r="N319" s="7"/>
      <c r="O319" s="23"/>
      <c r="P319" s="80"/>
      <c r="Q319" s="78"/>
    </row>
    <row r="320" spans="1:17" ht="12.75">
      <c r="A320" s="38" t="s">
        <v>172</v>
      </c>
      <c r="B320" s="192">
        <v>1081.1202</v>
      </c>
      <c r="C320" s="197">
        <v>2182</v>
      </c>
      <c r="D320" s="215">
        <f>457.11</f>
        <v>457.11</v>
      </c>
      <c r="E320" s="215"/>
      <c r="F320" s="134">
        <f t="shared" si="93"/>
        <v>2639.11</v>
      </c>
      <c r="G320" s="263"/>
      <c r="H320" s="308"/>
      <c r="I320" s="244">
        <f t="shared" si="94"/>
        <v>2639.11</v>
      </c>
      <c r="J320" s="86"/>
      <c r="K320" s="7"/>
      <c r="L320" s="72"/>
      <c r="M320" s="30"/>
      <c r="N320" s="7"/>
      <c r="O320" s="23"/>
      <c r="P320" s="80"/>
      <c r="Q320" s="78"/>
    </row>
    <row r="321" spans="1:17" ht="12.75">
      <c r="A321" s="98" t="s">
        <v>81</v>
      </c>
      <c r="B321" s="97"/>
      <c r="C321" s="197">
        <v>300</v>
      </c>
      <c r="D321" s="215"/>
      <c r="E321" s="215"/>
      <c r="F321" s="134">
        <f t="shared" si="93"/>
        <v>300</v>
      </c>
      <c r="G321" s="263"/>
      <c r="H321" s="308"/>
      <c r="I321" s="244">
        <f t="shared" si="94"/>
        <v>300</v>
      </c>
      <c r="J321" s="86"/>
      <c r="K321" s="7"/>
      <c r="L321" s="72"/>
      <c r="M321" s="30"/>
      <c r="N321" s="7"/>
      <c r="O321" s="23"/>
      <c r="P321" s="80"/>
      <c r="Q321" s="78"/>
    </row>
    <row r="322" spans="1:17" ht="12.75">
      <c r="A322" s="34" t="s">
        <v>178</v>
      </c>
      <c r="B322" s="97"/>
      <c r="C322" s="197">
        <v>35554.41</v>
      </c>
      <c r="D322" s="215"/>
      <c r="E322" s="215"/>
      <c r="F322" s="134">
        <f t="shared" si="93"/>
        <v>35554.41</v>
      </c>
      <c r="G322" s="263"/>
      <c r="H322" s="308"/>
      <c r="I322" s="244">
        <f t="shared" si="94"/>
        <v>35554.41</v>
      </c>
      <c r="J322" s="86"/>
      <c r="K322" s="7"/>
      <c r="L322" s="72"/>
      <c r="M322" s="30"/>
      <c r="N322" s="7"/>
      <c r="O322" s="23"/>
      <c r="P322" s="80"/>
      <c r="Q322" s="78"/>
    </row>
    <row r="323" spans="1:17" ht="12.75">
      <c r="A323" s="38" t="s">
        <v>233</v>
      </c>
      <c r="B323" s="97"/>
      <c r="C323" s="197"/>
      <c r="D323" s="215">
        <f>330.16</f>
        <v>330.16</v>
      </c>
      <c r="E323" s="215"/>
      <c r="F323" s="134">
        <f t="shared" si="93"/>
        <v>330.16</v>
      </c>
      <c r="G323" s="263">
        <f>3000</f>
        <v>3000</v>
      </c>
      <c r="H323" s="308"/>
      <c r="I323" s="244">
        <f t="shared" si="94"/>
        <v>3330.16</v>
      </c>
      <c r="J323" s="86"/>
      <c r="K323" s="7"/>
      <c r="L323" s="72"/>
      <c r="M323" s="30"/>
      <c r="N323" s="7"/>
      <c r="O323" s="23"/>
      <c r="P323" s="80"/>
      <c r="Q323" s="78"/>
    </row>
    <row r="324" spans="1:17" ht="12.75">
      <c r="A324" s="34" t="s">
        <v>197</v>
      </c>
      <c r="B324" s="143">
        <v>212163</v>
      </c>
      <c r="C324" s="197"/>
      <c r="D324" s="215">
        <v>0.05</v>
      </c>
      <c r="E324" s="215"/>
      <c r="F324" s="134">
        <f t="shared" si="93"/>
        <v>0.05</v>
      </c>
      <c r="G324" s="263">
        <f>10</f>
        <v>10</v>
      </c>
      <c r="H324" s="308"/>
      <c r="I324" s="244">
        <f t="shared" si="94"/>
        <v>10.05</v>
      </c>
      <c r="J324" s="86"/>
      <c r="K324" s="7"/>
      <c r="L324" s="72"/>
      <c r="M324" s="30"/>
      <c r="N324" s="7"/>
      <c r="O324" s="23"/>
      <c r="P324" s="80"/>
      <c r="Q324" s="78"/>
    </row>
    <row r="325" spans="1:17" ht="12.75">
      <c r="A325" s="38" t="s">
        <v>168</v>
      </c>
      <c r="B325" s="143">
        <v>212162</v>
      </c>
      <c r="C325" s="197"/>
      <c r="D325" s="215">
        <f>658.97</f>
        <v>658.97</v>
      </c>
      <c r="E325" s="215"/>
      <c r="F325" s="134">
        <f t="shared" si="93"/>
        <v>658.97</v>
      </c>
      <c r="G325" s="263"/>
      <c r="H325" s="308"/>
      <c r="I325" s="244">
        <f t="shared" si="94"/>
        <v>658.97</v>
      </c>
      <c r="J325" s="86"/>
      <c r="K325" s="7"/>
      <c r="L325" s="72"/>
      <c r="M325" s="30"/>
      <c r="N325" s="7"/>
      <c r="O325" s="23"/>
      <c r="P325" s="80"/>
      <c r="Q325" s="78"/>
    </row>
    <row r="326" spans="1:17" ht="12.75">
      <c r="A326" s="38" t="s">
        <v>333</v>
      </c>
      <c r="B326" s="143"/>
      <c r="C326" s="197"/>
      <c r="D326" s="215">
        <f>558.14</f>
        <v>558.14</v>
      </c>
      <c r="E326" s="215"/>
      <c r="F326" s="134">
        <f t="shared" si="93"/>
        <v>558.14</v>
      </c>
      <c r="G326" s="263">
        <f>1090.57</f>
        <v>1090.57</v>
      </c>
      <c r="H326" s="308"/>
      <c r="I326" s="244">
        <f t="shared" si="94"/>
        <v>1648.71</v>
      </c>
      <c r="J326" s="86"/>
      <c r="K326" s="7"/>
      <c r="L326" s="86"/>
      <c r="M326" s="188"/>
      <c r="N326" s="86"/>
      <c r="O326" s="86"/>
      <c r="P326" s="209"/>
      <c r="Q326" s="78"/>
    </row>
    <row r="327" spans="1:17" ht="12.75">
      <c r="A327" s="38" t="s">
        <v>311</v>
      </c>
      <c r="B327" s="143"/>
      <c r="C327" s="197"/>
      <c r="D327" s="215">
        <f>181.24</f>
        <v>181.24</v>
      </c>
      <c r="E327" s="215"/>
      <c r="F327" s="134">
        <f t="shared" si="93"/>
        <v>181.24</v>
      </c>
      <c r="G327" s="263"/>
      <c r="H327" s="308"/>
      <c r="I327" s="244">
        <f t="shared" si="94"/>
        <v>181.24</v>
      </c>
      <c r="J327" s="86"/>
      <c r="K327" s="7"/>
      <c r="L327" s="86"/>
      <c r="M327" s="188"/>
      <c r="N327" s="86"/>
      <c r="O327" s="86"/>
      <c r="P327" s="209"/>
      <c r="Q327" s="78"/>
    </row>
    <row r="328" spans="1:17" ht="12.75">
      <c r="A328" s="34" t="s">
        <v>78</v>
      </c>
      <c r="B328" s="97"/>
      <c r="C328" s="202">
        <f>SUM(C329:C339)</f>
        <v>31637</v>
      </c>
      <c r="D328" s="215">
        <f>SUM(D329:D339)</f>
        <v>40202.79</v>
      </c>
      <c r="E328" s="215">
        <f aca="true" t="shared" si="95" ref="E328:Q328">SUM(E329:E339)</f>
        <v>0</v>
      </c>
      <c r="F328" s="151">
        <f t="shared" si="95"/>
        <v>71839.79000000001</v>
      </c>
      <c r="G328" s="269">
        <f t="shared" si="95"/>
        <v>8395.650000000001</v>
      </c>
      <c r="H328" s="315">
        <f t="shared" si="95"/>
        <v>257.37</v>
      </c>
      <c r="I328" s="250">
        <f t="shared" si="95"/>
        <v>80492.81000000001</v>
      </c>
      <c r="J328" s="151">
        <f t="shared" si="95"/>
        <v>0</v>
      </c>
      <c r="K328" s="122">
        <f t="shared" si="95"/>
        <v>0</v>
      </c>
      <c r="L328" s="151">
        <f t="shared" si="95"/>
        <v>0</v>
      </c>
      <c r="M328" s="135">
        <f t="shared" si="95"/>
        <v>0</v>
      </c>
      <c r="N328" s="135">
        <f t="shared" si="95"/>
        <v>0</v>
      </c>
      <c r="O328" s="135">
        <f t="shared" si="95"/>
        <v>0</v>
      </c>
      <c r="P328" s="135">
        <f t="shared" si="95"/>
        <v>0</v>
      </c>
      <c r="Q328" s="202">
        <f t="shared" si="95"/>
        <v>0</v>
      </c>
    </row>
    <row r="329" spans="1:17" ht="12.75">
      <c r="A329" s="34" t="s">
        <v>220</v>
      </c>
      <c r="B329" s="97"/>
      <c r="C329" s="202">
        <v>14000</v>
      </c>
      <c r="D329" s="215">
        <f>2350</f>
        <v>2350</v>
      </c>
      <c r="E329" s="146"/>
      <c r="F329" s="134">
        <f t="shared" si="93"/>
        <v>16350</v>
      </c>
      <c r="G329" s="263"/>
      <c r="H329" s="308"/>
      <c r="I329" s="244">
        <f t="shared" si="94"/>
        <v>16350</v>
      </c>
      <c r="J329" s="86"/>
      <c r="K329" s="7"/>
      <c r="L329" s="72"/>
      <c r="M329" s="30"/>
      <c r="N329" s="7"/>
      <c r="O329" s="23"/>
      <c r="P329" s="80"/>
      <c r="Q329" s="78"/>
    </row>
    <row r="330" spans="1:17" ht="12.75">
      <c r="A330" s="34" t="s">
        <v>177</v>
      </c>
      <c r="B330" s="97"/>
      <c r="C330" s="202">
        <v>300</v>
      </c>
      <c r="D330" s="215">
        <f>33986.1+236.9+224.26-2350</f>
        <v>32097.260000000002</v>
      </c>
      <c r="E330" s="146"/>
      <c r="F330" s="134">
        <f t="shared" si="93"/>
        <v>32397.260000000002</v>
      </c>
      <c r="G330" s="263">
        <f>50.82+863.99+6854.77</f>
        <v>7769.580000000001</v>
      </c>
      <c r="H330" s="308"/>
      <c r="I330" s="244">
        <f t="shared" si="94"/>
        <v>40166.840000000004</v>
      </c>
      <c r="J330" s="86"/>
      <c r="K330" s="7"/>
      <c r="L330" s="72"/>
      <c r="M330" s="30"/>
      <c r="N330" s="7"/>
      <c r="O330" s="23"/>
      <c r="P330" s="80"/>
      <c r="Q330" s="78"/>
    </row>
    <row r="331" spans="1:17" ht="12.75" hidden="1">
      <c r="A331" s="34" t="s">
        <v>272</v>
      </c>
      <c r="B331" s="97"/>
      <c r="C331" s="202"/>
      <c r="D331" s="216"/>
      <c r="E331" s="146"/>
      <c r="F331" s="134">
        <f t="shared" si="93"/>
        <v>0</v>
      </c>
      <c r="G331" s="263"/>
      <c r="H331" s="308"/>
      <c r="I331" s="244">
        <f t="shared" si="94"/>
        <v>0</v>
      </c>
      <c r="J331" s="86"/>
      <c r="K331" s="7"/>
      <c r="L331" s="72"/>
      <c r="M331" s="30"/>
      <c r="N331" s="7"/>
      <c r="O331" s="23"/>
      <c r="P331" s="80"/>
      <c r="Q331" s="78"/>
    </row>
    <row r="332" spans="1:17" ht="12.75" hidden="1">
      <c r="A332" s="34" t="s">
        <v>207</v>
      </c>
      <c r="B332" s="97"/>
      <c r="C332" s="202"/>
      <c r="D332" s="215"/>
      <c r="E332" s="146"/>
      <c r="F332" s="134">
        <f t="shared" si="93"/>
        <v>0</v>
      </c>
      <c r="G332" s="263"/>
      <c r="H332" s="308"/>
      <c r="I332" s="244">
        <f t="shared" si="94"/>
        <v>0</v>
      </c>
      <c r="J332" s="86"/>
      <c r="K332" s="7"/>
      <c r="L332" s="72"/>
      <c r="M332" s="30"/>
      <c r="N332" s="7"/>
      <c r="O332" s="23"/>
      <c r="P332" s="80"/>
      <c r="Q332" s="78"/>
    </row>
    <row r="333" spans="1:17" ht="12.75">
      <c r="A333" s="34" t="s">
        <v>232</v>
      </c>
      <c r="B333" s="97"/>
      <c r="C333" s="202"/>
      <c r="D333" s="215">
        <f>11169.53</f>
        <v>11169.53</v>
      </c>
      <c r="E333" s="146"/>
      <c r="F333" s="134">
        <f t="shared" si="93"/>
        <v>11169.53</v>
      </c>
      <c r="G333" s="263"/>
      <c r="H333" s="308"/>
      <c r="I333" s="244">
        <f t="shared" si="94"/>
        <v>11169.53</v>
      </c>
      <c r="J333" s="86"/>
      <c r="K333" s="7"/>
      <c r="L333" s="72"/>
      <c r="M333" s="30"/>
      <c r="N333" s="7"/>
      <c r="O333" s="23"/>
      <c r="P333" s="80"/>
      <c r="Q333" s="78"/>
    </row>
    <row r="334" spans="1:17" ht="12.75">
      <c r="A334" s="34" t="s">
        <v>176</v>
      </c>
      <c r="B334" s="97"/>
      <c r="C334" s="202"/>
      <c r="D334" s="215">
        <f>2726.77+840.5+353.95+205.7</f>
        <v>4126.92</v>
      </c>
      <c r="E334" s="146"/>
      <c r="F334" s="134">
        <f t="shared" si="93"/>
        <v>4126.92</v>
      </c>
      <c r="G334" s="263"/>
      <c r="H334" s="308">
        <f>184.77+72.6</f>
        <v>257.37</v>
      </c>
      <c r="I334" s="244">
        <f t="shared" si="94"/>
        <v>4384.29</v>
      </c>
      <c r="J334" s="86"/>
      <c r="K334" s="7"/>
      <c r="L334" s="72"/>
      <c r="M334" s="30"/>
      <c r="N334" s="7"/>
      <c r="O334" s="23"/>
      <c r="P334" s="80"/>
      <c r="Q334" s="78"/>
    </row>
    <row r="335" spans="1:17" ht="12.75">
      <c r="A335" s="34" t="s">
        <v>179</v>
      </c>
      <c r="B335" s="97"/>
      <c r="C335" s="202"/>
      <c r="D335" s="215">
        <f>2967.12</f>
        <v>2967.12</v>
      </c>
      <c r="E335" s="146"/>
      <c r="F335" s="134">
        <f t="shared" si="93"/>
        <v>2967.12</v>
      </c>
      <c r="G335" s="263"/>
      <c r="H335" s="308"/>
      <c r="I335" s="244">
        <f t="shared" si="94"/>
        <v>2967.12</v>
      </c>
      <c r="J335" s="86"/>
      <c r="K335" s="7"/>
      <c r="L335" s="72"/>
      <c r="M335" s="30"/>
      <c r="N335" s="7"/>
      <c r="O335" s="23"/>
      <c r="P335" s="80"/>
      <c r="Q335" s="78"/>
    </row>
    <row r="336" spans="1:17" ht="12.75">
      <c r="A336" s="34" t="s">
        <v>184</v>
      </c>
      <c r="B336" s="97"/>
      <c r="C336" s="202">
        <v>7500</v>
      </c>
      <c r="D336" s="215">
        <f>-7500+17.05</f>
        <v>-7482.95</v>
      </c>
      <c r="E336" s="146"/>
      <c r="F336" s="134">
        <f t="shared" si="93"/>
        <v>17.050000000000182</v>
      </c>
      <c r="G336" s="263"/>
      <c r="H336" s="308"/>
      <c r="I336" s="244">
        <f t="shared" si="94"/>
        <v>17.050000000000182</v>
      </c>
      <c r="J336" s="86"/>
      <c r="K336" s="7"/>
      <c r="L336" s="72"/>
      <c r="M336" s="30"/>
      <c r="N336" s="7"/>
      <c r="O336" s="23"/>
      <c r="P336" s="80"/>
      <c r="Q336" s="78"/>
    </row>
    <row r="337" spans="1:17" ht="12.75">
      <c r="A337" s="34" t="s">
        <v>183</v>
      </c>
      <c r="B337" s="97"/>
      <c r="C337" s="202">
        <v>8299</v>
      </c>
      <c r="D337" s="215">
        <f>-6743.14+2500.95+129.98+169.29-1500</f>
        <v>-5442.920000000001</v>
      </c>
      <c r="E337" s="146"/>
      <c r="F337" s="134">
        <f t="shared" si="93"/>
        <v>2856.079999999999</v>
      </c>
      <c r="G337" s="263">
        <f>696.88+79.5</f>
        <v>776.38</v>
      </c>
      <c r="H337" s="308"/>
      <c r="I337" s="244">
        <f t="shared" si="94"/>
        <v>3632.459999999999</v>
      </c>
      <c r="J337" s="86"/>
      <c r="K337" s="7"/>
      <c r="L337" s="72"/>
      <c r="M337" s="30"/>
      <c r="N337" s="7"/>
      <c r="O337" s="23"/>
      <c r="P337" s="80"/>
      <c r="Q337" s="78"/>
    </row>
    <row r="338" spans="1:17" ht="12.75">
      <c r="A338" s="34" t="s">
        <v>211</v>
      </c>
      <c r="B338" s="97"/>
      <c r="C338" s="202">
        <v>1538</v>
      </c>
      <c r="D338" s="215">
        <f>-954+1621.52-400</f>
        <v>267.52</v>
      </c>
      <c r="E338" s="146"/>
      <c r="F338" s="134">
        <f t="shared" si="93"/>
        <v>1805.52</v>
      </c>
      <c r="G338" s="263"/>
      <c r="H338" s="308"/>
      <c r="I338" s="244">
        <f t="shared" si="94"/>
        <v>1805.52</v>
      </c>
      <c r="J338" s="86"/>
      <c r="K338" s="7"/>
      <c r="L338" s="72"/>
      <c r="M338" s="30"/>
      <c r="N338" s="7"/>
      <c r="O338" s="23"/>
      <c r="P338" s="80"/>
      <c r="Q338" s="78"/>
    </row>
    <row r="339" spans="1:17" ht="12.75">
      <c r="A339" s="34" t="s">
        <v>243</v>
      </c>
      <c r="B339" s="97"/>
      <c r="C339" s="202"/>
      <c r="D339" s="216">
        <f>458.38-272.68-35.39</f>
        <v>150.31</v>
      </c>
      <c r="E339" s="146"/>
      <c r="F339" s="134">
        <f t="shared" si="93"/>
        <v>150.31</v>
      </c>
      <c r="G339" s="263">
        <f>-150.31</f>
        <v>-150.31</v>
      </c>
      <c r="H339" s="308"/>
      <c r="I339" s="244">
        <f t="shared" si="94"/>
        <v>0</v>
      </c>
      <c r="J339" s="86"/>
      <c r="K339" s="7"/>
      <c r="L339" s="72"/>
      <c r="M339" s="30"/>
      <c r="N339" s="7"/>
      <c r="O339" s="23"/>
      <c r="P339" s="80"/>
      <c r="Q339" s="78"/>
    </row>
    <row r="340" spans="1:17" ht="12.75">
      <c r="A340" s="40" t="s">
        <v>54</v>
      </c>
      <c r="B340" s="101"/>
      <c r="C340" s="200">
        <f aca="true" t="shared" si="96" ref="C340:Q340">SUM(C342:C357)</f>
        <v>753141.5900000001</v>
      </c>
      <c r="D340" s="149">
        <f t="shared" si="96"/>
        <v>1728923.99</v>
      </c>
      <c r="E340" s="149">
        <f t="shared" si="96"/>
        <v>0</v>
      </c>
      <c r="F340" s="175">
        <f t="shared" si="96"/>
        <v>2482065.58</v>
      </c>
      <c r="G340" s="265">
        <f t="shared" si="96"/>
        <v>195887.06999999998</v>
      </c>
      <c r="H340" s="311">
        <f t="shared" si="96"/>
        <v>-797.7899999999936</v>
      </c>
      <c r="I340" s="246">
        <f t="shared" si="96"/>
        <v>2677154.8600000003</v>
      </c>
      <c r="J340" s="175">
        <f t="shared" si="96"/>
        <v>0</v>
      </c>
      <c r="K340" s="119">
        <f t="shared" si="96"/>
        <v>0</v>
      </c>
      <c r="L340" s="149">
        <f t="shared" si="96"/>
        <v>0</v>
      </c>
      <c r="M340" s="118">
        <f t="shared" si="96"/>
        <v>0</v>
      </c>
      <c r="N340" s="118">
        <f t="shared" si="96"/>
        <v>0</v>
      </c>
      <c r="O340" s="118">
        <f t="shared" si="96"/>
        <v>0</v>
      </c>
      <c r="P340" s="118">
        <f t="shared" si="96"/>
        <v>0</v>
      </c>
      <c r="Q340" s="200">
        <f t="shared" si="96"/>
        <v>0</v>
      </c>
    </row>
    <row r="341" spans="1:17" ht="12.75">
      <c r="A341" s="38" t="s">
        <v>26</v>
      </c>
      <c r="B341" s="97"/>
      <c r="C341" s="197"/>
      <c r="D341" s="146"/>
      <c r="E341" s="146"/>
      <c r="F341" s="134"/>
      <c r="G341" s="263"/>
      <c r="H341" s="308"/>
      <c r="I341" s="244"/>
      <c r="J341" s="86"/>
      <c r="K341" s="7"/>
      <c r="L341" s="72"/>
      <c r="M341" s="30"/>
      <c r="N341" s="7"/>
      <c r="O341" s="23"/>
      <c r="P341" s="80"/>
      <c r="Q341" s="78"/>
    </row>
    <row r="342" spans="1:17" ht="12.75" hidden="1">
      <c r="A342" s="38" t="s">
        <v>173</v>
      </c>
      <c r="B342" s="97"/>
      <c r="C342" s="197"/>
      <c r="D342" s="146"/>
      <c r="E342" s="146"/>
      <c r="F342" s="134">
        <f aca="true" t="shared" si="97" ref="F342:F369">C342+D342+E342</f>
        <v>0</v>
      </c>
      <c r="G342" s="263"/>
      <c r="H342" s="308"/>
      <c r="I342" s="244"/>
      <c r="J342" s="86"/>
      <c r="K342" s="7"/>
      <c r="L342" s="72"/>
      <c r="M342" s="30"/>
      <c r="N342" s="7"/>
      <c r="O342" s="23"/>
      <c r="P342" s="80"/>
      <c r="Q342" s="78"/>
    </row>
    <row r="343" spans="1:17" ht="12.75">
      <c r="A343" s="38" t="s">
        <v>172</v>
      </c>
      <c r="B343" s="192">
        <v>1081.1202</v>
      </c>
      <c r="C343" s="197">
        <v>6044</v>
      </c>
      <c r="D343" s="146">
        <f>692.36</f>
        <v>692.36</v>
      </c>
      <c r="E343" s="146"/>
      <c r="F343" s="134">
        <f t="shared" si="97"/>
        <v>6736.36</v>
      </c>
      <c r="G343" s="263"/>
      <c r="H343" s="308"/>
      <c r="I343" s="244">
        <f aca="true" t="shared" si="98" ref="I343:I356">F343+G343+H343</f>
        <v>6736.36</v>
      </c>
      <c r="J343" s="86"/>
      <c r="K343" s="7"/>
      <c r="L343" s="72"/>
      <c r="M343" s="30"/>
      <c r="N343" s="7"/>
      <c r="O343" s="23"/>
      <c r="P343" s="80"/>
      <c r="Q343" s="78"/>
    </row>
    <row r="344" spans="1:17" ht="12.75">
      <c r="A344" s="38" t="s">
        <v>167</v>
      </c>
      <c r="B344" s="97"/>
      <c r="C344" s="197">
        <v>19868.59</v>
      </c>
      <c r="D344" s="146">
        <f>711.97+10000</f>
        <v>10711.97</v>
      </c>
      <c r="E344" s="146"/>
      <c r="F344" s="134">
        <f t="shared" si="97"/>
        <v>30580.559999999998</v>
      </c>
      <c r="G344" s="263"/>
      <c r="H344" s="308"/>
      <c r="I344" s="244">
        <f t="shared" si="98"/>
        <v>30580.559999999998</v>
      </c>
      <c r="J344" s="86"/>
      <c r="K344" s="7"/>
      <c r="L344" s="72"/>
      <c r="M344" s="30"/>
      <c r="N344" s="7"/>
      <c r="O344" s="23"/>
      <c r="P344" s="80"/>
      <c r="Q344" s="78"/>
    </row>
    <row r="345" spans="1:17" ht="12.75">
      <c r="A345" s="38" t="s">
        <v>284</v>
      </c>
      <c r="B345" s="97"/>
      <c r="C345" s="197">
        <v>5000</v>
      </c>
      <c r="D345" s="146"/>
      <c r="E345" s="146"/>
      <c r="F345" s="134">
        <f t="shared" si="97"/>
        <v>5000</v>
      </c>
      <c r="G345" s="263"/>
      <c r="H345" s="308"/>
      <c r="I345" s="244">
        <f t="shared" si="98"/>
        <v>5000</v>
      </c>
      <c r="J345" s="86"/>
      <c r="K345" s="7"/>
      <c r="L345" s="72"/>
      <c r="M345" s="30"/>
      <c r="N345" s="7"/>
      <c r="O345" s="23"/>
      <c r="P345" s="80"/>
      <c r="Q345" s="78"/>
    </row>
    <row r="346" spans="1:17" ht="12.75">
      <c r="A346" s="38" t="s">
        <v>293</v>
      </c>
      <c r="B346" s="97"/>
      <c r="C346" s="197"/>
      <c r="D346" s="215">
        <f>788.1</f>
        <v>788.1</v>
      </c>
      <c r="E346" s="215"/>
      <c r="F346" s="134">
        <f t="shared" si="97"/>
        <v>788.1</v>
      </c>
      <c r="G346" s="263"/>
      <c r="H346" s="308"/>
      <c r="I346" s="244">
        <f t="shared" si="98"/>
        <v>788.1</v>
      </c>
      <c r="J346" s="86"/>
      <c r="K346" s="7"/>
      <c r="L346" s="72"/>
      <c r="M346" s="30"/>
      <c r="N346" s="7"/>
      <c r="O346" s="23"/>
      <c r="P346" s="80"/>
      <c r="Q346" s="78"/>
    </row>
    <row r="347" spans="1:17" ht="12.75">
      <c r="A347" s="141" t="s">
        <v>233</v>
      </c>
      <c r="B347" s="97"/>
      <c r="C347" s="197">
        <v>400000</v>
      </c>
      <c r="D347" s="216">
        <f>200000+281690.37+30000+150000</f>
        <v>661690.37</v>
      </c>
      <c r="E347" s="216"/>
      <c r="F347" s="134">
        <f t="shared" si="97"/>
        <v>1061690.37</v>
      </c>
      <c r="G347" s="263">
        <f>-3000</f>
        <v>-3000</v>
      </c>
      <c r="H347" s="308"/>
      <c r="I347" s="244">
        <f t="shared" si="98"/>
        <v>1058690.37</v>
      </c>
      <c r="J347" s="86"/>
      <c r="K347" s="7"/>
      <c r="L347" s="72"/>
      <c r="M347" s="30"/>
      <c r="N347" s="7"/>
      <c r="O347" s="23"/>
      <c r="P347" s="80"/>
      <c r="Q347" s="78"/>
    </row>
    <row r="348" spans="1:17" ht="12.75">
      <c r="A348" s="38" t="s">
        <v>294</v>
      </c>
      <c r="B348" s="143">
        <v>212163</v>
      </c>
      <c r="C348" s="197">
        <v>36000</v>
      </c>
      <c r="D348" s="215">
        <f>50274.06+47194.15</f>
        <v>97468.20999999999</v>
      </c>
      <c r="E348" s="215"/>
      <c r="F348" s="134">
        <f t="shared" si="97"/>
        <v>133468.21</v>
      </c>
      <c r="G348" s="263">
        <f>-10-74650</f>
        <v>-74660</v>
      </c>
      <c r="H348" s="308"/>
      <c r="I348" s="244">
        <f t="shared" si="98"/>
        <v>58808.20999999999</v>
      </c>
      <c r="J348" s="86"/>
      <c r="K348" s="7"/>
      <c r="L348" s="72"/>
      <c r="M348" s="30"/>
      <c r="N348" s="7"/>
      <c r="O348" s="23"/>
      <c r="P348" s="80"/>
      <c r="Q348" s="78"/>
    </row>
    <row r="349" spans="1:17" ht="12.75">
      <c r="A349" s="38" t="s">
        <v>237</v>
      </c>
      <c r="B349" s="143">
        <v>22777</v>
      </c>
      <c r="C349" s="197"/>
      <c r="D349" s="215"/>
      <c r="E349" s="215"/>
      <c r="F349" s="134">
        <f t="shared" si="97"/>
        <v>0</v>
      </c>
      <c r="G349" s="263">
        <f>41783.61</f>
        <v>41783.61</v>
      </c>
      <c r="H349" s="308"/>
      <c r="I349" s="244">
        <f t="shared" si="98"/>
        <v>41783.61</v>
      </c>
      <c r="J349" s="86"/>
      <c r="K349" s="7"/>
      <c r="L349" s="72"/>
      <c r="M349" s="30"/>
      <c r="N349" s="7"/>
      <c r="O349" s="23"/>
      <c r="P349" s="80"/>
      <c r="Q349" s="78"/>
    </row>
    <row r="350" spans="1:17" ht="12.75" hidden="1">
      <c r="A350" s="38" t="s">
        <v>277</v>
      </c>
      <c r="B350" s="143">
        <v>98858</v>
      </c>
      <c r="C350" s="197"/>
      <c r="D350" s="215"/>
      <c r="E350" s="215"/>
      <c r="F350" s="134">
        <f t="shared" si="97"/>
        <v>0</v>
      </c>
      <c r="G350" s="263"/>
      <c r="H350" s="308"/>
      <c r="I350" s="244">
        <f t="shared" si="98"/>
        <v>0</v>
      </c>
      <c r="J350" s="86"/>
      <c r="K350" s="7"/>
      <c r="L350" s="72"/>
      <c r="M350" s="30"/>
      <c r="N350" s="7"/>
      <c r="O350" s="23"/>
      <c r="P350" s="80"/>
      <c r="Q350" s="78"/>
    </row>
    <row r="351" spans="1:17" ht="12.75">
      <c r="A351" s="38" t="s">
        <v>168</v>
      </c>
      <c r="B351" s="143">
        <v>212162</v>
      </c>
      <c r="C351" s="197"/>
      <c r="D351" s="215">
        <f>43486.32</f>
        <v>43486.32</v>
      </c>
      <c r="E351" s="215"/>
      <c r="F351" s="134">
        <f t="shared" si="97"/>
        <v>43486.32</v>
      </c>
      <c r="G351" s="263"/>
      <c r="H351" s="308"/>
      <c r="I351" s="244">
        <f t="shared" si="98"/>
        <v>43486.32</v>
      </c>
      <c r="J351" s="86"/>
      <c r="K351" s="7"/>
      <c r="L351" s="72"/>
      <c r="M351" s="30"/>
      <c r="N351" s="7"/>
      <c r="O351" s="23"/>
      <c r="P351" s="80"/>
      <c r="Q351" s="78"/>
    </row>
    <row r="352" spans="1:17" ht="12.75">
      <c r="A352" s="38" t="s">
        <v>333</v>
      </c>
      <c r="B352" s="143"/>
      <c r="C352" s="197"/>
      <c r="D352" s="215">
        <f>2568.52</f>
        <v>2568.52</v>
      </c>
      <c r="E352" s="215"/>
      <c r="F352" s="134">
        <f t="shared" si="97"/>
        <v>2568.52</v>
      </c>
      <c r="G352" s="263">
        <f>22697.25</f>
        <v>22697.25</v>
      </c>
      <c r="H352" s="308"/>
      <c r="I352" s="244">
        <f t="shared" si="98"/>
        <v>25265.77</v>
      </c>
      <c r="J352" s="86"/>
      <c r="K352" s="7"/>
      <c r="L352" s="72"/>
      <c r="M352" s="30"/>
      <c r="N352" s="7"/>
      <c r="O352" s="23"/>
      <c r="P352" s="80"/>
      <c r="Q352" s="78"/>
    </row>
    <row r="353" spans="1:17" ht="12.75">
      <c r="A353" s="38" t="s">
        <v>311</v>
      </c>
      <c r="B353" s="143"/>
      <c r="C353" s="197"/>
      <c r="D353" s="215">
        <f>18961.22</f>
        <v>18961.22</v>
      </c>
      <c r="E353" s="215"/>
      <c r="F353" s="134">
        <f t="shared" si="97"/>
        <v>18961.22</v>
      </c>
      <c r="G353" s="263"/>
      <c r="H353" s="308"/>
      <c r="I353" s="244">
        <f t="shared" si="98"/>
        <v>18961.22</v>
      </c>
      <c r="J353" s="86"/>
      <c r="K353" s="7"/>
      <c r="L353" s="72"/>
      <c r="M353" s="30"/>
      <c r="N353" s="7"/>
      <c r="O353" s="23"/>
      <c r="P353" s="80"/>
      <c r="Q353" s="78"/>
    </row>
    <row r="354" spans="1:17" ht="12.75">
      <c r="A354" s="38" t="s">
        <v>353</v>
      </c>
      <c r="B354" s="143">
        <v>91628</v>
      </c>
      <c r="C354" s="197"/>
      <c r="D354" s="215">
        <f>183880</f>
        <v>183880</v>
      </c>
      <c r="E354" s="215"/>
      <c r="F354" s="134">
        <f t="shared" si="97"/>
        <v>183880</v>
      </c>
      <c r="G354" s="263"/>
      <c r="H354" s="308"/>
      <c r="I354" s="244">
        <f t="shared" si="98"/>
        <v>183880</v>
      </c>
      <c r="J354" s="86"/>
      <c r="K354" s="7"/>
      <c r="L354" s="72"/>
      <c r="M354" s="30"/>
      <c r="N354" s="7"/>
      <c r="O354" s="23"/>
      <c r="P354" s="80"/>
      <c r="Q354" s="78"/>
    </row>
    <row r="355" spans="1:17" ht="12.75">
      <c r="A355" s="38" t="s">
        <v>348</v>
      </c>
      <c r="B355" s="143">
        <v>91628</v>
      </c>
      <c r="C355" s="197"/>
      <c r="D355" s="215"/>
      <c r="E355" s="215"/>
      <c r="F355" s="134">
        <f t="shared" si="97"/>
        <v>0</v>
      </c>
      <c r="G355" s="263">
        <f>8953.48</f>
        <v>8953.48</v>
      </c>
      <c r="H355" s="308"/>
      <c r="I355" s="244">
        <f t="shared" si="98"/>
        <v>8953.48</v>
      </c>
      <c r="J355" s="86"/>
      <c r="K355" s="7"/>
      <c r="L355" s="72"/>
      <c r="M355" s="30"/>
      <c r="N355" s="7"/>
      <c r="O355" s="23"/>
      <c r="P355" s="80"/>
      <c r="Q355" s="78"/>
    </row>
    <row r="356" spans="1:17" ht="12.75" hidden="1">
      <c r="A356" s="38" t="s">
        <v>202</v>
      </c>
      <c r="B356" s="97"/>
      <c r="C356" s="197"/>
      <c r="D356" s="215"/>
      <c r="E356" s="215"/>
      <c r="F356" s="134">
        <f t="shared" si="97"/>
        <v>0</v>
      </c>
      <c r="G356" s="263"/>
      <c r="H356" s="308"/>
      <c r="I356" s="244">
        <f t="shared" si="98"/>
        <v>0</v>
      </c>
      <c r="J356" s="86"/>
      <c r="K356" s="7"/>
      <c r="L356" s="72"/>
      <c r="M356" s="30"/>
      <c r="N356" s="7"/>
      <c r="O356" s="23"/>
      <c r="P356" s="80"/>
      <c r="Q356" s="78"/>
    </row>
    <row r="357" spans="1:17" ht="12.75">
      <c r="A357" s="38" t="s">
        <v>169</v>
      </c>
      <c r="B357" s="97"/>
      <c r="C357" s="197">
        <f>SUM(C358:C369)</f>
        <v>286229</v>
      </c>
      <c r="D357" s="146">
        <f>SUM(D358:D369)</f>
        <v>708676.92</v>
      </c>
      <c r="E357" s="146">
        <f aca="true" t="shared" si="99" ref="E357:Q357">SUM(E358:E369)</f>
        <v>0</v>
      </c>
      <c r="F357" s="134">
        <f t="shared" si="99"/>
        <v>994905.92</v>
      </c>
      <c r="G357" s="263">
        <f t="shared" si="99"/>
        <v>200112.72999999998</v>
      </c>
      <c r="H357" s="308">
        <f t="shared" si="99"/>
        <v>-797.7899999999936</v>
      </c>
      <c r="I357" s="244">
        <f t="shared" si="99"/>
        <v>1194220.8599999999</v>
      </c>
      <c r="J357" s="134">
        <f t="shared" si="99"/>
        <v>0</v>
      </c>
      <c r="K357" s="113">
        <f t="shared" si="99"/>
        <v>0</v>
      </c>
      <c r="L357" s="134">
        <f t="shared" si="99"/>
        <v>0</v>
      </c>
      <c r="M357" s="133">
        <f t="shared" si="99"/>
        <v>0</v>
      </c>
      <c r="N357" s="133">
        <f t="shared" si="99"/>
        <v>0</v>
      </c>
      <c r="O357" s="133">
        <f t="shared" si="99"/>
        <v>0</v>
      </c>
      <c r="P357" s="133">
        <f t="shared" si="99"/>
        <v>0</v>
      </c>
      <c r="Q357" s="197">
        <f t="shared" si="99"/>
        <v>0</v>
      </c>
    </row>
    <row r="358" spans="1:17" ht="12.75">
      <c r="A358" s="34" t="s">
        <v>220</v>
      </c>
      <c r="B358" s="97"/>
      <c r="C358" s="202">
        <v>1000</v>
      </c>
      <c r="D358" s="215"/>
      <c r="E358" s="146"/>
      <c r="F358" s="134">
        <f>C358+D358+E358</f>
        <v>1000</v>
      </c>
      <c r="G358" s="263"/>
      <c r="H358" s="308"/>
      <c r="I358" s="244">
        <f aca="true" t="shared" si="100" ref="I358:I369">F358+G358+H358</f>
        <v>1000</v>
      </c>
      <c r="J358" s="86"/>
      <c r="K358" s="7"/>
      <c r="L358" s="72"/>
      <c r="M358" s="30"/>
      <c r="N358" s="7"/>
      <c r="O358" s="23"/>
      <c r="P358" s="80"/>
      <c r="Q358" s="78"/>
    </row>
    <row r="359" spans="1:17" ht="12.75">
      <c r="A359" s="34" t="s">
        <v>177</v>
      </c>
      <c r="B359" s="97"/>
      <c r="C359" s="202"/>
      <c r="D359" s="215">
        <f>2866+68524.41+3958.35</f>
        <v>75348.76000000001</v>
      </c>
      <c r="E359" s="146"/>
      <c r="F359" s="134">
        <f>C359+D359+E359</f>
        <v>75348.76000000001</v>
      </c>
      <c r="G359" s="263">
        <f>9198.7</f>
        <v>9198.7</v>
      </c>
      <c r="H359" s="308"/>
      <c r="I359" s="244">
        <f t="shared" si="100"/>
        <v>84547.46</v>
      </c>
      <c r="J359" s="86"/>
      <c r="K359" s="7"/>
      <c r="L359" s="72"/>
      <c r="M359" s="30"/>
      <c r="N359" s="7"/>
      <c r="O359" s="23"/>
      <c r="P359" s="80"/>
      <c r="Q359" s="78"/>
    </row>
    <row r="360" spans="1:17" ht="12.75">
      <c r="A360" s="34" t="s">
        <v>272</v>
      </c>
      <c r="B360" s="97"/>
      <c r="C360" s="197"/>
      <c r="D360" s="215">
        <f>420+940.71+1399.29</f>
        <v>2760</v>
      </c>
      <c r="E360" s="146"/>
      <c r="F360" s="134">
        <f t="shared" si="97"/>
        <v>2760</v>
      </c>
      <c r="G360" s="263"/>
      <c r="H360" s="308"/>
      <c r="I360" s="244">
        <f t="shared" si="100"/>
        <v>2760</v>
      </c>
      <c r="J360" s="86"/>
      <c r="K360" s="7"/>
      <c r="L360" s="72"/>
      <c r="M360" s="30"/>
      <c r="N360" s="7"/>
      <c r="O360" s="23"/>
      <c r="P360" s="80"/>
      <c r="Q360" s="78"/>
    </row>
    <row r="361" spans="1:17" ht="12.75">
      <c r="A361" s="34" t="s">
        <v>232</v>
      </c>
      <c r="B361" s="97"/>
      <c r="C361" s="197">
        <v>119349</v>
      </c>
      <c r="D361" s="215">
        <f>100000+70380.77</f>
        <v>170380.77000000002</v>
      </c>
      <c r="E361" s="146"/>
      <c r="F361" s="134">
        <f t="shared" si="97"/>
        <v>289729.77</v>
      </c>
      <c r="G361" s="263">
        <f>77371.62+20000</f>
        <v>97371.62</v>
      </c>
      <c r="H361" s="308"/>
      <c r="I361" s="244">
        <f t="shared" si="100"/>
        <v>387101.39</v>
      </c>
      <c r="J361" s="86"/>
      <c r="K361" s="7"/>
      <c r="L361" s="72"/>
      <c r="M361" s="30"/>
      <c r="N361" s="7"/>
      <c r="O361" s="23"/>
      <c r="P361" s="80"/>
      <c r="Q361" s="78"/>
    </row>
    <row r="362" spans="1:19" ht="12.75">
      <c r="A362" s="34" t="s">
        <v>176</v>
      </c>
      <c r="B362" s="97"/>
      <c r="C362" s="197">
        <v>82319</v>
      </c>
      <c r="D362" s="215">
        <f>-70645+813.97+1332.17+1911.58+54.45+1372.24+1188.6+1094.57+4006.77+4204.29+835.25+44.41+352.59</f>
        <v>-53434.11000000001</v>
      </c>
      <c r="E362" s="146"/>
      <c r="F362" s="134">
        <f t="shared" si="97"/>
        <v>28884.889999999992</v>
      </c>
      <c r="G362" s="263">
        <f>2494.52+171.34+43.56+150.04+7114.8+69.39+5410.03+4.84+3956+7.68+2782.77+1222.9+14650+5025.73+150.31+1666</f>
        <v>44919.91</v>
      </c>
      <c r="H362" s="308">
        <f>812.19+37542.28</f>
        <v>38354.47</v>
      </c>
      <c r="I362" s="244">
        <f t="shared" si="100"/>
        <v>112159.26999999999</v>
      </c>
      <c r="J362" s="86"/>
      <c r="K362" s="7"/>
      <c r="L362" s="72"/>
      <c r="M362" s="30"/>
      <c r="N362" s="7"/>
      <c r="O362" s="23"/>
      <c r="P362" s="80"/>
      <c r="Q362" s="78"/>
      <c r="S362" s="136"/>
    </row>
    <row r="363" spans="1:17" ht="12.75">
      <c r="A363" s="34" t="s">
        <v>179</v>
      </c>
      <c r="B363" s="97"/>
      <c r="C363" s="197">
        <v>22295</v>
      </c>
      <c r="D363" s="215">
        <f>62130.19+715.39+7090.75+4795.8</f>
        <v>74732.13</v>
      </c>
      <c r="E363" s="146"/>
      <c r="F363" s="134">
        <f t="shared" si="97"/>
        <v>97027.13</v>
      </c>
      <c r="G363" s="263">
        <f>6706.02+356.6+9839.19+900.67+6306.09+1149.61+60000</f>
        <v>85258.18</v>
      </c>
      <c r="H363" s="308"/>
      <c r="I363" s="244">
        <f t="shared" si="100"/>
        <v>182285.31</v>
      </c>
      <c r="J363" s="86"/>
      <c r="K363" s="7"/>
      <c r="L363" s="72"/>
      <c r="M363" s="30"/>
      <c r="N363" s="7"/>
      <c r="O363" s="23"/>
      <c r="P363" s="80"/>
      <c r="Q363" s="78"/>
    </row>
    <row r="364" spans="1:17" ht="12.75">
      <c r="A364" s="34" t="s">
        <v>184</v>
      </c>
      <c r="B364" s="97"/>
      <c r="C364" s="197">
        <v>40400</v>
      </c>
      <c r="D364" s="215">
        <f>-1609-5000-31665+22721.54+1928.95+2312.69-5</f>
        <v>-11315.819999999998</v>
      </c>
      <c r="E364" s="146"/>
      <c r="F364" s="134">
        <f t="shared" si="97"/>
        <v>29084.18</v>
      </c>
      <c r="G364" s="263">
        <f>2247.84+1511.46+1762.83+167.71+573.8+2887.23+22.99+1505.58-2000+801.18</f>
        <v>9480.62</v>
      </c>
      <c r="H364" s="308"/>
      <c r="I364" s="244">
        <f t="shared" si="100"/>
        <v>38564.8</v>
      </c>
      <c r="J364" s="86"/>
      <c r="K364" s="7"/>
      <c r="L364" s="72"/>
      <c r="M364" s="30"/>
      <c r="N364" s="7"/>
      <c r="O364" s="23"/>
      <c r="P364" s="80"/>
      <c r="Q364" s="78"/>
    </row>
    <row r="365" spans="1:17" ht="12.75">
      <c r="A365" s="34" t="s">
        <v>183</v>
      </c>
      <c r="B365" s="97"/>
      <c r="C365" s="197">
        <v>15000</v>
      </c>
      <c r="D365" s="146">
        <f>33882.33+1244.53+9.26+17.97+1775.78-0.27+18.51+8.71+1331.96</f>
        <v>38288.780000000006</v>
      </c>
      <c r="E365" s="146"/>
      <c r="F365" s="134">
        <f t="shared" si="97"/>
        <v>53288.780000000006</v>
      </c>
      <c r="G365" s="263">
        <f>10.89+8.71+8.71+578.26+37.4+31.25+10.69+9.63-8000</f>
        <v>-7304.46</v>
      </c>
      <c r="H365" s="308"/>
      <c r="I365" s="244">
        <f t="shared" si="100"/>
        <v>45984.32000000001</v>
      </c>
      <c r="J365" s="86"/>
      <c r="K365" s="7"/>
      <c r="L365" s="72"/>
      <c r="M365" s="30"/>
      <c r="N365" s="7"/>
      <c r="O365" s="23"/>
      <c r="P365" s="80"/>
      <c r="Q365" s="78"/>
    </row>
    <row r="366" spans="1:17" ht="12.75" hidden="1">
      <c r="A366" s="34" t="s">
        <v>211</v>
      </c>
      <c r="B366" s="97">
        <v>2088</v>
      </c>
      <c r="C366" s="197"/>
      <c r="D366" s="146"/>
      <c r="E366" s="146"/>
      <c r="F366" s="134">
        <f t="shared" si="97"/>
        <v>0</v>
      </c>
      <c r="G366" s="263"/>
      <c r="H366" s="308"/>
      <c r="I366" s="244">
        <f t="shared" si="100"/>
        <v>0</v>
      </c>
      <c r="J366" s="86"/>
      <c r="K366" s="7"/>
      <c r="L366" s="72"/>
      <c r="M366" s="30"/>
      <c r="N366" s="7"/>
      <c r="O366" s="23"/>
      <c r="P366" s="80"/>
      <c r="Q366" s="78"/>
    </row>
    <row r="367" spans="1:17" ht="12.75">
      <c r="A367" s="34" t="s">
        <v>285</v>
      </c>
      <c r="B367" s="97">
        <v>2088</v>
      </c>
      <c r="C367" s="197"/>
      <c r="D367" s="146">
        <f>138935.27</f>
        <v>138935.27</v>
      </c>
      <c r="E367" s="146"/>
      <c r="F367" s="134">
        <f t="shared" si="97"/>
        <v>138935.27</v>
      </c>
      <c r="G367" s="263">
        <f>2469.43-77371.62</f>
        <v>-74902.19</v>
      </c>
      <c r="H367" s="308"/>
      <c r="I367" s="244">
        <f t="shared" si="100"/>
        <v>64033.07999999999</v>
      </c>
      <c r="J367" s="86"/>
      <c r="K367" s="7"/>
      <c r="L367" s="72"/>
      <c r="M367" s="30"/>
      <c r="N367" s="7"/>
      <c r="O367" s="23"/>
      <c r="P367" s="80"/>
      <c r="Q367" s="78"/>
    </row>
    <row r="368" spans="1:17" ht="12.75">
      <c r="A368" s="38" t="s">
        <v>243</v>
      </c>
      <c r="B368" s="97">
        <v>2077</v>
      </c>
      <c r="C368" s="197">
        <v>5866</v>
      </c>
      <c r="D368" s="146">
        <f>1609+5000+31665+70645-2866+116514.28-813.97-799.3-1911.58-54.45-820.8-118.86-1094.57-3413.15-368.93-1399.29+131.48-4.44-558.29</f>
        <v>211341.13000000003</v>
      </c>
      <c r="E368" s="146"/>
      <c r="F368" s="134">
        <f t="shared" si="97"/>
        <v>217207.13000000003</v>
      </c>
      <c r="G368" s="263">
        <f>-1216.49-171.34-26.14-88.94-69.39-5409.18-4.84-3418.56-1672.99-812.92-315.59-13.79-15025.73-480.71</f>
        <v>-28726.61</v>
      </c>
      <c r="H368" s="308"/>
      <c r="I368" s="244">
        <f t="shared" si="100"/>
        <v>188480.52000000002</v>
      </c>
      <c r="J368" s="86"/>
      <c r="K368" s="7"/>
      <c r="L368" s="72"/>
      <c r="M368" s="30"/>
      <c r="N368" s="7"/>
      <c r="O368" s="23"/>
      <c r="P368" s="80"/>
      <c r="Q368" s="78"/>
    </row>
    <row r="369" spans="1:17" ht="12.75">
      <c r="A369" s="45" t="s">
        <v>286</v>
      </c>
      <c r="B369" s="100">
        <v>2099</v>
      </c>
      <c r="C369" s="292"/>
      <c r="D369" s="213">
        <f>68906.93-532.87-1244.53-9.26-1928.95-715.39-17.97-7090.75-551.44-3523.83-1775.78+25164.74+3126.66+19217.2-593.62-2312.69-466.32-4795.8+5241.84-2441.18-148.49-178-30000-358.53-1331.96</f>
        <v>61640.01</v>
      </c>
      <c r="E369" s="213"/>
      <c r="F369" s="229">
        <f t="shared" si="97"/>
        <v>61640.01</v>
      </c>
      <c r="G369" s="268">
        <f>30365.86+16108.22+67.54+2580.64+6945.11-6706.02-1278.03-356.6-10.89-8.71-8.71-2247.84-17.42-61.1-7114.8-578.26-9839.19-0.85-1511.46-2300.27-900.67-37.4-167.71-728.13+2900+34672.14+14458.98-6306.09-90.19-1109.78-409.98-258.21-2887.23-9.2-1149.61-1505.58-9.63+5932+382.5-1666-320.47</f>
        <v>64816.96000000001</v>
      </c>
      <c r="H369" s="312">
        <f>-996.96-37614.88-540.42</f>
        <v>-39152.259999999995</v>
      </c>
      <c r="I369" s="248">
        <f t="shared" si="100"/>
        <v>87304.71</v>
      </c>
      <c r="J369" s="86"/>
      <c r="K369" s="7"/>
      <c r="L369" s="72"/>
      <c r="M369" s="30"/>
      <c r="N369" s="7"/>
      <c r="O369" s="23"/>
      <c r="P369" s="80"/>
      <c r="Q369" s="78"/>
    </row>
    <row r="370" spans="1:17" ht="12.75">
      <c r="A370" s="31" t="s">
        <v>92</v>
      </c>
      <c r="B370" s="101"/>
      <c r="C370" s="196">
        <f aca="true" t="shared" si="101" ref="C370:Q370">C371+C395</f>
        <v>251309.76</v>
      </c>
      <c r="D370" s="129">
        <f t="shared" si="101"/>
        <v>1127845.5800000003</v>
      </c>
      <c r="E370" s="129">
        <f t="shared" si="101"/>
        <v>0</v>
      </c>
      <c r="F370" s="140">
        <f t="shared" si="101"/>
        <v>1379155.34</v>
      </c>
      <c r="G370" s="262">
        <f t="shared" si="101"/>
        <v>66243.52</v>
      </c>
      <c r="H370" s="307">
        <f t="shared" si="101"/>
        <v>0</v>
      </c>
      <c r="I370" s="243">
        <f t="shared" si="101"/>
        <v>1445398.8600000003</v>
      </c>
      <c r="J370" s="140">
        <f t="shared" si="101"/>
        <v>0</v>
      </c>
      <c r="K370" s="112">
        <f t="shared" si="101"/>
        <v>0</v>
      </c>
      <c r="L370" s="129">
        <f t="shared" si="101"/>
        <v>273629.44</v>
      </c>
      <c r="M370" s="111">
        <f t="shared" si="101"/>
        <v>0</v>
      </c>
      <c r="N370" s="111">
        <f t="shared" si="101"/>
        <v>0</v>
      </c>
      <c r="O370" s="111">
        <f t="shared" si="101"/>
        <v>273629.44</v>
      </c>
      <c r="P370" s="111">
        <f t="shared" si="101"/>
        <v>0</v>
      </c>
      <c r="Q370" s="196">
        <f t="shared" si="101"/>
        <v>273629.44</v>
      </c>
    </row>
    <row r="371" spans="1:17" ht="12.75">
      <c r="A371" s="40" t="s">
        <v>49</v>
      </c>
      <c r="B371" s="101"/>
      <c r="C371" s="200">
        <f aca="true" t="shared" si="102" ref="C371:Q371">SUM(C373:C394)</f>
        <v>251309.76</v>
      </c>
      <c r="D371" s="149">
        <f t="shared" si="102"/>
        <v>1127845.5800000003</v>
      </c>
      <c r="E371" s="149">
        <f t="shared" si="102"/>
        <v>0</v>
      </c>
      <c r="F371" s="175">
        <f t="shared" si="102"/>
        <v>1379155.34</v>
      </c>
      <c r="G371" s="265">
        <f t="shared" si="102"/>
        <v>66058.17</v>
      </c>
      <c r="H371" s="311">
        <f t="shared" si="102"/>
        <v>0</v>
      </c>
      <c r="I371" s="246">
        <f t="shared" si="102"/>
        <v>1445213.5100000002</v>
      </c>
      <c r="J371" s="175">
        <f t="shared" si="102"/>
        <v>0</v>
      </c>
      <c r="K371" s="119">
        <f t="shared" si="102"/>
        <v>0</v>
      </c>
      <c r="L371" s="149">
        <f t="shared" si="102"/>
        <v>273444.09</v>
      </c>
      <c r="M371" s="118">
        <f t="shared" si="102"/>
        <v>0</v>
      </c>
      <c r="N371" s="118">
        <f t="shared" si="102"/>
        <v>0</v>
      </c>
      <c r="O371" s="118">
        <f t="shared" si="102"/>
        <v>273444.09</v>
      </c>
      <c r="P371" s="118">
        <f t="shared" si="102"/>
        <v>0</v>
      </c>
      <c r="Q371" s="200">
        <f t="shared" si="102"/>
        <v>273444.09</v>
      </c>
    </row>
    <row r="372" spans="1:17" ht="12.75">
      <c r="A372" s="36" t="s">
        <v>26</v>
      </c>
      <c r="B372" s="97"/>
      <c r="C372" s="197"/>
      <c r="D372" s="146"/>
      <c r="E372" s="146"/>
      <c r="F372" s="134"/>
      <c r="G372" s="263"/>
      <c r="H372" s="308"/>
      <c r="I372" s="244"/>
      <c r="J372" s="86"/>
      <c r="K372" s="7"/>
      <c r="L372" s="72"/>
      <c r="M372" s="22"/>
      <c r="N372" s="7"/>
      <c r="O372" s="23"/>
      <c r="P372" s="80"/>
      <c r="Q372" s="78"/>
    </row>
    <row r="373" spans="1:17" ht="12.75">
      <c r="A373" s="261" t="s">
        <v>93</v>
      </c>
      <c r="B373" s="103"/>
      <c r="C373" s="197">
        <v>190000</v>
      </c>
      <c r="D373" s="146">
        <f>35000</f>
        <v>35000</v>
      </c>
      <c r="E373" s="146"/>
      <c r="F373" s="160">
        <f aca="true" t="shared" si="103" ref="F373:F394">C373+D373+E373</f>
        <v>225000</v>
      </c>
      <c r="G373" s="263">
        <f>15000</f>
        <v>15000</v>
      </c>
      <c r="H373" s="308"/>
      <c r="I373" s="244">
        <f>F373+G373+H373</f>
        <v>240000</v>
      </c>
      <c r="J373" s="86"/>
      <c r="K373" s="7"/>
      <c r="L373" s="72">
        <f>I373+J373+K373</f>
        <v>240000</v>
      </c>
      <c r="M373" s="22"/>
      <c r="N373" s="7"/>
      <c r="O373" s="23">
        <f>L373+M373+N373</f>
        <v>240000</v>
      </c>
      <c r="P373" s="80"/>
      <c r="Q373" s="78">
        <f>O373+P373</f>
        <v>240000</v>
      </c>
    </row>
    <row r="374" spans="1:17" ht="12.75" hidden="1">
      <c r="A374" s="98" t="s">
        <v>208</v>
      </c>
      <c r="B374" s="103"/>
      <c r="C374" s="197"/>
      <c r="D374" s="146"/>
      <c r="E374" s="146"/>
      <c r="F374" s="134">
        <f t="shared" si="103"/>
        <v>0</v>
      </c>
      <c r="G374" s="263"/>
      <c r="H374" s="308"/>
      <c r="I374" s="244">
        <f aca="true" t="shared" si="104" ref="I374:I394">F374+G374+H374</f>
        <v>0</v>
      </c>
      <c r="J374" s="86"/>
      <c r="K374" s="7"/>
      <c r="L374" s="72"/>
      <c r="M374" s="22"/>
      <c r="N374" s="7"/>
      <c r="O374" s="23"/>
      <c r="P374" s="80"/>
      <c r="Q374" s="78"/>
    </row>
    <row r="375" spans="1:17" ht="12.75" hidden="1">
      <c r="A375" s="34" t="s">
        <v>145</v>
      </c>
      <c r="B375" s="97"/>
      <c r="C375" s="197"/>
      <c r="D375" s="146"/>
      <c r="E375" s="146"/>
      <c r="F375" s="134">
        <f t="shared" si="103"/>
        <v>0</v>
      </c>
      <c r="G375" s="263"/>
      <c r="H375" s="308"/>
      <c r="I375" s="244">
        <f t="shared" si="104"/>
        <v>0</v>
      </c>
      <c r="J375" s="86"/>
      <c r="K375" s="7"/>
      <c r="L375" s="72">
        <f>I375+J375+K375</f>
        <v>0</v>
      </c>
      <c r="M375" s="22"/>
      <c r="N375" s="7"/>
      <c r="O375" s="23">
        <f>L375+M375+N375</f>
        <v>0</v>
      </c>
      <c r="P375" s="80"/>
      <c r="Q375" s="78">
        <f>O375+P375</f>
        <v>0</v>
      </c>
    </row>
    <row r="376" spans="1:17" ht="12.75">
      <c r="A376" s="34" t="s">
        <v>162</v>
      </c>
      <c r="B376" s="97"/>
      <c r="C376" s="197">
        <v>50000</v>
      </c>
      <c r="D376" s="146">
        <f>5000+1847.46</f>
        <v>6847.46</v>
      </c>
      <c r="E376" s="146"/>
      <c r="F376" s="134">
        <f t="shared" si="103"/>
        <v>56847.46</v>
      </c>
      <c r="G376" s="263">
        <f>17.58+20000</f>
        <v>20017.58</v>
      </c>
      <c r="H376" s="308"/>
      <c r="I376" s="244">
        <f t="shared" si="104"/>
        <v>76865.04000000001</v>
      </c>
      <c r="J376" s="86"/>
      <c r="K376" s="7"/>
      <c r="L376" s="72"/>
      <c r="M376" s="22"/>
      <c r="N376" s="7"/>
      <c r="O376" s="23"/>
      <c r="P376" s="80"/>
      <c r="Q376" s="78"/>
    </row>
    <row r="377" spans="1:17" ht="12.75">
      <c r="A377" s="34" t="s">
        <v>51</v>
      </c>
      <c r="B377" s="97"/>
      <c r="C377" s="197">
        <v>10809.76</v>
      </c>
      <c r="D377" s="146">
        <f>47.41</f>
        <v>47.41</v>
      </c>
      <c r="E377" s="146"/>
      <c r="F377" s="134">
        <f t="shared" si="103"/>
        <v>10857.17</v>
      </c>
      <c r="G377" s="263">
        <f>23.66-185.35-25</f>
        <v>-186.69</v>
      </c>
      <c r="H377" s="308"/>
      <c r="I377" s="244">
        <f t="shared" si="104"/>
        <v>10670.48</v>
      </c>
      <c r="J377" s="86"/>
      <c r="K377" s="7"/>
      <c r="L377" s="72">
        <f>I377+J377+K377</f>
        <v>10670.48</v>
      </c>
      <c r="M377" s="22"/>
      <c r="N377" s="7"/>
      <c r="O377" s="23">
        <f>L377+M377+N377</f>
        <v>10670.48</v>
      </c>
      <c r="P377" s="80"/>
      <c r="Q377" s="78">
        <f>O377+P377</f>
        <v>10670.48</v>
      </c>
    </row>
    <row r="378" spans="1:17" ht="12.75" hidden="1">
      <c r="A378" s="34" t="s">
        <v>65</v>
      </c>
      <c r="B378" s="97"/>
      <c r="C378" s="197"/>
      <c r="D378" s="146"/>
      <c r="E378" s="146"/>
      <c r="F378" s="134">
        <f t="shared" si="103"/>
        <v>0</v>
      </c>
      <c r="G378" s="263"/>
      <c r="H378" s="308"/>
      <c r="I378" s="244">
        <f t="shared" si="104"/>
        <v>0</v>
      </c>
      <c r="J378" s="86"/>
      <c r="K378" s="7"/>
      <c r="L378" s="72">
        <f>I378+J378+K378</f>
        <v>0</v>
      </c>
      <c r="M378" s="22"/>
      <c r="N378" s="7"/>
      <c r="O378" s="23">
        <f>L378+M378+N378</f>
        <v>0</v>
      </c>
      <c r="P378" s="80"/>
      <c r="Q378" s="78">
        <f>O378+P378</f>
        <v>0</v>
      </c>
    </row>
    <row r="379" spans="1:17" ht="12.75">
      <c r="A379" s="34" t="s">
        <v>268</v>
      </c>
      <c r="B379" s="97">
        <v>13013</v>
      </c>
      <c r="C379" s="197"/>
      <c r="D379" s="146"/>
      <c r="E379" s="146"/>
      <c r="F379" s="134">
        <f t="shared" si="103"/>
        <v>0</v>
      </c>
      <c r="G379" s="263">
        <f>1664.94+1323.92</f>
        <v>2988.86</v>
      </c>
      <c r="H379" s="308"/>
      <c r="I379" s="244">
        <f t="shared" si="104"/>
        <v>2988.86</v>
      </c>
      <c r="J379" s="86"/>
      <c r="K379" s="7"/>
      <c r="L379" s="72"/>
      <c r="M379" s="22"/>
      <c r="N379" s="7"/>
      <c r="O379" s="23"/>
      <c r="P379" s="80"/>
      <c r="Q379" s="78"/>
    </row>
    <row r="380" spans="1:17" ht="12.75" hidden="1">
      <c r="A380" s="98" t="s">
        <v>307</v>
      </c>
      <c r="B380" s="97">
        <v>2043</v>
      </c>
      <c r="C380" s="197"/>
      <c r="D380" s="146"/>
      <c r="E380" s="146"/>
      <c r="F380" s="134">
        <f t="shared" si="103"/>
        <v>0</v>
      </c>
      <c r="G380" s="263"/>
      <c r="H380" s="308"/>
      <c r="I380" s="244">
        <f t="shared" si="104"/>
        <v>0</v>
      </c>
      <c r="J380" s="86"/>
      <c r="K380" s="7"/>
      <c r="L380" s="72"/>
      <c r="M380" s="22"/>
      <c r="N380" s="7"/>
      <c r="O380" s="23"/>
      <c r="P380" s="80"/>
      <c r="Q380" s="78"/>
    </row>
    <row r="381" spans="1:17" ht="12.75">
      <c r="A381" s="98" t="s">
        <v>321</v>
      </c>
      <c r="B381" s="97">
        <v>2177</v>
      </c>
      <c r="C381" s="197"/>
      <c r="D381" s="146">
        <f>1910.11</f>
        <v>1910.11</v>
      </c>
      <c r="E381" s="146"/>
      <c r="F381" s="134">
        <f t="shared" si="103"/>
        <v>1910.11</v>
      </c>
      <c r="G381" s="263"/>
      <c r="H381" s="308"/>
      <c r="I381" s="244">
        <f t="shared" si="104"/>
        <v>1910.11</v>
      </c>
      <c r="J381" s="86"/>
      <c r="K381" s="7"/>
      <c r="L381" s="72"/>
      <c r="M381" s="22"/>
      <c r="N381" s="7"/>
      <c r="O381" s="23"/>
      <c r="P381" s="80"/>
      <c r="Q381" s="78"/>
    </row>
    <row r="382" spans="1:17" ht="12.75">
      <c r="A382" s="98" t="s">
        <v>338</v>
      </c>
      <c r="B382" s="97">
        <v>2177</v>
      </c>
      <c r="C382" s="197"/>
      <c r="D382" s="146"/>
      <c r="E382" s="146"/>
      <c r="F382" s="134">
        <f t="shared" si="103"/>
        <v>0</v>
      </c>
      <c r="G382" s="263">
        <f>3267.11</f>
        <v>3267.11</v>
      </c>
      <c r="H382" s="308"/>
      <c r="I382" s="244">
        <f t="shared" si="104"/>
        <v>3267.11</v>
      </c>
      <c r="J382" s="86"/>
      <c r="K382" s="7"/>
      <c r="L382" s="72"/>
      <c r="M382" s="22"/>
      <c r="N382" s="7"/>
      <c r="O382" s="23"/>
      <c r="P382" s="80"/>
      <c r="Q382" s="78"/>
    </row>
    <row r="383" spans="1:17" ht="12.75">
      <c r="A383" s="34" t="s">
        <v>305</v>
      </c>
      <c r="B383" s="97">
        <v>2050</v>
      </c>
      <c r="C383" s="197"/>
      <c r="D383" s="146">
        <f>3899.66</f>
        <v>3899.66</v>
      </c>
      <c r="E383" s="146"/>
      <c r="F383" s="134">
        <f t="shared" si="103"/>
        <v>3899.66</v>
      </c>
      <c r="G383" s="263"/>
      <c r="H383" s="308"/>
      <c r="I383" s="244">
        <f t="shared" si="104"/>
        <v>3899.66</v>
      </c>
      <c r="J383" s="86"/>
      <c r="K383" s="7"/>
      <c r="L383" s="72"/>
      <c r="M383" s="22"/>
      <c r="N383" s="7"/>
      <c r="O383" s="23"/>
      <c r="P383" s="80"/>
      <c r="Q383" s="78"/>
    </row>
    <row r="384" spans="1:17" ht="12.75">
      <c r="A384" s="34" t="s">
        <v>240</v>
      </c>
      <c r="B384" s="97">
        <v>2050</v>
      </c>
      <c r="C384" s="197"/>
      <c r="D384" s="146"/>
      <c r="E384" s="146"/>
      <c r="F384" s="134">
        <f t="shared" si="103"/>
        <v>0</v>
      </c>
      <c r="G384" s="263">
        <f>9217.43</f>
        <v>9217.43</v>
      </c>
      <c r="H384" s="308"/>
      <c r="I384" s="244">
        <f t="shared" si="104"/>
        <v>9217.43</v>
      </c>
      <c r="J384" s="86"/>
      <c r="K384" s="7"/>
      <c r="L384" s="72"/>
      <c r="M384" s="22"/>
      <c r="N384" s="7"/>
      <c r="O384" s="23"/>
      <c r="P384" s="80"/>
      <c r="Q384" s="78"/>
    </row>
    <row r="385" spans="1:17" ht="12.75">
      <c r="A385" s="34" t="s">
        <v>306</v>
      </c>
      <c r="B385" s="97">
        <v>2073</v>
      </c>
      <c r="C385" s="197"/>
      <c r="D385" s="146">
        <f>13080.16</f>
        <v>13080.16</v>
      </c>
      <c r="E385" s="146"/>
      <c r="F385" s="134">
        <f t="shared" si="103"/>
        <v>13080.16</v>
      </c>
      <c r="G385" s="263"/>
      <c r="H385" s="308"/>
      <c r="I385" s="244">
        <f t="shared" si="104"/>
        <v>13080.16</v>
      </c>
      <c r="J385" s="86"/>
      <c r="K385" s="7"/>
      <c r="L385" s="72"/>
      <c r="M385" s="22"/>
      <c r="N385" s="7"/>
      <c r="O385" s="23"/>
      <c r="P385" s="80"/>
      <c r="Q385" s="78"/>
    </row>
    <row r="386" spans="1:17" ht="12.75">
      <c r="A386" s="34" t="s">
        <v>323</v>
      </c>
      <c r="B386" s="97">
        <v>1230</v>
      </c>
      <c r="C386" s="197"/>
      <c r="D386" s="146">
        <f>76480</f>
        <v>76480</v>
      </c>
      <c r="E386" s="146"/>
      <c r="F386" s="134">
        <f t="shared" si="103"/>
        <v>76480</v>
      </c>
      <c r="G386" s="263"/>
      <c r="H386" s="308"/>
      <c r="I386" s="244">
        <f t="shared" si="104"/>
        <v>76480</v>
      </c>
      <c r="J386" s="86"/>
      <c r="K386" s="7"/>
      <c r="L386" s="72"/>
      <c r="M386" s="22"/>
      <c r="N386" s="7"/>
      <c r="O386" s="23"/>
      <c r="P386" s="80"/>
      <c r="Q386" s="78"/>
    </row>
    <row r="387" spans="1:17" ht="12.75">
      <c r="A387" s="34" t="s">
        <v>322</v>
      </c>
      <c r="B387" s="97">
        <v>2080</v>
      </c>
      <c r="C387" s="197"/>
      <c r="D387" s="146">
        <f>6437.87</f>
        <v>6437.87</v>
      </c>
      <c r="E387" s="146"/>
      <c r="F387" s="134">
        <f t="shared" si="103"/>
        <v>6437.87</v>
      </c>
      <c r="G387" s="263"/>
      <c r="H387" s="308"/>
      <c r="I387" s="244">
        <f t="shared" si="104"/>
        <v>6437.87</v>
      </c>
      <c r="J387" s="86"/>
      <c r="K387" s="7"/>
      <c r="L387" s="72"/>
      <c r="M387" s="22"/>
      <c r="N387" s="7"/>
      <c r="O387" s="23"/>
      <c r="P387" s="80"/>
      <c r="Q387" s="78"/>
    </row>
    <row r="388" spans="1:17" ht="12.75">
      <c r="A388" s="43" t="s">
        <v>341</v>
      </c>
      <c r="B388" s="97">
        <v>1233</v>
      </c>
      <c r="C388" s="197"/>
      <c r="D388" s="146"/>
      <c r="E388" s="146"/>
      <c r="F388" s="134">
        <f t="shared" si="103"/>
        <v>0</v>
      </c>
      <c r="G388" s="263">
        <f>15728.88</f>
        <v>15728.88</v>
      </c>
      <c r="H388" s="308"/>
      <c r="I388" s="244">
        <f t="shared" si="104"/>
        <v>15728.88</v>
      </c>
      <c r="J388" s="86"/>
      <c r="K388" s="7"/>
      <c r="L388" s="72"/>
      <c r="M388" s="22"/>
      <c r="N388" s="7"/>
      <c r="O388" s="23"/>
      <c r="P388" s="80"/>
      <c r="Q388" s="78"/>
    </row>
    <row r="389" spans="1:17" ht="12.75">
      <c r="A389" s="43" t="s">
        <v>203</v>
      </c>
      <c r="B389" s="97">
        <v>13305</v>
      </c>
      <c r="C389" s="197"/>
      <c r="D389" s="146">
        <f>960818.68</f>
        <v>960818.68</v>
      </c>
      <c r="E389" s="146"/>
      <c r="F389" s="134">
        <f t="shared" si="103"/>
        <v>960818.68</v>
      </c>
      <c r="G389" s="263"/>
      <c r="H389" s="308"/>
      <c r="I389" s="244">
        <f t="shared" si="104"/>
        <v>960818.68</v>
      </c>
      <c r="J389" s="86"/>
      <c r="K389" s="7"/>
      <c r="L389" s="72"/>
      <c r="M389" s="22"/>
      <c r="N389" s="7"/>
      <c r="O389" s="23"/>
      <c r="P389" s="80"/>
      <c r="Q389" s="78"/>
    </row>
    <row r="390" spans="1:17" ht="12.75">
      <c r="A390" s="34" t="s">
        <v>94</v>
      </c>
      <c r="B390" s="97">
        <v>13307</v>
      </c>
      <c r="C390" s="197"/>
      <c r="D390" s="146">
        <f>7000</f>
        <v>7000</v>
      </c>
      <c r="E390" s="146"/>
      <c r="F390" s="134">
        <f t="shared" si="103"/>
        <v>7000</v>
      </c>
      <c r="G390" s="263"/>
      <c r="H390" s="308"/>
      <c r="I390" s="244">
        <f t="shared" si="104"/>
        <v>7000</v>
      </c>
      <c r="J390" s="86"/>
      <c r="K390" s="7"/>
      <c r="L390" s="72">
        <f>I390+J390+K390</f>
        <v>7000</v>
      </c>
      <c r="M390" s="22"/>
      <c r="N390" s="7"/>
      <c r="O390" s="23">
        <f>L390+M390+N390</f>
        <v>7000</v>
      </c>
      <c r="P390" s="80"/>
      <c r="Q390" s="78">
        <f>O390+P390</f>
        <v>7000</v>
      </c>
    </row>
    <row r="391" spans="1:17" ht="12.75" hidden="1">
      <c r="A391" s="34" t="s">
        <v>144</v>
      </c>
      <c r="B391" s="97">
        <v>14032</v>
      </c>
      <c r="C391" s="197"/>
      <c r="D391" s="146"/>
      <c r="E391" s="146"/>
      <c r="F391" s="134">
        <f t="shared" si="103"/>
        <v>0</v>
      </c>
      <c r="G391" s="263"/>
      <c r="H391" s="308"/>
      <c r="I391" s="244">
        <f t="shared" si="104"/>
        <v>0</v>
      </c>
      <c r="J391" s="86"/>
      <c r="K391" s="7"/>
      <c r="L391" s="72">
        <f>I391+J391+K391</f>
        <v>0</v>
      </c>
      <c r="M391" s="22"/>
      <c r="N391" s="7"/>
      <c r="O391" s="23">
        <f>L391+M391+N391</f>
        <v>0</v>
      </c>
      <c r="P391" s="80"/>
      <c r="Q391" s="78">
        <f>O391+P391</f>
        <v>0</v>
      </c>
    </row>
    <row r="392" spans="1:17" ht="12.75" hidden="1">
      <c r="A392" s="43" t="s">
        <v>151</v>
      </c>
      <c r="B392" s="97">
        <v>4359</v>
      </c>
      <c r="C392" s="197"/>
      <c r="D392" s="146"/>
      <c r="E392" s="146"/>
      <c r="F392" s="134">
        <f t="shared" si="103"/>
        <v>0</v>
      </c>
      <c r="G392" s="263"/>
      <c r="H392" s="308"/>
      <c r="I392" s="244">
        <f t="shared" si="104"/>
        <v>0</v>
      </c>
      <c r="J392" s="86"/>
      <c r="K392" s="7"/>
      <c r="L392" s="72">
        <f>I392+J392+K392</f>
        <v>0</v>
      </c>
      <c r="M392" s="22"/>
      <c r="N392" s="7"/>
      <c r="O392" s="23">
        <f>L392+M392+N392</f>
        <v>0</v>
      </c>
      <c r="P392" s="80"/>
      <c r="Q392" s="78">
        <f>O392+P392</f>
        <v>0</v>
      </c>
    </row>
    <row r="393" spans="1:17" ht="12.75">
      <c r="A393" s="98" t="s">
        <v>331</v>
      </c>
      <c r="B393" s="97"/>
      <c r="C393" s="197"/>
      <c r="D393" s="146">
        <f>1075.62</f>
        <v>1075.62</v>
      </c>
      <c r="E393" s="146"/>
      <c r="F393" s="134">
        <f t="shared" si="103"/>
        <v>1075.62</v>
      </c>
      <c r="G393" s="263"/>
      <c r="H393" s="308"/>
      <c r="I393" s="244">
        <f t="shared" si="104"/>
        <v>1075.62</v>
      </c>
      <c r="J393" s="86"/>
      <c r="K393" s="7"/>
      <c r="L393" s="72"/>
      <c r="M393" s="22"/>
      <c r="N393" s="7"/>
      <c r="O393" s="23"/>
      <c r="P393" s="80"/>
      <c r="Q393" s="78"/>
    </row>
    <row r="394" spans="1:17" ht="12.75">
      <c r="A394" s="34" t="s">
        <v>77</v>
      </c>
      <c r="B394" s="97"/>
      <c r="C394" s="197">
        <v>500</v>
      </c>
      <c r="D394" s="146">
        <f>6743.14+1048.53+269.31+1018.04+3110.79+1558.8+1500</f>
        <v>15248.61</v>
      </c>
      <c r="E394" s="146"/>
      <c r="F394" s="134">
        <f t="shared" si="103"/>
        <v>15748.61</v>
      </c>
      <c r="G394" s="263">
        <f>25</f>
        <v>25</v>
      </c>
      <c r="H394" s="308"/>
      <c r="I394" s="244">
        <f t="shared" si="104"/>
        <v>15773.61</v>
      </c>
      <c r="J394" s="86"/>
      <c r="K394" s="7"/>
      <c r="L394" s="72">
        <f>I394+J394+K394</f>
        <v>15773.61</v>
      </c>
      <c r="M394" s="22"/>
      <c r="N394" s="7"/>
      <c r="O394" s="23">
        <f>L394+M394+N394</f>
        <v>15773.61</v>
      </c>
      <c r="P394" s="80"/>
      <c r="Q394" s="78">
        <f>O394+P394</f>
        <v>15773.61</v>
      </c>
    </row>
    <row r="395" spans="1:17" ht="12.75">
      <c r="A395" s="40" t="s">
        <v>54</v>
      </c>
      <c r="B395" s="101"/>
      <c r="C395" s="200">
        <f>SUM(C397:C399)</f>
        <v>0</v>
      </c>
      <c r="D395" s="149">
        <f aca="true" t="shared" si="105" ref="D395:Q395">SUM(D397:D399)</f>
        <v>0</v>
      </c>
      <c r="E395" s="149">
        <f t="shared" si="105"/>
        <v>0</v>
      </c>
      <c r="F395" s="175">
        <f t="shared" si="105"/>
        <v>0</v>
      </c>
      <c r="G395" s="265">
        <f t="shared" si="105"/>
        <v>185.35</v>
      </c>
      <c r="H395" s="311">
        <f t="shared" si="105"/>
        <v>0</v>
      </c>
      <c r="I395" s="246">
        <f t="shared" si="105"/>
        <v>185.35</v>
      </c>
      <c r="J395" s="175">
        <f t="shared" si="105"/>
        <v>0</v>
      </c>
      <c r="K395" s="119">
        <f t="shared" si="105"/>
        <v>0</v>
      </c>
      <c r="L395" s="149">
        <f t="shared" si="105"/>
        <v>185.35</v>
      </c>
      <c r="M395" s="118">
        <f t="shared" si="105"/>
        <v>0</v>
      </c>
      <c r="N395" s="118">
        <f t="shared" si="105"/>
        <v>0</v>
      </c>
      <c r="O395" s="118">
        <f t="shared" si="105"/>
        <v>185.35</v>
      </c>
      <c r="P395" s="118">
        <f t="shared" si="105"/>
        <v>0</v>
      </c>
      <c r="Q395" s="200">
        <f t="shared" si="105"/>
        <v>185.35</v>
      </c>
    </row>
    <row r="396" spans="1:17" ht="12.75">
      <c r="A396" s="36" t="s">
        <v>26</v>
      </c>
      <c r="B396" s="97"/>
      <c r="C396" s="197"/>
      <c r="D396" s="146"/>
      <c r="E396" s="146"/>
      <c r="F396" s="134"/>
      <c r="G396" s="263"/>
      <c r="H396" s="308"/>
      <c r="I396" s="244"/>
      <c r="J396" s="86"/>
      <c r="K396" s="7"/>
      <c r="L396" s="72"/>
      <c r="M396" s="22"/>
      <c r="N396" s="7"/>
      <c r="O396" s="23"/>
      <c r="P396" s="80"/>
      <c r="Q396" s="78"/>
    </row>
    <row r="397" spans="1:17" ht="12.75" hidden="1">
      <c r="A397" s="34" t="s">
        <v>85</v>
      </c>
      <c r="B397" s="97"/>
      <c r="C397" s="197"/>
      <c r="D397" s="146"/>
      <c r="E397" s="146"/>
      <c r="F397" s="134">
        <f>C397+D397+E397</f>
        <v>0</v>
      </c>
      <c r="G397" s="263"/>
      <c r="H397" s="308"/>
      <c r="I397" s="244">
        <f>F397+G397+H397</f>
        <v>0</v>
      </c>
      <c r="J397" s="86"/>
      <c r="K397" s="7"/>
      <c r="L397" s="72">
        <f>I397+J397+K397</f>
        <v>0</v>
      </c>
      <c r="M397" s="22"/>
      <c r="N397" s="7"/>
      <c r="O397" s="23">
        <f>L397+M397+N397</f>
        <v>0</v>
      </c>
      <c r="P397" s="80"/>
      <c r="Q397" s="78">
        <f>O397+P397</f>
        <v>0</v>
      </c>
    </row>
    <row r="398" spans="1:17" ht="12.75">
      <c r="A398" s="37" t="s">
        <v>55</v>
      </c>
      <c r="B398" s="100"/>
      <c r="C398" s="292"/>
      <c r="D398" s="213"/>
      <c r="E398" s="213"/>
      <c r="F398" s="229">
        <f>C398+D398+E398</f>
        <v>0</v>
      </c>
      <c r="G398" s="268">
        <f>185.35</f>
        <v>185.35</v>
      </c>
      <c r="H398" s="312"/>
      <c r="I398" s="248">
        <f>F398+G398+H398</f>
        <v>185.35</v>
      </c>
      <c r="J398" s="86"/>
      <c r="K398" s="7"/>
      <c r="L398" s="72">
        <f>I398+J398+K398</f>
        <v>185.35</v>
      </c>
      <c r="M398" s="22"/>
      <c r="N398" s="7"/>
      <c r="O398" s="23">
        <f>L398+M398+N398</f>
        <v>185.35</v>
      </c>
      <c r="P398" s="80"/>
      <c r="Q398" s="78">
        <f>O398+P398</f>
        <v>185.35</v>
      </c>
    </row>
    <row r="399" spans="1:17" ht="12.75" hidden="1">
      <c r="A399" s="37" t="s">
        <v>77</v>
      </c>
      <c r="B399" s="100"/>
      <c r="C399" s="292"/>
      <c r="D399" s="213"/>
      <c r="E399" s="213"/>
      <c r="F399" s="229">
        <f>C399+D399+E399</f>
        <v>0</v>
      </c>
      <c r="G399" s="268"/>
      <c r="H399" s="312"/>
      <c r="I399" s="248">
        <f>F399+G399+H399</f>
        <v>0</v>
      </c>
      <c r="J399" s="86"/>
      <c r="K399" s="7"/>
      <c r="L399" s="72">
        <f>I399+J399+K399</f>
        <v>0</v>
      </c>
      <c r="M399" s="22"/>
      <c r="N399" s="7"/>
      <c r="O399" s="23">
        <f>L399+M399+N399</f>
        <v>0</v>
      </c>
      <c r="P399" s="80"/>
      <c r="Q399" s="78">
        <f>O399+P399</f>
        <v>0</v>
      </c>
    </row>
    <row r="400" spans="1:17" ht="12.75">
      <c r="A400" s="35" t="s">
        <v>180</v>
      </c>
      <c r="B400" s="101"/>
      <c r="C400" s="196">
        <f>C401+C415</f>
        <v>10486.07</v>
      </c>
      <c r="D400" s="129">
        <f aca="true" t="shared" si="106" ref="D400:Q400">D401+D415</f>
        <v>18845.8</v>
      </c>
      <c r="E400" s="129">
        <f t="shared" si="106"/>
        <v>0</v>
      </c>
      <c r="F400" s="140">
        <f t="shared" si="106"/>
        <v>29331.87</v>
      </c>
      <c r="G400" s="262">
        <f t="shared" si="106"/>
        <v>4007.84</v>
      </c>
      <c r="H400" s="307">
        <f t="shared" si="106"/>
        <v>-2709.58</v>
      </c>
      <c r="I400" s="243">
        <f t="shared" si="106"/>
        <v>30630.13</v>
      </c>
      <c r="J400" s="140">
        <f t="shared" si="106"/>
        <v>0</v>
      </c>
      <c r="K400" s="112">
        <f t="shared" si="106"/>
        <v>0</v>
      </c>
      <c r="L400" s="129">
        <f t="shared" si="106"/>
        <v>25006.5</v>
      </c>
      <c r="M400" s="111">
        <f t="shared" si="106"/>
        <v>0</v>
      </c>
      <c r="N400" s="111">
        <f t="shared" si="106"/>
        <v>0</v>
      </c>
      <c r="O400" s="111">
        <f t="shared" si="106"/>
        <v>25006.5</v>
      </c>
      <c r="P400" s="111">
        <f t="shared" si="106"/>
        <v>0</v>
      </c>
      <c r="Q400" s="196">
        <f t="shared" si="106"/>
        <v>25006.5</v>
      </c>
    </row>
    <row r="401" spans="1:17" ht="12.75">
      <c r="A401" s="40" t="s">
        <v>49</v>
      </c>
      <c r="B401" s="101"/>
      <c r="C401" s="200">
        <f>SUM(C403:C414)</f>
        <v>8486.07</v>
      </c>
      <c r="D401" s="149">
        <f aca="true" t="shared" si="107" ref="D401:Q401">SUM(D403:D414)</f>
        <v>18845.8</v>
      </c>
      <c r="E401" s="149">
        <f t="shared" si="107"/>
        <v>0</v>
      </c>
      <c r="F401" s="175">
        <f t="shared" si="107"/>
        <v>27331.87</v>
      </c>
      <c r="G401" s="265">
        <f t="shared" si="107"/>
        <v>4007.84</v>
      </c>
      <c r="H401" s="311">
        <f t="shared" si="107"/>
        <v>-709.58</v>
      </c>
      <c r="I401" s="246">
        <f t="shared" si="107"/>
        <v>30630.13</v>
      </c>
      <c r="J401" s="175">
        <f t="shared" si="107"/>
        <v>0</v>
      </c>
      <c r="K401" s="119">
        <f t="shared" si="107"/>
        <v>0</v>
      </c>
      <c r="L401" s="149">
        <f t="shared" si="107"/>
        <v>25006.5</v>
      </c>
      <c r="M401" s="118">
        <f t="shared" si="107"/>
        <v>0</v>
      </c>
      <c r="N401" s="118">
        <f t="shared" si="107"/>
        <v>0</v>
      </c>
      <c r="O401" s="118">
        <f t="shared" si="107"/>
        <v>25006.5</v>
      </c>
      <c r="P401" s="118">
        <f t="shared" si="107"/>
        <v>0</v>
      </c>
      <c r="Q401" s="200">
        <f t="shared" si="107"/>
        <v>25006.5</v>
      </c>
    </row>
    <row r="402" spans="1:17" ht="12.75">
      <c r="A402" s="36" t="s">
        <v>26</v>
      </c>
      <c r="B402" s="97"/>
      <c r="C402" s="197"/>
      <c r="D402" s="146"/>
      <c r="E402" s="146"/>
      <c r="F402" s="140"/>
      <c r="G402" s="263"/>
      <c r="H402" s="308"/>
      <c r="I402" s="243"/>
      <c r="J402" s="86"/>
      <c r="K402" s="7"/>
      <c r="L402" s="68"/>
      <c r="M402" s="22"/>
      <c r="N402" s="7"/>
      <c r="O402" s="21"/>
      <c r="P402" s="80"/>
      <c r="Q402" s="78"/>
    </row>
    <row r="403" spans="1:17" ht="12.75">
      <c r="A403" s="34" t="s">
        <v>51</v>
      </c>
      <c r="B403" s="97"/>
      <c r="C403" s="197">
        <v>8486.07</v>
      </c>
      <c r="D403" s="146">
        <f>3643+9200</f>
        <v>12843</v>
      </c>
      <c r="E403" s="146"/>
      <c r="F403" s="134">
        <f aca="true" t="shared" si="108" ref="F403:F414">C403+D403+E403</f>
        <v>21329.07</v>
      </c>
      <c r="G403" s="263">
        <f>241.62+484.9+819.31</f>
        <v>1545.83</v>
      </c>
      <c r="H403" s="308">
        <f>-1250</f>
        <v>-1250</v>
      </c>
      <c r="I403" s="244">
        <f>F403+G403+H403</f>
        <v>21624.9</v>
      </c>
      <c r="J403" s="86"/>
      <c r="K403" s="7"/>
      <c r="L403" s="72">
        <f>I403+J403+K403</f>
        <v>21624.9</v>
      </c>
      <c r="M403" s="22"/>
      <c r="N403" s="7"/>
      <c r="O403" s="23">
        <f>L403+M403+N403</f>
        <v>21624.9</v>
      </c>
      <c r="P403" s="80"/>
      <c r="Q403" s="78">
        <f>O403+P403</f>
        <v>21624.9</v>
      </c>
    </row>
    <row r="404" spans="1:17" ht="12.75" hidden="1">
      <c r="A404" s="38" t="s">
        <v>205</v>
      </c>
      <c r="B404" s="97"/>
      <c r="C404" s="197"/>
      <c r="D404" s="146"/>
      <c r="E404" s="146"/>
      <c r="F404" s="134">
        <f t="shared" si="108"/>
        <v>0</v>
      </c>
      <c r="G404" s="263"/>
      <c r="H404" s="308"/>
      <c r="I404" s="244">
        <f aca="true" t="shared" si="109" ref="I404:I414">F404+G404+H404</f>
        <v>0</v>
      </c>
      <c r="J404" s="86"/>
      <c r="K404" s="7"/>
      <c r="L404" s="72">
        <f aca="true" t="shared" si="110" ref="L404:L409">I404+J404+K404</f>
        <v>0</v>
      </c>
      <c r="M404" s="22"/>
      <c r="N404" s="7"/>
      <c r="O404" s="23">
        <f aca="true" t="shared" si="111" ref="O404:O409">L404+M404+N404</f>
        <v>0</v>
      </c>
      <c r="P404" s="80"/>
      <c r="Q404" s="78">
        <f>O404+P404</f>
        <v>0</v>
      </c>
    </row>
    <row r="405" spans="1:17" ht="12.75" hidden="1">
      <c r="A405" s="38" t="s">
        <v>206</v>
      </c>
      <c r="B405" s="97"/>
      <c r="C405" s="197"/>
      <c r="D405" s="146"/>
      <c r="E405" s="146"/>
      <c r="F405" s="134">
        <f t="shared" si="108"/>
        <v>0</v>
      </c>
      <c r="G405" s="263"/>
      <c r="H405" s="308"/>
      <c r="I405" s="244">
        <f t="shared" si="109"/>
        <v>0</v>
      </c>
      <c r="J405" s="86"/>
      <c r="K405" s="7"/>
      <c r="L405" s="72"/>
      <c r="M405" s="22"/>
      <c r="N405" s="7"/>
      <c r="O405" s="23"/>
      <c r="P405" s="80"/>
      <c r="Q405" s="78"/>
    </row>
    <row r="406" spans="1:17" ht="12.75" hidden="1">
      <c r="A406" s="38" t="s">
        <v>209</v>
      </c>
      <c r="B406" s="97">
        <v>1400</v>
      </c>
      <c r="C406" s="197"/>
      <c r="D406" s="215"/>
      <c r="E406" s="146"/>
      <c r="F406" s="134">
        <f t="shared" si="108"/>
        <v>0</v>
      </c>
      <c r="G406" s="263"/>
      <c r="H406" s="308"/>
      <c r="I406" s="244">
        <f t="shared" si="109"/>
        <v>0</v>
      </c>
      <c r="J406" s="86"/>
      <c r="K406" s="7"/>
      <c r="L406" s="72"/>
      <c r="M406" s="22"/>
      <c r="N406" s="7"/>
      <c r="O406" s="23"/>
      <c r="P406" s="80"/>
      <c r="Q406" s="78"/>
    </row>
    <row r="407" spans="1:17" ht="12.75">
      <c r="A407" s="34" t="s">
        <v>77</v>
      </c>
      <c r="B407" s="97"/>
      <c r="C407" s="197"/>
      <c r="D407" s="216">
        <f>400+2441.18+241.62</f>
        <v>3082.7999999999997</v>
      </c>
      <c r="E407" s="146"/>
      <c r="F407" s="134">
        <f t="shared" si="108"/>
        <v>3082.7999999999997</v>
      </c>
      <c r="G407" s="263">
        <f>-241.62</f>
        <v>-241.62</v>
      </c>
      <c r="H407" s="308">
        <f>540.42</f>
        <v>540.42</v>
      </c>
      <c r="I407" s="244">
        <f t="shared" si="109"/>
        <v>3381.6</v>
      </c>
      <c r="J407" s="86"/>
      <c r="K407" s="7"/>
      <c r="L407" s="72">
        <f t="shared" si="110"/>
        <v>3381.6</v>
      </c>
      <c r="M407" s="22"/>
      <c r="N407" s="7"/>
      <c r="O407" s="23">
        <f t="shared" si="111"/>
        <v>3381.6</v>
      </c>
      <c r="P407" s="80"/>
      <c r="Q407" s="78">
        <f>O407+P407</f>
        <v>3381.6</v>
      </c>
    </row>
    <row r="408" spans="1:17" ht="12.75" hidden="1">
      <c r="A408" s="34" t="s">
        <v>65</v>
      </c>
      <c r="B408" s="97"/>
      <c r="C408" s="197"/>
      <c r="D408" s="146"/>
      <c r="E408" s="146"/>
      <c r="F408" s="134">
        <f t="shared" si="108"/>
        <v>0</v>
      </c>
      <c r="G408" s="263"/>
      <c r="H408" s="308"/>
      <c r="I408" s="244">
        <f t="shared" si="109"/>
        <v>0</v>
      </c>
      <c r="J408" s="239"/>
      <c r="K408" s="7"/>
      <c r="L408" s="72">
        <f t="shared" si="110"/>
        <v>0</v>
      </c>
      <c r="M408" s="22"/>
      <c r="N408" s="7"/>
      <c r="O408" s="23">
        <f t="shared" si="111"/>
        <v>0</v>
      </c>
      <c r="P408" s="80"/>
      <c r="Q408" s="78">
        <f>O408+P408</f>
        <v>0</v>
      </c>
    </row>
    <row r="409" spans="1:17" ht="12.75" hidden="1">
      <c r="A409" s="34" t="s">
        <v>158</v>
      </c>
      <c r="B409" s="97"/>
      <c r="C409" s="197"/>
      <c r="D409" s="146"/>
      <c r="E409" s="146"/>
      <c r="F409" s="134">
        <f t="shared" si="108"/>
        <v>0</v>
      </c>
      <c r="G409" s="263"/>
      <c r="H409" s="308"/>
      <c r="I409" s="244">
        <f t="shared" si="109"/>
        <v>0</v>
      </c>
      <c r="J409" s="239"/>
      <c r="K409" s="7"/>
      <c r="L409" s="72">
        <f t="shared" si="110"/>
        <v>0</v>
      </c>
      <c r="M409" s="22"/>
      <c r="N409" s="7"/>
      <c r="O409" s="23">
        <f t="shared" si="111"/>
        <v>0</v>
      </c>
      <c r="P409" s="80"/>
      <c r="Q409" s="78">
        <f>O409+P409</f>
        <v>0</v>
      </c>
    </row>
    <row r="410" spans="1:17" ht="12.75">
      <c r="A410" s="43" t="s">
        <v>347</v>
      </c>
      <c r="B410" s="97">
        <v>27009</v>
      </c>
      <c r="C410" s="197"/>
      <c r="D410" s="146"/>
      <c r="E410" s="146"/>
      <c r="F410" s="134">
        <f t="shared" si="108"/>
        <v>0</v>
      </c>
      <c r="G410" s="263">
        <f>1560</f>
        <v>1560</v>
      </c>
      <c r="H410" s="308"/>
      <c r="I410" s="244">
        <f t="shared" si="109"/>
        <v>1560</v>
      </c>
      <c r="J410" s="239"/>
      <c r="K410" s="7"/>
      <c r="L410" s="72"/>
      <c r="M410" s="22"/>
      <c r="N410" s="7"/>
      <c r="O410" s="23"/>
      <c r="P410" s="80"/>
      <c r="Q410" s="78"/>
    </row>
    <row r="411" spans="1:17" ht="12.75">
      <c r="A411" s="34" t="s">
        <v>312</v>
      </c>
      <c r="B411" s="97">
        <v>14034</v>
      </c>
      <c r="C411" s="197"/>
      <c r="D411" s="146">
        <f>1645+1275</f>
        <v>2920</v>
      </c>
      <c r="E411" s="146"/>
      <c r="F411" s="134">
        <f t="shared" si="108"/>
        <v>2920</v>
      </c>
      <c r="G411" s="263"/>
      <c r="H411" s="308"/>
      <c r="I411" s="244">
        <f t="shared" si="109"/>
        <v>2920</v>
      </c>
      <c r="J411" s="239"/>
      <c r="K411" s="7"/>
      <c r="L411" s="72"/>
      <c r="M411" s="22"/>
      <c r="N411" s="7"/>
      <c r="O411" s="23"/>
      <c r="P411" s="80"/>
      <c r="Q411" s="78"/>
    </row>
    <row r="412" spans="1:17" ht="12.75">
      <c r="A412" s="34" t="s">
        <v>257</v>
      </c>
      <c r="B412" s="97">
        <v>98035</v>
      </c>
      <c r="C412" s="197"/>
      <c r="D412" s="146"/>
      <c r="E412" s="146"/>
      <c r="F412" s="134">
        <f t="shared" si="108"/>
        <v>0</v>
      </c>
      <c r="G412" s="263">
        <f>150</f>
        <v>150</v>
      </c>
      <c r="H412" s="308"/>
      <c r="I412" s="244">
        <f t="shared" si="109"/>
        <v>150</v>
      </c>
      <c r="J412" s="239"/>
      <c r="K412" s="7"/>
      <c r="L412" s="72"/>
      <c r="M412" s="22"/>
      <c r="N412" s="7"/>
      <c r="O412" s="23"/>
      <c r="P412" s="80"/>
      <c r="Q412" s="78"/>
    </row>
    <row r="413" spans="1:17" ht="12.75">
      <c r="A413" s="34" t="s">
        <v>343</v>
      </c>
      <c r="B413" s="145" t="s">
        <v>235</v>
      </c>
      <c r="C413" s="197"/>
      <c r="D413" s="146"/>
      <c r="E413" s="146"/>
      <c r="F413" s="134">
        <f t="shared" si="108"/>
        <v>0</v>
      </c>
      <c r="G413" s="263">
        <f>993.63</f>
        <v>993.63</v>
      </c>
      <c r="H413" s="308"/>
      <c r="I413" s="244">
        <f t="shared" si="109"/>
        <v>993.63</v>
      </c>
      <c r="J413" s="239"/>
      <c r="K413" s="7"/>
      <c r="L413" s="72"/>
      <c r="M413" s="22"/>
      <c r="N413" s="7"/>
      <c r="O413" s="23"/>
      <c r="P413" s="80"/>
      <c r="Q413" s="78"/>
    </row>
    <row r="414" spans="1:17" ht="12.75" hidden="1">
      <c r="A414" s="34" t="s">
        <v>234</v>
      </c>
      <c r="B414" s="97">
        <v>33064</v>
      </c>
      <c r="C414" s="197"/>
      <c r="D414" s="146"/>
      <c r="E414" s="146"/>
      <c r="F414" s="134">
        <f t="shared" si="108"/>
        <v>0</v>
      </c>
      <c r="G414" s="263"/>
      <c r="H414" s="308"/>
      <c r="I414" s="244">
        <f t="shared" si="109"/>
        <v>0</v>
      </c>
      <c r="J414" s="239"/>
      <c r="K414" s="7"/>
      <c r="L414" s="72"/>
      <c r="M414" s="22"/>
      <c r="N414" s="7"/>
      <c r="O414" s="23"/>
      <c r="P414" s="80"/>
      <c r="Q414" s="78"/>
    </row>
    <row r="415" spans="1:17" ht="12.75">
      <c r="A415" s="40" t="s">
        <v>54</v>
      </c>
      <c r="B415" s="101"/>
      <c r="C415" s="200">
        <f>SUM(C417:C423)</f>
        <v>2000</v>
      </c>
      <c r="D415" s="149">
        <f aca="true" t="shared" si="112" ref="D415:Q415">SUM(D417:D423)</f>
        <v>0</v>
      </c>
      <c r="E415" s="149">
        <f t="shared" si="112"/>
        <v>0</v>
      </c>
      <c r="F415" s="175">
        <f t="shared" si="112"/>
        <v>2000</v>
      </c>
      <c r="G415" s="265">
        <f t="shared" si="112"/>
        <v>0</v>
      </c>
      <c r="H415" s="311">
        <f t="shared" si="112"/>
        <v>-2000</v>
      </c>
      <c r="I415" s="246">
        <f t="shared" si="112"/>
        <v>0</v>
      </c>
      <c r="J415" s="175">
        <f t="shared" si="112"/>
        <v>0</v>
      </c>
      <c r="K415" s="119">
        <f t="shared" si="112"/>
        <v>0</v>
      </c>
      <c r="L415" s="149">
        <f t="shared" si="112"/>
        <v>0</v>
      </c>
      <c r="M415" s="118">
        <f t="shared" si="112"/>
        <v>0</v>
      </c>
      <c r="N415" s="118">
        <f t="shared" si="112"/>
        <v>0</v>
      </c>
      <c r="O415" s="118">
        <f t="shared" si="112"/>
        <v>0</v>
      </c>
      <c r="P415" s="118">
        <f t="shared" si="112"/>
        <v>0</v>
      </c>
      <c r="Q415" s="200">
        <f t="shared" si="112"/>
        <v>0</v>
      </c>
    </row>
    <row r="416" spans="1:17" ht="12.75">
      <c r="A416" s="36" t="s">
        <v>26</v>
      </c>
      <c r="B416" s="97"/>
      <c r="C416" s="197"/>
      <c r="D416" s="146"/>
      <c r="E416" s="146"/>
      <c r="F416" s="134"/>
      <c r="G416" s="263"/>
      <c r="H416" s="308"/>
      <c r="I416" s="244"/>
      <c r="J416" s="86"/>
      <c r="K416" s="7"/>
      <c r="L416" s="72"/>
      <c r="M416" s="22"/>
      <c r="N416" s="7"/>
      <c r="O416" s="23"/>
      <c r="P416" s="80"/>
      <c r="Q416" s="78"/>
    </row>
    <row r="417" spans="1:17" ht="12.75">
      <c r="A417" s="38" t="s">
        <v>69</v>
      </c>
      <c r="B417" s="97"/>
      <c r="C417" s="197"/>
      <c r="D417" s="146">
        <f>2000</f>
        <v>2000</v>
      </c>
      <c r="E417" s="146"/>
      <c r="F417" s="134">
        <f aca="true" t="shared" si="113" ref="F417:F423">C417+D417+E417</f>
        <v>2000</v>
      </c>
      <c r="G417" s="263"/>
      <c r="H417" s="308">
        <f>-2000</f>
        <v>-2000</v>
      </c>
      <c r="I417" s="244">
        <f>F417+G417+H417</f>
        <v>0</v>
      </c>
      <c r="J417" s="86"/>
      <c r="K417" s="7"/>
      <c r="L417" s="72">
        <f>I417+J417+K417</f>
        <v>0</v>
      </c>
      <c r="M417" s="22"/>
      <c r="N417" s="7"/>
      <c r="O417" s="23">
        <f>L417+M417+N417</f>
        <v>0</v>
      </c>
      <c r="P417" s="80"/>
      <c r="Q417" s="78">
        <f>O417+P417</f>
        <v>0</v>
      </c>
    </row>
    <row r="418" spans="1:17" ht="12.75" hidden="1">
      <c r="A418" s="38" t="s">
        <v>191</v>
      </c>
      <c r="B418" s="97"/>
      <c r="C418" s="197"/>
      <c r="D418" s="146"/>
      <c r="E418" s="146"/>
      <c r="F418" s="134">
        <f t="shared" si="113"/>
        <v>0</v>
      </c>
      <c r="G418" s="263"/>
      <c r="H418" s="308"/>
      <c r="I418" s="244"/>
      <c r="J418" s="86"/>
      <c r="K418" s="7"/>
      <c r="L418" s="72"/>
      <c r="M418" s="22"/>
      <c r="N418" s="7"/>
      <c r="O418" s="23"/>
      <c r="P418" s="80"/>
      <c r="Q418" s="78"/>
    </row>
    <row r="419" spans="1:17" ht="12.75" hidden="1">
      <c r="A419" s="38" t="s">
        <v>192</v>
      </c>
      <c r="B419" s="97"/>
      <c r="C419" s="197"/>
      <c r="D419" s="146"/>
      <c r="E419" s="146"/>
      <c r="F419" s="134">
        <f t="shared" si="113"/>
        <v>0</v>
      </c>
      <c r="G419" s="263"/>
      <c r="H419" s="308"/>
      <c r="I419" s="244"/>
      <c r="J419" s="86"/>
      <c r="K419" s="7"/>
      <c r="L419" s="72"/>
      <c r="M419" s="22"/>
      <c r="N419" s="7"/>
      <c r="O419" s="23"/>
      <c r="P419" s="80"/>
      <c r="Q419" s="78"/>
    </row>
    <row r="420" spans="1:17" ht="12.75" hidden="1">
      <c r="A420" s="38" t="s">
        <v>181</v>
      </c>
      <c r="B420" s="97"/>
      <c r="C420" s="197"/>
      <c r="D420" s="146"/>
      <c r="E420" s="146"/>
      <c r="F420" s="134">
        <f t="shared" si="113"/>
        <v>0</v>
      </c>
      <c r="G420" s="263"/>
      <c r="H420" s="308"/>
      <c r="I420" s="244"/>
      <c r="J420" s="86"/>
      <c r="K420" s="7"/>
      <c r="L420" s="72"/>
      <c r="M420" s="22"/>
      <c r="N420" s="7"/>
      <c r="O420" s="23"/>
      <c r="P420" s="80"/>
      <c r="Q420" s="78"/>
    </row>
    <row r="421" spans="1:17" ht="12.75">
      <c r="A421" s="37" t="s">
        <v>55</v>
      </c>
      <c r="B421" s="100"/>
      <c r="C421" s="292">
        <v>2000</v>
      </c>
      <c r="D421" s="213">
        <f>-2000</f>
        <v>-2000</v>
      </c>
      <c r="E421" s="213"/>
      <c r="F421" s="229">
        <f t="shared" si="113"/>
        <v>0</v>
      </c>
      <c r="G421" s="268"/>
      <c r="H421" s="312"/>
      <c r="I421" s="248">
        <f>F421+G421+H421</f>
        <v>0</v>
      </c>
      <c r="J421" s="86"/>
      <c r="K421" s="7"/>
      <c r="L421" s="72">
        <f>I421+J421+K421</f>
        <v>0</v>
      </c>
      <c r="M421" s="22"/>
      <c r="N421" s="7"/>
      <c r="O421" s="23">
        <f>L421+M421+N421</f>
        <v>0</v>
      </c>
      <c r="P421" s="80"/>
      <c r="Q421" s="78">
        <f>O421+P421</f>
        <v>0</v>
      </c>
    </row>
    <row r="422" spans="1:17" ht="12.75" hidden="1">
      <c r="A422" s="37" t="s">
        <v>77</v>
      </c>
      <c r="B422" s="100"/>
      <c r="C422" s="292"/>
      <c r="D422" s="213"/>
      <c r="E422" s="213"/>
      <c r="F422" s="229">
        <f t="shared" si="113"/>
        <v>0</v>
      </c>
      <c r="G422" s="263"/>
      <c r="H422" s="308"/>
      <c r="I422" s="244">
        <f>F422+G422+H422</f>
        <v>0</v>
      </c>
      <c r="J422" s="86"/>
      <c r="K422" s="7"/>
      <c r="L422" s="72">
        <f>I422+J422+K422</f>
        <v>0</v>
      </c>
      <c r="M422" s="22"/>
      <c r="N422" s="7"/>
      <c r="O422" s="23">
        <f>L422+M422+N422</f>
        <v>0</v>
      </c>
      <c r="P422" s="80"/>
      <c r="Q422" s="78">
        <f>O422+P422</f>
        <v>0</v>
      </c>
    </row>
    <row r="423" spans="1:17" ht="12.75" hidden="1">
      <c r="A423" s="44" t="s">
        <v>182</v>
      </c>
      <c r="B423" s="100"/>
      <c r="C423" s="292"/>
      <c r="D423" s="213"/>
      <c r="E423" s="213"/>
      <c r="F423" s="229">
        <f t="shared" si="113"/>
        <v>0</v>
      </c>
      <c r="G423" s="268"/>
      <c r="H423" s="312"/>
      <c r="I423" s="248">
        <f>F423+G423+H423</f>
        <v>0</v>
      </c>
      <c r="J423" s="177"/>
      <c r="K423" s="10"/>
      <c r="L423" s="71">
        <f>I423+J423+K423</f>
        <v>0</v>
      </c>
      <c r="M423" s="26"/>
      <c r="N423" s="10"/>
      <c r="O423" s="27">
        <f>L423+M423+N423</f>
        <v>0</v>
      </c>
      <c r="P423" s="83"/>
      <c r="Q423" s="84">
        <f>O423+P423</f>
        <v>0</v>
      </c>
    </row>
    <row r="424" spans="1:17" ht="12.75">
      <c r="A424" s="31" t="s">
        <v>95</v>
      </c>
      <c r="B424" s="101"/>
      <c r="C424" s="196">
        <f>C425+C428</f>
        <v>3304.9</v>
      </c>
      <c r="D424" s="129">
        <f aca="true" t="shared" si="114" ref="D424:Q424">D425+D428</f>
        <v>0</v>
      </c>
      <c r="E424" s="129">
        <f t="shared" si="114"/>
        <v>0</v>
      </c>
      <c r="F424" s="140">
        <f t="shared" si="114"/>
        <v>3304.9</v>
      </c>
      <c r="G424" s="262">
        <f t="shared" si="114"/>
        <v>0</v>
      </c>
      <c r="H424" s="307">
        <f t="shared" si="114"/>
        <v>0</v>
      </c>
      <c r="I424" s="243">
        <f t="shared" si="114"/>
        <v>3304.9</v>
      </c>
      <c r="J424" s="140">
        <f t="shared" si="114"/>
        <v>0</v>
      </c>
      <c r="K424" s="112">
        <f t="shared" si="114"/>
        <v>0</v>
      </c>
      <c r="L424" s="129">
        <f t="shared" si="114"/>
        <v>3304.9</v>
      </c>
      <c r="M424" s="111">
        <f t="shared" si="114"/>
        <v>0</v>
      </c>
      <c r="N424" s="111">
        <f t="shared" si="114"/>
        <v>0</v>
      </c>
      <c r="O424" s="111">
        <f t="shared" si="114"/>
        <v>3304.9</v>
      </c>
      <c r="P424" s="111">
        <f t="shared" si="114"/>
        <v>0</v>
      </c>
      <c r="Q424" s="196">
        <f t="shared" si="114"/>
        <v>3304.9</v>
      </c>
    </row>
    <row r="425" spans="1:17" ht="12.75">
      <c r="A425" s="40" t="s">
        <v>49</v>
      </c>
      <c r="B425" s="101"/>
      <c r="C425" s="200">
        <f>SUM(C427:C427)</f>
        <v>3304.9</v>
      </c>
      <c r="D425" s="149">
        <f aca="true" t="shared" si="115" ref="D425:Q425">SUM(D427:D427)</f>
        <v>0</v>
      </c>
      <c r="E425" s="149">
        <f t="shared" si="115"/>
        <v>0</v>
      </c>
      <c r="F425" s="175">
        <f t="shared" si="115"/>
        <v>3304.9</v>
      </c>
      <c r="G425" s="265">
        <f t="shared" si="115"/>
        <v>0</v>
      </c>
      <c r="H425" s="311">
        <f t="shared" si="115"/>
        <v>0</v>
      </c>
      <c r="I425" s="246">
        <f t="shared" si="115"/>
        <v>3304.9</v>
      </c>
      <c r="J425" s="175">
        <f t="shared" si="115"/>
        <v>0</v>
      </c>
      <c r="K425" s="119">
        <f t="shared" si="115"/>
        <v>0</v>
      </c>
      <c r="L425" s="149">
        <f t="shared" si="115"/>
        <v>3304.9</v>
      </c>
      <c r="M425" s="118">
        <f t="shared" si="115"/>
        <v>0</v>
      </c>
      <c r="N425" s="118">
        <f t="shared" si="115"/>
        <v>0</v>
      </c>
      <c r="O425" s="118">
        <f t="shared" si="115"/>
        <v>3304.9</v>
      </c>
      <c r="P425" s="118">
        <f t="shared" si="115"/>
        <v>0</v>
      </c>
      <c r="Q425" s="200">
        <f t="shared" si="115"/>
        <v>3304.9</v>
      </c>
    </row>
    <row r="426" spans="1:17" ht="12.75">
      <c r="A426" s="36" t="s">
        <v>26</v>
      </c>
      <c r="B426" s="97"/>
      <c r="C426" s="197"/>
      <c r="D426" s="146"/>
      <c r="E426" s="146"/>
      <c r="F426" s="140"/>
      <c r="G426" s="263"/>
      <c r="H426" s="308"/>
      <c r="I426" s="243"/>
      <c r="J426" s="86"/>
      <c r="K426" s="7"/>
      <c r="L426" s="68"/>
      <c r="M426" s="22"/>
      <c r="N426" s="7"/>
      <c r="O426" s="21"/>
      <c r="P426" s="80"/>
      <c r="Q426" s="78"/>
    </row>
    <row r="427" spans="1:17" ht="12.75">
      <c r="A427" s="37" t="s">
        <v>51</v>
      </c>
      <c r="B427" s="100"/>
      <c r="C427" s="293">
        <v>3304.9</v>
      </c>
      <c r="D427" s="213"/>
      <c r="E427" s="213"/>
      <c r="F427" s="229">
        <f>C427+D427+E427</f>
        <v>3304.9</v>
      </c>
      <c r="G427" s="268"/>
      <c r="H427" s="312"/>
      <c r="I427" s="248">
        <f>F427+G427+H427</f>
        <v>3304.9</v>
      </c>
      <c r="J427" s="86"/>
      <c r="K427" s="7"/>
      <c r="L427" s="72">
        <f>I427+J427+K427</f>
        <v>3304.9</v>
      </c>
      <c r="M427" s="22"/>
      <c r="N427" s="7"/>
      <c r="O427" s="23">
        <f>L427+M427+N427</f>
        <v>3304.9</v>
      </c>
      <c r="P427" s="80"/>
      <c r="Q427" s="78">
        <f>O427+P427</f>
        <v>3304.9</v>
      </c>
    </row>
    <row r="428" spans="1:17" ht="12.75" hidden="1">
      <c r="A428" s="40" t="s">
        <v>54</v>
      </c>
      <c r="B428" s="101"/>
      <c r="C428" s="200">
        <f aca="true" t="shared" si="116" ref="C428:Q428">SUM(C430:C430)</f>
        <v>0</v>
      </c>
      <c r="D428" s="149">
        <f t="shared" si="116"/>
        <v>0</v>
      </c>
      <c r="E428" s="149">
        <f t="shared" si="116"/>
        <v>0</v>
      </c>
      <c r="F428" s="175">
        <f t="shared" si="116"/>
        <v>0</v>
      </c>
      <c r="G428" s="265">
        <f t="shared" si="116"/>
        <v>0</v>
      </c>
      <c r="H428" s="311">
        <f t="shared" si="116"/>
        <v>0</v>
      </c>
      <c r="I428" s="246">
        <f t="shared" si="116"/>
        <v>0</v>
      </c>
      <c r="J428" s="175">
        <f t="shared" si="116"/>
        <v>0</v>
      </c>
      <c r="K428" s="119">
        <f t="shared" si="116"/>
        <v>0</v>
      </c>
      <c r="L428" s="149">
        <f t="shared" si="116"/>
        <v>0</v>
      </c>
      <c r="M428" s="118">
        <f t="shared" si="116"/>
        <v>0</v>
      </c>
      <c r="N428" s="118">
        <f t="shared" si="116"/>
        <v>0</v>
      </c>
      <c r="O428" s="118">
        <f t="shared" si="116"/>
        <v>0</v>
      </c>
      <c r="P428" s="118">
        <f t="shared" si="116"/>
        <v>0</v>
      </c>
      <c r="Q428" s="200">
        <f t="shared" si="116"/>
        <v>0</v>
      </c>
    </row>
    <row r="429" spans="1:17" ht="12.75" hidden="1">
      <c r="A429" s="36" t="s">
        <v>26</v>
      </c>
      <c r="B429" s="97"/>
      <c r="C429" s="197"/>
      <c r="D429" s="146"/>
      <c r="E429" s="146"/>
      <c r="F429" s="134"/>
      <c r="G429" s="263"/>
      <c r="H429" s="308"/>
      <c r="I429" s="244"/>
      <c r="J429" s="86"/>
      <c r="K429" s="7"/>
      <c r="L429" s="72"/>
      <c r="M429" s="22"/>
      <c r="N429" s="7"/>
      <c r="O429" s="23"/>
      <c r="P429" s="80"/>
      <c r="Q429" s="78"/>
    </row>
    <row r="430" spans="1:17" ht="12.75" hidden="1">
      <c r="A430" s="37" t="s">
        <v>55</v>
      </c>
      <c r="B430" s="100"/>
      <c r="C430" s="292"/>
      <c r="D430" s="213"/>
      <c r="E430" s="213"/>
      <c r="F430" s="229">
        <f>C430+D430+E430</f>
        <v>0</v>
      </c>
      <c r="G430" s="268"/>
      <c r="H430" s="312"/>
      <c r="I430" s="248">
        <f>F430+G430+H430</f>
        <v>0</v>
      </c>
      <c r="J430" s="177"/>
      <c r="K430" s="10"/>
      <c r="L430" s="71">
        <f>I430+J430+K430</f>
        <v>0</v>
      </c>
      <c r="M430" s="26"/>
      <c r="N430" s="10"/>
      <c r="O430" s="27">
        <f>L430+M430+N430</f>
        <v>0</v>
      </c>
      <c r="P430" s="83"/>
      <c r="Q430" s="84">
        <f>O430+P430</f>
        <v>0</v>
      </c>
    </row>
    <row r="431" spans="1:17" ht="12.75">
      <c r="A431" s="31" t="s">
        <v>96</v>
      </c>
      <c r="B431" s="101"/>
      <c r="C431" s="196">
        <f aca="true" t="shared" si="117" ref="C431:Q431">C432</f>
        <v>55500</v>
      </c>
      <c r="D431" s="129">
        <f t="shared" si="117"/>
        <v>110819.67000000001</v>
      </c>
      <c r="E431" s="129">
        <f t="shared" si="117"/>
        <v>-10000</v>
      </c>
      <c r="F431" s="140">
        <f t="shared" si="117"/>
        <v>156319.67</v>
      </c>
      <c r="G431" s="262">
        <f t="shared" si="117"/>
        <v>2406.179999999993</v>
      </c>
      <c r="H431" s="307">
        <f t="shared" si="117"/>
        <v>233702.34</v>
      </c>
      <c r="I431" s="243">
        <f t="shared" si="117"/>
        <v>392428.19</v>
      </c>
      <c r="J431" s="140">
        <f t="shared" si="117"/>
        <v>0</v>
      </c>
      <c r="K431" s="112">
        <f t="shared" si="117"/>
        <v>0</v>
      </c>
      <c r="L431" s="129">
        <f t="shared" si="117"/>
        <v>392428.19</v>
      </c>
      <c r="M431" s="111">
        <f t="shared" si="117"/>
        <v>0</v>
      </c>
      <c r="N431" s="111">
        <f t="shared" si="117"/>
        <v>0</v>
      </c>
      <c r="O431" s="111">
        <f t="shared" si="117"/>
        <v>392428.19</v>
      </c>
      <c r="P431" s="111">
        <f t="shared" si="117"/>
        <v>0</v>
      </c>
      <c r="Q431" s="196">
        <f t="shared" si="117"/>
        <v>392428.19</v>
      </c>
    </row>
    <row r="432" spans="1:17" ht="12.75">
      <c r="A432" s="40" t="s">
        <v>49</v>
      </c>
      <c r="B432" s="101"/>
      <c r="C432" s="200">
        <f>SUM(C434:C437)</f>
        <v>55500</v>
      </c>
      <c r="D432" s="149">
        <f aca="true" t="shared" si="118" ref="D432:Q432">SUM(D434:D437)</f>
        <v>110819.67000000001</v>
      </c>
      <c r="E432" s="149">
        <f t="shared" si="118"/>
        <v>-10000</v>
      </c>
      <c r="F432" s="175">
        <f t="shared" si="118"/>
        <v>156319.67</v>
      </c>
      <c r="G432" s="265">
        <f t="shared" si="118"/>
        <v>2406.179999999993</v>
      </c>
      <c r="H432" s="311">
        <f t="shared" si="118"/>
        <v>233702.34</v>
      </c>
      <c r="I432" s="246">
        <f t="shared" si="118"/>
        <v>392428.19</v>
      </c>
      <c r="J432" s="175">
        <f t="shared" si="118"/>
        <v>0</v>
      </c>
      <c r="K432" s="119">
        <f t="shared" si="118"/>
        <v>0</v>
      </c>
      <c r="L432" s="149">
        <f t="shared" si="118"/>
        <v>392428.19</v>
      </c>
      <c r="M432" s="118">
        <f t="shared" si="118"/>
        <v>0</v>
      </c>
      <c r="N432" s="118">
        <f t="shared" si="118"/>
        <v>0</v>
      </c>
      <c r="O432" s="118">
        <f t="shared" si="118"/>
        <v>392428.19</v>
      </c>
      <c r="P432" s="118">
        <f t="shared" si="118"/>
        <v>0</v>
      </c>
      <c r="Q432" s="200">
        <f t="shared" si="118"/>
        <v>392428.19</v>
      </c>
    </row>
    <row r="433" spans="1:17" ht="12.75">
      <c r="A433" s="36" t="s">
        <v>26</v>
      </c>
      <c r="B433" s="97"/>
      <c r="C433" s="196"/>
      <c r="D433" s="129"/>
      <c r="E433" s="129"/>
      <c r="F433" s="140"/>
      <c r="G433" s="262"/>
      <c r="H433" s="307"/>
      <c r="I433" s="243"/>
      <c r="J433" s="130"/>
      <c r="K433" s="6"/>
      <c r="L433" s="68"/>
      <c r="M433" s="20"/>
      <c r="N433" s="6"/>
      <c r="O433" s="21"/>
      <c r="P433" s="80"/>
      <c r="Q433" s="78"/>
    </row>
    <row r="434" spans="1:17" ht="12.75">
      <c r="A434" s="98" t="s">
        <v>193</v>
      </c>
      <c r="B434" s="97"/>
      <c r="C434" s="197">
        <v>15000</v>
      </c>
      <c r="D434" s="146">
        <v>67000</v>
      </c>
      <c r="E434" s="146">
        <v>-10000</v>
      </c>
      <c r="F434" s="134">
        <f>C434+D434+E434</f>
        <v>72000</v>
      </c>
      <c r="G434" s="263">
        <f>140000-137593.82</f>
        <v>2406.179999999993</v>
      </c>
      <c r="H434" s="308">
        <f>14871.71+222830.63-4000</f>
        <v>233702.34</v>
      </c>
      <c r="I434" s="244">
        <f>F434+G434+H434</f>
        <v>308108.52</v>
      </c>
      <c r="J434" s="239"/>
      <c r="K434" s="7"/>
      <c r="L434" s="72">
        <f>I434+J434+K434</f>
        <v>308108.52</v>
      </c>
      <c r="M434" s="22"/>
      <c r="N434" s="7"/>
      <c r="O434" s="23">
        <f>L434+M434+N434</f>
        <v>308108.52</v>
      </c>
      <c r="P434" s="80"/>
      <c r="Q434" s="78">
        <f>O434+P434</f>
        <v>308108.52</v>
      </c>
    </row>
    <row r="435" spans="1:17" ht="12.75">
      <c r="A435" s="98" t="s">
        <v>97</v>
      </c>
      <c r="B435" s="97"/>
      <c r="C435" s="197"/>
      <c r="D435" s="215">
        <f>26787.85</f>
        <v>26787.85</v>
      </c>
      <c r="E435" s="146"/>
      <c r="F435" s="134">
        <f>C435+D435+E435</f>
        <v>26787.85</v>
      </c>
      <c r="G435" s="263"/>
      <c r="H435" s="308"/>
      <c r="I435" s="244">
        <f>F435+G435+H435</f>
        <v>26787.85</v>
      </c>
      <c r="J435" s="86"/>
      <c r="K435" s="7"/>
      <c r="L435" s="72">
        <f>I435+J435+K435</f>
        <v>26787.85</v>
      </c>
      <c r="M435" s="22"/>
      <c r="N435" s="7"/>
      <c r="O435" s="23">
        <f>L435+M435+N435</f>
        <v>26787.85</v>
      </c>
      <c r="P435" s="80"/>
      <c r="Q435" s="78">
        <f>O435+P435</f>
        <v>26787.85</v>
      </c>
    </row>
    <row r="436" spans="1:17" ht="12.75">
      <c r="A436" s="98" t="s">
        <v>98</v>
      </c>
      <c r="B436" s="97"/>
      <c r="C436" s="197"/>
      <c r="D436" s="146">
        <f>17031.82</f>
        <v>17031.82</v>
      </c>
      <c r="E436" s="146"/>
      <c r="F436" s="134">
        <f>C436+D436+E436</f>
        <v>17031.82</v>
      </c>
      <c r="G436" s="263"/>
      <c r="H436" s="308"/>
      <c r="I436" s="244">
        <f>F436+G436+H436</f>
        <v>17031.82</v>
      </c>
      <c r="J436" s="86"/>
      <c r="K436" s="7"/>
      <c r="L436" s="72">
        <f>I436+J436+K436</f>
        <v>17031.82</v>
      </c>
      <c r="M436" s="22"/>
      <c r="N436" s="7"/>
      <c r="O436" s="23">
        <f>L436+M436+N436</f>
        <v>17031.82</v>
      </c>
      <c r="P436" s="80"/>
      <c r="Q436" s="78">
        <f>O436+P436</f>
        <v>17031.82</v>
      </c>
    </row>
    <row r="437" spans="1:17" ht="12.75">
      <c r="A437" s="37" t="s">
        <v>51</v>
      </c>
      <c r="B437" s="100"/>
      <c r="C437" s="292">
        <v>40500</v>
      </c>
      <c r="D437" s="213"/>
      <c r="E437" s="213"/>
      <c r="F437" s="229">
        <f>C437+D437+E437</f>
        <v>40500</v>
      </c>
      <c r="G437" s="268"/>
      <c r="H437" s="312"/>
      <c r="I437" s="248">
        <f>F437+G437+H437</f>
        <v>40500</v>
      </c>
      <c r="J437" s="177"/>
      <c r="K437" s="10"/>
      <c r="L437" s="71">
        <f>I437+J437+K437</f>
        <v>40500</v>
      </c>
      <c r="M437" s="26"/>
      <c r="N437" s="10"/>
      <c r="O437" s="27">
        <f>L437+M437+N437</f>
        <v>40500</v>
      </c>
      <c r="P437" s="83"/>
      <c r="Q437" s="84">
        <f>O437+P437</f>
        <v>40500</v>
      </c>
    </row>
    <row r="438" spans="1:17" ht="12.75">
      <c r="A438" s="31" t="s">
        <v>166</v>
      </c>
      <c r="B438" s="101"/>
      <c r="C438" s="196">
        <f aca="true" t="shared" si="119" ref="C438:Q438">C439+C453</f>
        <v>185407.7</v>
      </c>
      <c r="D438" s="129">
        <f t="shared" si="119"/>
        <v>44177.64</v>
      </c>
      <c r="E438" s="129">
        <f t="shared" si="119"/>
        <v>1900</v>
      </c>
      <c r="F438" s="140">
        <f t="shared" si="119"/>
        <v>231485.34</v>
      </c>
      <c r="G438" s="262">
        <f t="shared" si="119"/>
        <v>0</v>
      </c>
      <c r="H438" s="307">
        <f t="shared" si="119"/>
        <v>81273.29</v>
      </c>
      <c r="I438" s="243">
        <f t="shared" si="119"/>
        <v>312758.63</v>
      </c>
      <c r="J438" s="140">
        <f t="shared" si="119"/>
        <v>0</v>
      </c>
      <c r="K438" s="112">
        <f t="shared" si="119"/>
        <v>0</v>
      </c>
      <c r="L438" s="129">
        <f t="shared" si="119"/>
        <v>0</v>
      </c>
      <c r="M438" s="111">
        <f t="shared" si="119"/>
        <v>0</v>
      </c>
      <c r="N438" s="111">
        <f t="shared" si="119"/>
        <v>0</v>
      </c>
      <c r="O438" s="111">
        <f t="shared" si="119"/>
        <v>0</v>
      </c>
      <c r="P438" s="111">
        <f t="shared" si="119"/>
        <v>0</v>
      </c>
      <c r="Q438" s="196">
        <f t="shared" si="119"/>
        <v>0</v>
      </c>
    </row>
    <row r="439" spans="1:17" ht="12.75">
      <c r="A439" s="40" t="s">
        <v>49</v>
      </c>
      <c r="B439" s="101"/>
      <c r="C439" s="200">
        <f>SUM(C441:C452)</f>
        <v>130807.7</v>
      </c>
      <c r="D439" s="149">
        <f>SUM(D441:D452)</f>
        <v>10517.640000000001</v>
      </c>
      <c r="E439" s="149">
        <f>SUM(E440:E452)</f>
        <v>-23.4</v>
      </c>
      <c r="F439" s="175">
        <f>SUM(F441:F452)</f>
        <v>141301.94</v>
      </c>
      <c r="G439" s="265">
        <f aca="true" t="shared" si="120" ref="G439:Q439">SUM(G440:G452)</f>
        <v>-26064</v>
      </c>
      <c r="H439" s="311">
        <f t="shared" si="120"/>
        <v>14233</v>
      </c>
      <c r="I439" s="246">
        <f t="shared" si="120"/>
        <v>129470.94000000002</v>
      </c>
      <c r="J439" s="175">
        <f t="shared" si="120"/>
        <v>0</v>
      </c>
      <c r="K439" s="119">
        <f t="shared" si="120"/>
        <v>0</v>
      </c>
      <c r="L439" s="149">
        <f t="shared" si="120"/>
        <v>0</v>
      </c>
      <c r="M439" s="118">
        <f t="shared" si="120"/>
        <v>0</v>
      </c>
      <c r="N439" s="118">
        <f t="shared" si="120"/>
        <v>0</v>
      </c>
      <c r="O439" s="118">
        <f t="shared" si="120"/>
        <v>0</v>
      </c>
      <c r="P439" s="118">
        <f t="shared" si="120"/>
        <v>0</v>
      </c>
      <c r="Q439" s="200">
        <f t="shared" si="120"/>
        <v>0</v>
      </c>
    </row>
    <row r="440" spans="1:17" ht="12.75">
      <c r="A440" s="36" t="s">
        <v>26</v>
      </c>
      <c r="B440" s="97"/>
      <c r="C440" s="197"/>
      <c r="D440" s="146"/>
      <c r="E440" s="146"/>
      <c r="F440" s="134"/>
      <c r="G440" s="263"/>
      <c r="H440" s="308"/>
      <c r="I440" s="244"/>
      <c r="J440" s="86"/>
      <c r="K440" s="7"/>
      <c r="L440" s="72"/>
      <c r="M440" s="22"/>
      <c r="N440" s="7"/>
      <c r="O440" s="23"/>
      <c r="P440" s="80"/>
      <c r="Q440" s="78"/>
    </row>
    <row r="441" spans="1:17" ht="12.75">
      <c r="A441" s="34" t="s">
        <v>253</v>
      </c>
      <c r="B441" s="97">
        <v>1202</v>
      </c>
      <c r="C441" s="197">
        <v>15900</v>
      </c>
      <c r="D441" s="146">
        <f>6660.58-4000</f>
        <v>2660.58</v>
      </c>
      <c r="E441" s="146"/>
      <c r="F441" s="134">
        <f aca="true" t="shared" si="121" ref="F441:F452">C441+D441+E441</f>
        <v>18560.58</v>
      </c>
      <c r="G441" s="263">
        <f>-607</f>
        <v>-607</v>
      </c>
      <c r="H441" s="308">
        <f>-5335</f>
        <v>-5335</v>
      </c>
      <c r="I441" s="244">
        <f>F441+G441+H441</f>
        <v>12618.580000000002</v>
      </c>
      <c r="J441" s="86"/>
      <c r="K441" s="7"/>
      <c r="L441" s="72"/>
      <c r="M441" s="22"/>
      <c r="N441" s="7"/>
      <c r="O441" s="23"/>
      <c r="P441" s="80"/>
      <c r="Q441" s="78"/>
    </row>
    <row r="442" spans="1:17" ht="12.75">
      <c r="A442" s="34" t="s">
        <v>185</v>
      </c>
      <c r="B442" s="97">
        <v>1208</v>
      </c>
      <c r="C442" s="197">
        <v>4500</v>
      </c>
      <c r="D442" s="146">
        <f>20.18</f>
        <v>20.18</v>
      </c>
      <c r="E442" s="146"/>
      <c r="F442" s="134">
        <f t="shared" si="121"/>
        <v>4520.18</v>
      </c>
      <c r="G442" s="263"/>
      <c r="H442" s="308"/>
      <c r="I442" s="244">
        <f aca="true" t="shared" si="122" ref="I442:I452">F442+G442+H442</f>
        <v>4520.18</v>
      </c>
      <c r="J442" s="86"/>
      <c r="K442" s="7"/>
      <c r="L442" s="72"/>
      <c r="M442" s="22"/>
      <c r="N442" s="7"/>
      <c r="O442" s="23"/>
      <c r="P442" s="80"/>
      <c r="Q442" s="78"/>
    </row>
    <row r="443" spans="1:17" ht="12.75">
      <c r="A443" s="34" t="s">
        <v>186</v>
      </c>
      <c r="B443" s="97">
        <v>1207</v>
      </c>
      <c r="C443" s="197">
        <v>10600</v>
      </c>
      <c r="D443" s="146">
        <f>114.87+1430</f>
        <v>1544.87</v>
      </c>
      <c r="E443" s="146"/>
      <c r="F443" s="134">
        <f t="shared" si="121"/>
        <v>12144.869999999999</v>
      </c>
      <c r="G443" s="263"/>
      <c r="H443" s="308"/>
      <c r="I443" s="244">
        <f t="shared" si="122"/>
        <v>12144.869999999999</v>
      </c>
      <c r="J443" s="86"/>
      <c r="K443" s="7"/>
      <c r="L443" s="72"/>
      <c r="M443" s="22"/>
      <c r="N443" s="7"/>
      <c r="O443" s="23"/>
      <c r="P443" s="80"/>
      <c r="Q443" s="78"/>
    </row>
    <row r="444" spans="1:17" ht="12.75">
      <c r="A444" s="38" t="s">
        <v>274</v>
      </c>
      <c r="B444" s="97">
        <v>1209</v>
      </c>
      <c r="C444" s="197">
        <v>2860</v>
      </c>
      <c r="D444" s="146">
        <f>781+88.6+11.32</f>
        <v>880.9200000000001</v>
      </c>
      <c r="E444" s="146"/>
      <c r="F444" s="134">
        <f t="shared" si="121"/>
        <v>3740.92</v>
      </c>
      <c r="G444" s="263"/>
      <c r="H444" s="308"/>
      <c r="I444" s="244">
        <f t="shared" si="122"/>
        <v>3740.92</v>
      </c>
      <c r="J444" s="86"/>
      <c r="K444" s="7"/>
      <c r="L444" s="72"/>
      <c r="M444" s="22"/>
      <c r="N444" s="7"/>
      <c r="O444" s="23"/>
      <c r="P444" s="80"/>
      <c r="Q444" s="78"/>
    </row>
    <row r="445" spans="1:17" ht="12.75">
      <c r="A445" s="34" t="s">
        <v>187</v>
      </c>
      <c r="B445" s="97">
        <v>1211</v>
      </c>
      <c r="C445" s="197">
        <v>3900</v>
      </c>
      <c r="D445" s="215">
        <f>125.1</f>
        <v>125.1</v>
      </c>
      <c r="E445" s="215"/>
      <c r="F445" s="134">
        <f t="shared" si="121"/>
        <v>4025.1</v>
      </c>
      <c r="G445" s="263"/>
      <c r="H445" s="308"/>
      <c r="I445" s="244">
        <f t="shared" si="122"/>
        <v>4025.1</v>
      </c>
      <c r="J445" s="86"/>
      <c r="K445" s="7"/>
      <c r="L445" s="72"/>
      <c r="M445" s="22"/>
      <c r="N445" s="7"/>
      <c r="O445" s="23"/>
      <c r="P445" s="80"/>
      <c r="Q445" s="78"/>
    </row>
    <row r="446" spans="1:17" ht="12.75">
      <c r="A446" s="34" t="s">
        <v>238</v>
      </c>
      <c r="B446" s="97">
        <v>1214</v>
      </c>
      <c r="C446" s="197">
        <v>2800</v>
      </c>
      <c r="D446" s="215">
        <f>70.05</f>
        <v>70.05</v>
      </c>
      <c r="E446" s="146"/>
      <c r="F446" s="134">
        <f t="shared" si="121"/>
        <v>2870.05</v>
      </c>
      <c r="G446" s="263"/>
      <c r="H446" s="308"/>
      <c r="I446" s="244">
        <f t="shared" si="122"/>
        <v>2870.05</v>
      </c>
      <c r="J446" s="86"/>
      <c r="K446" s="7"/>
      <c r="L446" s="72"/>
      <c r="M446" s="22"/>
      <c r="N446" s="7"/>
      <c r="O446" s="23"/>
      <c r="P446" s="80"/>
      <c r="Q446" s="78"/>
    </row>
    <row r="447" spans="1:17" ht="12.75">
      <c r="A447" s="34" t="s">
        <v>239</v>
      </c>
      <c r="B447" s="97">
        <v>1213</v>
      </c>
      <c r="C447" s="197">
        <v>1500</v>
      </c>
      <c r="D447" s="215">
        <f>53.5</f>
        <v>53.5</v>
      </c>
      <c r="E447" s="146"/>
      <c r="F447" s="134">
        <f t="shared" si="121"/>
        <v>1553.5</v>
      </c>
      <c r="G447" s="263"/>
      <c r="H447" s="308"/>
      <c r="I447" s="244">
        <f t="shared" si="122"/>
        <v>1553.5</v>
      </c>
      <c r="J447" s="86"/>
      <c r="K447" s="7"/>
      <c r="L447" s="72"/>
      <c r="M447" s="22"/>
      <c r="N447" s="7"/>
      <c r="O447" s="23"/>
      <c r="P447" s="80"/>
      <c r="Q447" s="78"/>
    </row>
    <row r="448" spans="1:17" ht="12.75">
      <c r="A448" s="34" t="s">
        <v>273</v>
      </c>
      <c r="B448" s="97">
        <v>1216</v>
      </c>
      <c r="C448" s="197">
        <v>22000</v>
      </c>
      <c r="D448" s="146">
        <f>2369.13-221</f>
        <v>2148.13</v>
      </c>
      <c r="E448" s="146"/>
      <c r="F448" s="134">
        <f t="shared" si="121"/>
        <v>24148.13</v>
      </c>
      <c r="G448" s="263"/>
      <c r="H448" s="308"/>
      <c r="I448" s="244">
        <f t="shared" si="122"/>
        <v>24148.13</v>
      </c>
      <c r="J448" s="86"/>
      <c r="K448" s="7"/>
      <c r="L448" s="72"/>
      <c r="M448" s="22"/>
      <c r="N448" s="7"/>
      <c r="O448" s="23"/>
      <c r="P448" s="80"/>
      <c r="Q448" s="78"/>
    </row>
    <row r="449" spans="1:17" ht="12.75">
      <c r="A449" s="34" t="s">
        <v>188</v>
      </c>
      <c r="B449" s="97">
        <v>1239</v>
      </c>
      <c r="C449" s="197">
        <v>21900</v>
      </c>
      <c r="D449" s="146">
        <f>2000-15000+1000+500+500+8323.45</f>
        <v>-2676.5499999999993</v>
      </c>
      <c r="E449" s="146"/>
      <c r="F449" s="134">
        <f t="shared" si="121"/>
        <v>19223.45</v>
      </c>
      <c r="G449" s="263">
        <f>-489-9150</f>
        <v>-9639</v>
      </c>
      <c r="H449" s="308"/>
      <c r="I449" s="244">
        <f t="shared" si="122"/>
        <v>9584.45</v>
      </c>
      <c r="J449" s="86"/>
      <c r="K449" s="7"/>
      <c r="L449" s="72"/>
      <c r="M449" s="22"/>
      <c r="N449" s="7"/>
      <c r="O449" s="23"/>
      <c r="P449" s="80"/>
      <c r="Q449" s="78"/>
    </row>
    <row r="450" spans="1:17" ht="12.75">
      <c r="A450" s="34" t="s">
        <v>210</v>
      </c>
      <c r="B450" s="97">
        <v>1300</v>
      </c>
      <c r="C450" s="197">
        <v>29845.7</v>
      </c>
      <c r="D450" s="146">
        <f>-1050-9000+8724.02</f>
        <v>-1325.9799999999996</v>
      </c>
      <c r="E450" s="146">
        <v>-23.4</v>
      </c>
      <c r="F450" s="134">
        <f t="shared" si="121"/>
        <v>28496.32</v>
      </c>
      <c r="G450" s="263"/>
      <c r="H450" s="308">
        <f>-2000+800+20768</f>
        <v>19568</v>
      </c>
      <c r="I450" s="244">
        <f t="shared" si="122"/>
        <v>48064.32</v>
      </c>
      <c r="J450" s="86"/>
      <c r="K450" s="7"/>
      <c r="L450" s="72"/>
      <c r="M450" s="22"/>
      <c r="N450" s="7"/>
      <c r="O450" s="23"/>
      <c r="P450" s="80"/>
      <c r="Q450" s="78"/>
    </row>
    <row r="451" spans="1:17" ht="12.75">
      <c r="A451" s="34" t="s">
        <v>189</v>
      </c>
      <c r="B451" s="97">
        <v>1110</v>
      </c>
      <c r="C451" s="197">
        <v>15000</v>
      </c>
      <c r="D451" s="146">
        <f>5000+928.52</f>
        <v>5928.52</v>
      </c>
      <c r="E451" s="146"/>
      <c r="F451" s="134">
        <f t="shared" si="121"/>
        <v>20928.52</v>
      </c>
      <c r="G451" s="263">
        <f>-15818</f>
        <v>-15818</v>
      </c>
      <c r="H451" s="308"/>
      <c r="I451" s="244">
        <f t="shared" si="122"/>
        <v>5110.52</v>
      </c>
      <c r="J451" s="86"/>
      <c r="K451" s="7"/>
      <c r="L451" s="72"/>
      <c r="M451" s="22"/>
      <c r="N451" s="7"/>
      <c r="O451" s="23"/>
      <c r="P451" s="80"/>
      <c r="Q451" s="78"/>
    </row>
    <row r="452" spans="1:17" ht="12.75">
      <c r="A452" s="34" t="s">
        <v>252</v>
      </c>
      <c r="B452" s="97"/>
      <c r="C452" s="197">
        <v>2</v>
      </c>
      <c r="D452" s="146">
        <f>1088.32</f>
        <v>1088.32</v>
      </c>
      <c r="E452" s="146"/>
      <c r="F452" s="134">
        <f t="shared" si="121"/>
        <v>1090.32</v>
      </c>
      <c r="G452" s="263"/>
      <c r="H452" s="308"/>
      <c r="I452" s="244">
        <f t="shared" si="122"/>
        <v>1090.32</v>
      </c>
      <c r="J452" s="86"/>
      <c r="K452" s="7"/>
      <c r="L452" s="72"/>
      <c r="M452" s="22"/>
      <c r="N452" s="7"/>
      <c r="O452" s="23"/>
      <c r="P452" s="80"/>
      <c r="Q452" s="78"/>
    </row>
    <row r="453" spans="1:17" ht="12.75">
      <c r="A453" s="40" t="s">
        <v>54</v>
      </c>
      <c r="B453" s="101"/>
      <c r="C453" s="200">
        <f>SUM(C455:C462)</f>
        <v>54600</v>
      </c>
      <c r="D453" s="149">
        <f aca="true" t="shared" si="123" ref="D453:Q453">SUM(D455:D462)</f>
        <v>33660</v>
      </c>
      <c r="E453" s="149">
        <f t="shared" si="123"/>
        <v>1923.4</v>
      </c>
      <c r="F453" s="175">
        <f t="shared" si="123"/>
        <v>90183.4</v>
      </c>
      <c r="G453" s="265">
        <f t="shared" si="123"/>
        <v>26064</v>
      </c>
      <c r="H453" s="311">
        <f t="shared" si="123"/>
        <v>67040.29</v>
      </c>
      <c r="I453" s="246">
        <f t="shared" si="123"/>
        <v>183287.69</v>
      </c>
      <c r="J453" s="175">
        <f t="shared" si="123"/>
        <v>0</v>
      </c>
      <c r="K453" s="119">
        <f t="shared" si="123"/>
        <v>0</v>
      </c>
      <c r="L453" s="149">
        <f t="shared" si="123"/>
        <v>0</v>
      </c>
      <c r="M453" s="118">
        <f t="shared" si="123"/>
        <v>0</v>
      </c>
      <c r="N453" s="118">
        <f t="shared" si="123"/>
        <v>0</v>
      </c>
      <c r="O453" s="118">
        <f t="shared" si="123"/>
        <v>0</v>
      </c>
      <c r="P453" s="118">
        <f t="shared" si="123"/>
        <v>0</v>
      </c>
      <c r="Q453" s="200">
        <f t="shared" si="123"/>
        <v>0</v>
      </c>
    </row>
    <row r="454" spans="1:17" ht="12.75">
      <c r="A454" s="36" t="s">
        <v>26</v>
      </c>
      <c r="B454" s="97"/>
      <c r="C454" s="197"/>
      <c r="D454" s="146"/>
      <c r="E454" s="146"/>
      <c r="F454" s="134"/>
      <c r="G454" s="263"/>
      <c r="H454" s="308"/>
      <c r="I454" s="244"/>
      <c r="J454" s="86"/>
      <c r="K454" s="7"/>
      <c r="L454" s="72"/>
      <c r="M454" s="22"/>
      <c r="N454" s="7"/>
      <c r="O454" s="23"/>
      <c r="P454" s="80"/>
      <c r="Q454" s="78"/>
    </row>
    <row r="455" spans="1:17" ht="12.75">
      <c r="A455" s="38" t="s">
        <v>287</v>
      </c>
      <c r="B455" s="97">
        <v>1239</v>
      </c>
      <c r="C455" s="197">
        <v>8000</v>
      </c>
      <c r="D455" s="146">
        <f>270</f>
        <v>270</v>
      </c>
      <c r="E455" s="146"/>
      <c r="F455" s="134">
        <f aca="true" t="shared" si="124" ref="F455:F462">C455+D455+E455</f>
        <v>8270</v>
      </c>
      <c r="G455" s="263"/>
      <c r="H455" s="308"/>
      <c r="I455" s="244">
        <f aca="true" t="shared" si="125" ref="I455:I462">F455+G455+H455</f>
        <v>8270</v>
      </c>
      <c r="J455" s="86"/>
      <c r="K455" s="7"/>
      <c r="L455" s="72"/>
      <c r="M455" s="22"/>
      <c r="N455" s="7"/>
      <c r="O455" s="23"/>
      <c r="P455" s="80"/>
      <c r="Q455" s="78"/>
    </row>
    <row r="456" spans="1:17" ht="12.75" hidden="1">
      <c r="A456" s="38" t="s">
        <v>324</v>
      </c>
      <c r="B456" s="97">
        <v>1214</v>
      </c>
      <c r="C456" s="197"/>
      <c r="D456" s="146"/>
      <c r="E456" s="146"/>
      <c r="F456" s="134">
        <f t="shared" si="124"/>
        <v>0</v>
      </c>
      <c r="G456" s="263"/>
      <c r="H456" s="308"/>
      <c r="I456" s="244">
        <f t="shared" si="125"/>
        <v>0</v>
      </c>
      <c r="J456" s="86"/>
      <c r="K456" s="7"/>
      <c r="L456" s="72"/>
      <c r="M456" s="22"/>
      <c r="N456" s="7"/>
      <c r="O456" s="23"/>
      <c r="P456" s="80"/>
      <c r="Q456" s="78"/>
    </row>
    <row r="457" spans="1:17" ht="12.75">
      <c r="A457" s="38" t="s">
        <v>288</v>
      </c>
      <c r="B457" s="97">
        <v>1209</v>
      </c>
      <c r="C457" s="197">
        <v>600</v>
      </c>
      <c r="D457" s="146">
        <f>219</f>
        <v>219</v>
      </c>
      <c r="E457" s="146"/>
      <c r="F457" s="134">
        <f t="shared" si="124"/>
        <v>819</v>
      </c>
      <c r="G457" s="263"/>
      <c r="H457" s="308"/>
      <c r="I457" s="244">
        <f t="shared" si="125"/>
        <v>819</v>
      </c>
      <c r="J457" s="86"/>
      <c r="K457" s="7"/>
      <c r="L457" s="72"/>
      <c r="M457" s="22"/>
      <c r="N457" s="7"/>
      <c r="O457" s="23"/>
      <c r="P457" s="80"/>
      <c r="Q457" s="78"/>
    </row>
    <row r="458" spans="1:17" ht="12.75">
      <c r="A458" s="34" t="s">
        <v>289</v>
      </c>
      <c r="B458" s="97">
        <v>1202</v>
      </c>
      <c r="C458" s="197"/>
      <c r="D458" s="146"/>
      <c r="E458" s="146"/>
      <c r="F458" s="134">
        <f t="shared" si="124"/>
        <v>0</v>
      </c>
      <c r="G458" s="263">
        <f>607</f>
        <v>607</v>
      </c>
      <c r="H458" s="308"/>
      <c r="I458" s="244">
        <f t="shared" si="125"/>
        <v>607</v>
      </c>
      <c r="J458" s="86"/>
      <c r="K458" s="7"/>
      <c r="L458" s="72"/>
      <c r="M458" s="22"/>
      <c r="N458" s="7"/>
      <c r="O458" s="23"/>
      <c r="P458" s="80"/>
      <c r="Q458" s="78"/>
    </row>
    <row r="459" spans="1:17" ht="12.75">
      <c r="A459" s="34" t="s">
        <v>326</v>
      </c>
      <c r="B459" s="97">
        <v>1216</v>
      </c>
      <c r="C459" s="197"/>
      <c r="D459" s="146">
        <f>221</f>
        <v>221</v>
      </c>
      <c r="E459" s="146"/>
      <c r="F459" s="134">
        <f t="shared" si="124"/>
        <v>221</v>
      </c>
      <c r="G459" s="263"/>
      <c r="H459" s="308"/>
      <c r="I459" s="244">
        <f t="shared" si="125"/>
        <v>221</v>
      </c>
      <c r="J459" s="86"/>
      <c r="K459" s="7"/>
      <c r="L459" s="72"/>
      <c r="M459" s="22"/>
      <c r="N459" s="7"/>
      <c r="O459" s="23"/>
      <c r="P459" s="80"/>
      <c r="Q459" s="78"/>
    </row>
    <row r="460" spans="1:17" ht="12.75">
      <c r="A460" s="34" t="s">
        <v>332</v>
      </c>
      <c r="B460" s="97">
        <v>1239</v>
      </c>
      <c r="C460" s="197"/>
      <c r="D460" s="146">
        <f>10000+2000+13500+2500+3000</f>
        <v>31000</v>
      </c>
      <c r="E460" s="146"/>
      <c r="F460" s="134">
        <f t="shared" si="124"/>
        <v>31000</v>
      </c>
      <c r="G460" s="263">
        <f>489+9150</f>
        <v>9639</v>
      </c>
      <c r="H460" s="308"/>
      <c r="I460" s="244">
        <f t="shared" si="125"/>
        <v>40639</v>
      </c>
      <c r="J460" s="86"/>
      <c r="K460" s="7"/>
      <c r="L460" s="72"/>
      <c r="M460" s="22"/>
      <c r="N460" s="7"/>
      <c r="O460" s="23"/>
      <c r="P460" s="80"/>
      <c r="Q460" s="78"/>
    </row>
    <row r="461" spans="1:17" ht="12.75">
      <c r="A461" s="38" t="s">
        <v>290</v>
      </c>
      <c r="B461" s="97">
        <v>1300</v>
      </c>
      <c r="C461" s="197">
        <v>16000</v>
      </c>
      <c r="D461" s="146">
        <f>1050+900</f>
        <v>1950</v>
      </c>
      <c r="E461" s="146">
        <f>23.4+1900</f>
        <v>1923.4</v>
      </c>
      <c r="F461" s="134">
        <f t="shared" si="124"/>
        <v>19873.4</v>
      </c>
      <c r="G461" s="263"/>
      <c r="H461" s="308">
        <f>67040.29</f>
        <v>67040.29</v>
      </c>
      <c r="I461" s="244">
        <f t="shared" si="125"/>
        <v>86913.69</v>
      </c>
      <c r="J461" s="86"/>
      <c r="K461" s="7"/>
      <c r="L461" s="72"/>
      <c r="M461" s="22"/>
      <c r="N461" s="7"/>
      <c r="O461" s="23"/>
      <c r="P461" s="80"/>
      <c r="Q461" s="78"/>
    </row>
    <row r="462" spans="1:17" ht="12.75">
      <c r="A462" s="37" t="s">
        <v>325</v>
      </c>
      <c r="B462" s="100">
        <v>1110</v>
      </c>
      <c r="C462" s="294">
        <v>30000</v>
      </c>
      <c r="D462" s="213"/>
      <c r="E462" s="213"/>
      <c r="F462" s="229">
        <f t="shared" si="124"/>
        <v>30000</v>
      </c>
      <c r="G462" s="268">
        <f>15818</f>
        <v>15818</v>
      </c>
      <c r="H462" s="312"/>
      <c r="I462" s="248">
        <f t="shared" si="125"/>
        <v>45818</v>
      </c>
      <c r="J462" s="86"/>
      <c r="K462" s="7"/>
      <c r="L462" s="72"/>
      <c r="M462" s="22"/>
      <c r="N462" s="7"/>
      <c r="O462" s="23"/>
      <c r="P462" s="80"/>
      <c r="Q462" s="78"/>
    </row>
    <row r="463" spans="1:17" ht="12.75">
      <c r="A463" s="31" t="s">
        <v>141</v>
      </c>
      <c r="B463" s="101"/>
      <c r="C463" s="196">
        <f aca="true" t="shared" si="126" ref="C463:Q463">C464</f>
        <v>1</v>
      </c>
      <c r="D463" s="129">
        <f t="shared" si="126"/>
        <v>2347.5</v>
      </c>
      <c r="E463" s="129">
        <f t="shared" si="126"/>
        <v>0</v>
      </c>
      <c r="F463" s="140">
        <f t="shared" si="126"/>
        <v>2348.5</v>
      </c>
      <c r="G463" s="262">
        <f t="shared" si="126"/>
        <v>0</v>
      </c>
      <c r="H463" s="307">
        <f t="shared" si="126"/>
        <v>0</v>
      </c>
      <c r="I463" s="243">
        <f t="shared" si="126"/>
        <v>2348.5</v>
      </c>
      <c r="J463" s="140">
        <f t="shared" si="126"/>
        <v>0</v>
      </c>
      <c r="K463" s="112">
        <f t="shared" si="126"/>
        <v>0</v>
      </c>
      <c r="L463" s="129">
        <f t="shared" si="126"/>
        <v>2348.5</v>
      </c>
      <c r="M463" s="111">
        <f t="shared" si="126"/>
        <v>0</v>
      </c>
      <c r="N463" s="111">
        <f t="shared" si="126"/>
        <v>0</v>
      </c>
      <c r="O463" s="111">
        <f t="shared" si="126"/>
        <v>2348.5</v>
      </c>
      <c r="P463" s="111">
        <f t="shared" si="126"/>
        <v>0</v>
      </c>
      <c r="Q463" s="196">
        <f t="shared" si="126"/>
        <v>2348.5</v>
      </c>
    </row>
    <row r="464" spans="1:17" ht="12.75">
      <c r="A464" s="40" t="s">
        <v>49</v>
      </c>
      <c r="B464" s="101"/>
      <c r="C464" s="200">
        <f>C466</f>
        <v>1</v>
      </c>
      <c r="D464" s="149">
        <f aca="true" t="shared" si="127" ref="D464:Q464">D466</f>
        <v>2347.5</v>
      </c>
      <c r="E464" s="149">
        <f t="shared" si="127"/>
        <v>0</v>
      </c>
      <c r="F464" s="175">
        <f t="shared" si="127"/>
        <v>2348.5</v>
      </c>
      <c r="G464" s="265">
        <f t="shared" si="127"/>
        <v>0</v>
      </c>
      <c r="H464" s="311">
        <f t="shared" si="127"/>
        <v>0</v>
      </c>
      <c r="I464" s="246">
        <f t="shared" si="127"/>
        <v>2348.5</v>
      </c>
      <c r="J464" s="175">
        <f t="shared" si="127"/>
        <v>0</v>
      </c>
      <c r="K464" s="119">
        <f t="shared" si="127"/>
        <v>0</v>
      </c>
      <c r="L464" s="149">
        <f t="shared" si="127"/>
        <v>2348.5</v>
      </c>
      <c r="M464" s="118">
        <f t="shared" si="127"/>
        <v>0</v>
      </c>
      <c r="N464" s="118">
        <f t="shared" si="127"/>
        <v>0</v>
      </c>
      <c r="O464" s="118">
        <f t="shared" si="127"/>
        <v>2348.5</v>
      </c>
      <c r="P464" s="118">
        <f t="shared" si="127"/>
        <v>0</v>
      </c>
      <c r="Q464" s="200">
        <f t="shared" si="127"/>
        <v>2348.5</v>
      </c>
    </row>
    <row r="465" spans="1:17" ht="12.75">
      <c r="A465" s="36" t="s">
        <v>26</v>
      </c>
      <c r="B465" s="97"/>
      <c r="C465" s="197"/>
      <c r="D465" s="146"/>
      <c r="E465" s="146"/>
      <c r="F465" s="134"/>
      <c r="G465" s="263"/>
      <c r="H465" s="308"/>
      <c r="I465" s="244"/>
      <c r="J465" s="86"/>
      <c r="K465" s="7"/>
      <c r="L465" s="72"/>
      <c r="M465" s="22"/>
      <c r="N465" s="7"/>
      <c r="O465" s="23"/>
      <c r="P465" s="80"/>
      <c r="Q465" s="78"/>
    </row>
    <row r="466" spans="1:17" ht="12.75">
      <c r="A466" s="223" t="s">
        <v>51</v>
      </c>
      <c r="B466" s="224"/>
      <c r="C466" s="292">
        <v>1</v>
      </c>
      <c r="D466" s="213">
        <f>5347.5-3000</f>
        <v>2347.5</v>
      </c>
      <c r="E466" s="225"/>
      <c r="F466" s="231">
        <f>C466+D466+E466</f>
        <v>2348.5</v>
      </c>
      <c r="G466" s="268"/>
      <c r="H466" s="312"/>
      <c r="I466" s="248">
        <f>F466+G466+H466</f>
        <v>2348.5</v>
      </c>
      <c r="J466" s="177"/>
      <c r="K466" s="10"/>
      <c r="L466" s="71">
        <f>I466+J466+K466</f>
        <v>2348.5</v>
      </c>
      <c r="M466" s="26"/>
      <c r="N466" s="10"/>
      <c r="O466" s="27">
        <f>L466+M466+N466</f>
        <v>2348.5</v>
      </c>
      <c r="P466" s="83"/>
      <c r="Q466" s="84">
        <f>O466+P466</f>
        <v>2348.5</v>
      </c>
    </row>
    <row r="467" spans="1:17" ht="12.75">
      <c r="A467" s="31" t="s">
        <v>99</v>
      </c>
      <c r="B467" s="101"/>
      <c r="C467" s="196">
        <f>C469+C470</f>
        <v>671652</v>
      </c>
      <c r="D467" s="129">
        <f aca="true" t="shared" si="128" ref="D467:Q467">D469+D470</f>
        <v>572038.9000000001</v>
      </c>
      <c r="E467" s="129">
        <f t="shared" si="128"/>
        <v>0</v>
      </c>
      <c r="F467" s="140">
        <f t="shared" si="128"/>
        <v>1243690.9000000001</v>
      </c>
      <c r="G467" s="262">
        <f t="shared" si="128"/>
        <v>21127.149999999998</v>
      </c>
      <c r="H467" s="307">
        <f t="shared" si="128"/>
        <v>-159470.13</v>
      </c>
      <c r="I467" s="243">
        <f t="shared" si="128"/>
        <v>1105347.9200000002</v>
      </c>
      <c r="J467" s="140">
        <f t="shared" si="128"/>
        <v>0</v>
      </c>
      <c r="K467" s="112">
        <f t="shared" si="128"/>
        <v>0</v>
      </c>
      <c r="L467" s="129">
        <f t="shared" si="128"/>
        <v>1066213.57</v>
      </c>
      <c r="M467" s="111">
        <f t="shared" si="128"/>
        <v>0</v>
      </c>
      <c r="N467" s="111">
        <f t="shared" si="128"/>
        <v>0</v>
      </c>
      <c r="O467" s="111">
        <f t="shared" si="128"/>
        <v>1066213.57</v>
      </c>
      <c r="P467" s="111">
        <f t="shared" si="128"/>
        <v>0</v>
      </c>
      <c r="Q467" s="196">
        <f t="shared" si="128"/>
        <v>1066213.57</v>
      </c>
    </row>
    <row r="468" spans="1:17" ht="12.75">
      <c r="A468" s="33" t="s">
        <v>26</v>
      </c>
      <c r="B468" s="97"/>
      <c r="C468" s="196"/>
      <c r="D468" s="129"/>
      <c r="E468" s="129"/>
      <c r="F468" s="140"/>
      <c r="G468" s="262"/>
      <c r="H468" s="307"/>
      <c r="I468" s="243"/>
      <c r="J468" s="140"/>
      <c r="K468" s="112"/>
      <c r="L468" s="129"/>
      <c r="M468" s="111"/>
      <c r="N468" s="111"/>
      <c r="O468" s="111"/>
      <c r="P468" s="111"/>
      <c r="Q468" s="196"/>
    </row>
    <row r="469" spans="1:17" ht="12.75">
      <c r="A469" s="31" t="s">
        <v>49</v>
      </c>
      <c r="B469" s="101"/>
      <c r="C469" s="199">
        <f>C476+C478+C490+C492+C497+C508+C493+C483+C510+C485+C514</f>
        <v>42850.65</v>
      </c>
      <c r="D469" s="147">
        <f>D476+D478+D490+D492+D497+D508+D493+D483+D510+D485+D514</f>
        <v>10290.630000000001</v>
      </c>
      <c r="E469" s="147">
        <f>E476+E478+E490+E492+E497+E508+E493+E483+E510+E485+E514</f>
        <v>0</v>
      </c>
      <c r="F469" s="232">
        <f>F476+F478+F490+F492+F497+F508+F493+F483+F510+F485+F514</f>
        <v>53141.28</v>
      </c>
      <c r="G469" s="267">
        <f aca="true" t="shared" si="129" ref="G469:Q469">G476+G478+G490+G492+G497+G508+G493+G483+G510+G485+G514</f>
        <v>4810.8</v>
      </c>
      <c r="H469" s="309">
        <f t="shared" si="129"/>
        <v>-500</v>
      </c>
      <c r="I469" s="226">
        <f t="shared" si="129"/>
        <v>57452.08</v>
      </c>
      <c r="J469" s="161">
        <f t="shared" si="129"/>
        <v>0</v>
      </c>
      <c r="K469" s="193">
        <f t="shared" si="129"/>
        <v>0</v>
      </c>
      <c r="L469" s="193">
        <f t="shared" si="129"/>
        <v>52442.08</v>
      </c>
      <c r="M469" s="193">
        <f t="shared" si="129"/>
        <v>0</v>
      </c>
      <c r="N469" s="193">
        <f t="shared" si="129"/>
        <v>0</v>
      </c>
      <c r="O469" s="193">
        <f t="shared" si="129"/>
        <v>52442.08</v>
      </c>
      <c r="P469" s="193">
        <f t="shared" si="129"/>
        <v>0</v>
      </c>
      <c r="Q469" s="193">
        <f t="shared" si="129"/>
        <v>52442.08</v>
      </c>
    </row>
    <row r="470" spans="1:17" ht="12.75">
      <c r="A470" s="31" t="s">
        <v>54</v>
      </c>
      <c r="B470" s="101"/>
      <c r="C470" s="199">
        <f>+C473+C474+C475+C479+C480+C482+C484+C486+C488+C489+C491+C494+C496+C498+C499+C501+C502+C504+C505+C507+C509+C511+C513</f>
        <v>628801.35</v>
      </c>
      <c r="D470" s="147">
        <f>+D473+D474+D475+D479+D480+D482+D484+D486+D488+D489+D491+D494+D496+D498+D499+D501+D502+D504+D505+D507+D509+D511+D513</f>
        <v>561748.2700000001</v>
      </c>
      <c r="E470" s="147">
        <f>+E473+E474+E475+E479+E480+E482+E484+E486+E488+E489+E491+E494+E496+E498+E499+E501+E502+E504+E505+E507+E509+E511+E513</f>
        <v>0</v>
      </c>
      <c r="F470" s="232">
        <f>+F473+F474+F475+F479+F480+F482+F484+F486+F488+F489+F491+F494+F496+F498+F499+F501+F502+F504+F505+F507+F509+F511+F513</f>
        <v>1190549.62</v>
      </c>
      <c r="G470" s="267">
        <f aca="true" t="shared" si="130" ref="G470:Q470">+G473+G474+G475+G479+G480+G482+G484+G486+G488+G489+G491+G494+G496+G498+G499+G501+G502+G504+G505+G507+G509+G511+G513</f>
        <v>16316.349999999999</v>
      </c>
      <c r="H470" s="309">
        <f t="shared" si="130"/>
        <v>-158970.13</v>
      </c>
      <c r="I470" s="226">
        <f t="shared" si="130"/>
        <v>1047895.8400000002</v>
      </c>
      <c r="J470" s="161">
        <f t="shared" si="130"/>
        <v>0</v>
      </c>
      <c r="K470" s="193">
        <f t="shared" si="130"/>
        <v>0</v>
      </c>
      <c r="L470" s="193">
        <f t="shared" si="130"/>
        <v>1013771.4900000001</v>
      </c>
      <c r="M470" s="193">
        <f t="shared" si="130"/>
        <v>0</v>
      </c>
      <c r="N470" s="193">
        <f t="shared" si="130"/>
        <v>0</v>
      </c>
      <c r="O470" s="193">
        <f t="shared" si="130"/>
        <v>1013771.4900000001</v>
      </c>
      <c r="P470" s="193">
        <f t="shared" si="130"/>
        <v>0</v>
      </c>
      <c r="Q470" s="193">
        <f t="shared" si="130"/>
        <v>1013771.4900000001</v>
      </c>
    </row>
    <row r="471" spans="1:17" ht="12.75">
      <c r="A471" s="32" t="s">
        <v>100</v>
      </c>
      <c r="B471" s="97"/>
      <c r="C471" s="196"/>
      <c r="D471" s="129"/>
      <c r="E471" s="129"/>
      <c r="F471" s="140"/>
      <c r="G471" s="262"/>
      <c r="H471" s="307"/>
      <c r="I471" s="243"/>
      <c r="J471" s="130"/>
      <c r="K471" s="6"/>
      <c r="L471" s="68"/>
      <c r="M471" s="20"/>
      <c r="N471" s="6"/>
      <c r="O471" s="21"/>
      <c r="P471" s="80"/>
      <c r="Q471" s="78"/>
    </row>
    <row r="472" spans="1:17" ht="12.75">
      <c r="A472" s="33" t="s">
        <v>104</v>
      </c>
      <c r="B472" s="97">
        <v>10</v>
      </c>
      <c r="C472" s="197">
        <f>SUM(C473:C476)</f>
        <v>155000</v>
      </c>
      <c r="D472" s="146">
        <f aca="true" t="shared" si="131" ref="D472:Q472">SUM(D473:D476)</f>
        <v>67670.95999999999</v>
      </c>
      <c r="E472" s="146">
        <f t="shared" si="131"/>
        <v>0</v>
      </c>
      <c r="F472" s="134">
        <f t="shared" si="131"/>
        <v>222670.96000000002</v>
      </c>
      <c r="G472" s="263">
        <f t="shared" si="131"/>
        <v>16146.619999999999</v>
      </c>
      <c r="H472" s="308">
        <f t="shared" si="131"/>
        <v>0</v>
      </c>
      <c r="I472" s="244">
        <f t="shared" si="131"/>
        <v>238817.58000000002</v>
      </c>
      <c r="J472" s="160">
        <f t="shared" si="131"/>
        <v>0</v>
      </c>
      <c r="K472" s="160">
        <f t="shared" si="131"/>
        <v>0</v>
      </c>
      <c r="L472" s="160">
        <f t="shared" si="131"/>
        <v>238817.58000000002</v>
      </c>
      <c r="M472" s="160">
        <f t="shared" si="131"/>
        <v>0</v>
      </c>
      <c r="N472" s="160">
        <f t="shared" si="131"/>
        <v>0</v>
      </c>
      <c r="O472" s="160">
        <f t="shared" si="131"/>
        <v>238817.58000000002</v>
      </c>
      <c r="P472" s="160">
        <f t="shared" si="131"/>
        <v>0</v>
      </c>
      <c r="Q472" s="160">
        <f t="shared" si="131"/>
        <v>238817.58000000002</v>
      </c>
    </row>
    <row r="473" spans="1:17" ht="12.75" hidden="1">
      <c r="A473" s="33" t="s">
        <v>105</v>
      </c>
      <c r="B473" s="97"/>
      <c r="C473" s="197"/>
      <c r="D473" s="146"/>
      <c r="E473" s="146"/>
      <c r="F473" s="134">
        <f aca="true" t="shared" si="132" ref="F473:F517">C473+D473+E473</f>
        <v>0</v>
      </c>
      <c r="G473" s="263"/>
      <c r="H473" s="308"/>
      <c r="I473" s="244">
        <f>F473+G473+H473</f>
        <v>0</v>
      </c>
      <c r="J473" s="86"/>
      <c r="K473" s="7"/>
      <c r="L473" s="72">
        <f>I473+J473+K473</f>
        <v>0</v>
      </c>
      <c r="M473" s="22"/>
      <c r="N473" s="7"/>
      <c r="O473" s="23">
        <f>L473+M473+N473</f>
        <v>0</v>
      </c>
      <c r="P473" s="80"/>
      <c r="Q473" s="78">
        <f>O473+P473</f>
        <v>0</v>
      </c>
    </row>
    <row r="474" spans="1:17" ht="12.75">
      <c r="A474" s="98" t="s">
        <v>102</v>
      </c>
      <c r="B474" s="97"/>
      <c r="C474" s="197">
        <v>140000</v>
      </c>
      <c r="D474" s="215">
        <f>24156.01+55000</f>
        <v>79156.01</v>
      </c>
      <c r="E474" s="215"/>
      <c r="F474" s="134">
        <f t="shared" si="132"/>
        <v>219156.01</v>
      </c>
      <c r="G474" s="263">
        <f>14000</f>
        <v>14000</v>
      </c>
      <c r="H474" s="308"/>
      <c r="I474" s="244">
        <f>F474+G474+H474</f>
        <v>233156.01</v>
      </c>
      <c r="J474" s="86"/>
      <c r="K474" s="7"/>
      <c r="L474" s="72">
        <f>I474+J474+K474</f>
        <v>233156.01</v>
      </c>
      <c r="M474" s="22"/>
      <c r="N474" s="7"/>
      <c r="O474" s="23">
        <f>L474+M474+N474</f>
        <v>233156.01</v>
      </c>
      <c r="P474" s="80"/>
      <c r="Q474" s="78">
        <f>O474+P474</f>
        <v>233156.01</v>
      </c>
    </row>
    <row r="475" spans="1:17" ht="12.75">
      <c r="A475" s="33" t="s">
        <v>103</v>
      </c>
      <c r="B475" s="97"/>
      <c r="C475" s="197"/>
      <c r="D475" s="146">
        <f>1000</f>
        <v>1000</v>
      </c>
      <c r="E475" s="146"/>
      <c r="F475" s="134">
        <f t="shared" si="132"/>
        <v>1000</v>
      </c>
      <c r="G475" s="263">
        <f>1146.62</f>
        <v>1146.62</v>
      </c>
      <c r="H475" s="308"/>
      <c r="I475" s="244">
        <f>F475+G475+H475</f>
        <v>2146.62</v>
      </c>
      <c r="J475" s="86"/>
      <c r="K475" s="7"/>
      <c r="L475" s="72">
        <f>I475+J475+K475</f>
        <v>2146.62</v>
      </c>
      <c r="M475" s="22"/>
      <c r="N475" s="7"/>
      <c r="O475" s="23">
        <f>L475+M475+N475</f>
        <v>2146.62</v>
      </c>
      <c r="P475" s="80"/>
      <c r="Q475" s="78">
        <f>O475+P475</f>
        <v>2146.62</v>
      </c>
    </row>
    <row r="476" spans="1:17" ht="12.75">
      <c r="A476" s="34" t="s">
        <v>132</v>
      </c>
      <c r="B476" s="97"/>
      <c r="C476" s="197">
        <v>15000</v>
      </c>
      <c r="D476" s="283">
        <f>-12485.05</f>
        <v>-12485.05</v>
      </c>
      <c r="E476" s="146"/>
      <c r="F476" s="134">
        <f t="shared" si="132"/>
        <v>2514.9500000000007</v>
      </c>
      <c r="G476" s="263">
        <f>1000</f>
        <v>1000</v>
      </c>
      <c r="H476" s="308"/>
      <c r="I476" s="244">
        <f>F476+G476+H476</f>
        <v>3514.9500000000007</v>
      </c>
      <c r="J476" s="86"/>
      <c r="K476" s="7"/>
      <c r="L476" s="72">
        <f>I476+J476+K476</f>
        <v>3514.9500000000007</v>
      </c>
      <c r="M476" s="22"/>
      <c r="N476" s="7"/>
      <c r="O476" s="23">
        <f>L476+M476+N476</f>
        <v>3514.9500000000007</v>
      </c>
      <c r="P476" s="80"/>
      <c r="Q476" s="78">
        <f>O476+P476</f>
        <v>3514.9500000000007</v>
      </c>
    </row>
    <row r="477" spans="1:17" ht="12.75">
      <c r="A477" s="33" t="s">
        <v>107</v>
      </c>
      <c r="B477" s="97">
        <v>12</v>
      </c>
      <c r="C477" s="197">
        <f aca="true" t="shared" si="133" ref="C477:Q477">C478+C479+C480</f>
        <v>46500</v>
      </c>
      <c r="D477" s="146">
        <f t="shared" si="133"/>
        <v>103625.43000000001</v>
      </c>
      <c r="E477" s="146">
        <f t="shared" si="133"/>
        <v>0</v>
      </c>
      <c r="F477" s="134">
        <f t="shared" si="133"/>
        <v>150125.43000000002</v>
      </c>
      <c r="G477" s="263">
        <f t="shared" si="133"/>
        <v>-20000</v>
      </c>
      <c r="H477" s="308">
        <f t="shared" si="133"/>
        <v>-90500</v>
      </c>
      <c r="I477" s="244">
        <f t="shared" si="133"/>
        <v>39625.43</v>
      </c>
      <c r="J477" s="160">
        <f t="shared" si="133"/>
        <v>0</v>
      </c>
      <c r="K477" s="160">
        <f t="shared" si="133"/>
        <v>0</v>
      </c>
      <c r="L477" s="160">
        <f t="shared" si="133"/>
        <v>39625.43</v>
      </c>
      <c r="M477" s="160">
        <f t="shared" si="133"/>
        <v>0</v>
      </c>
      <c r="N477" s="160">
        <f t="shared" si="133"/>
        <v>0</v>
      </c>
      <c r="O477" s="160">
        <f t="shared" si="133"/>
        <v>39625.43</v>
      </c>
      <c r="P477" s="160">
        <f t="shared" si="133"/>
        <v>0</v>
      </c>
      <c r="Q477" s="160">
        <f t="shared" si="133"/>
        <v>39625.43</v>
      </c>
    </row>
    <row r="478" spans="1:17" ht="12.75">
      <c r="A478" s="33" t="s">
        <v>108</v>
      </c>
      <c r="B478" s="97"/>
      <c r="C478" s="197">
        <v>3249.65</v>
      </c>
      <c r="D478" s="146">
        <f>1639.99</f>
        <v>1639.99</v>
      </c>
      <c r="E478" s="146"/>
      <c r="F478" s="134">
        <f t="shared" si="132"/>
        <v>4889.64</v>
      </c>
      <c r="G478" s="263"/>
      <c r="H478" s="308"/>
      <c r="I478" s="244">
        <f>F478+G478+H478</f>
        <v>4889.64</v>
      </c>
      <c r="J478" s="86"/>
      <c r="K478" s="7"/>
      <c r="L478" s="72">
        <f>I478+J478+K478</f>
        <v>4889.64</v>
      </c>
      <c r="M478" s="22"/>
      <c r="N478" s="7"/>
      <c r="O478" s="23">
        <f>L478+M478+N478</f>
        <v>4889.64</v>
      </c>
      <c r="P478" s="80"/>
      <c r="Q478" s="78">
        <f>O478+P478</f>
        <v>4889.64</v>
      </c>
    </row>
    <row r="479" spans="1:17" ht="12.75">
      <c r="A479" s="33" t="s">
        <v>106</v>
      </c>
      <c r="B479" s="97"/>
      <c r="C479" s="197">
        <v>41500</v>
      </c>
      <c r="D479" s="146">
        <f>102295.44</f>
        <v>102295.44</v>
      </c>
      <c r="E479" s="146"/>
      <c r="F479" s="134">
        <f t="shared" si="132"/>
        <v>143795.44</v>
      </c>
      <c r="G479" s="263">
        <f>-20000</f>
        <v>-20000</v>
      </c>
      <c r="H479" s="308">
        <f>-90500</f>
        <v>-90500</v>
      </c>
      <c r="I479" s="244">
        <f>F479+G479+H479</f>
        <v>33295.44</v>
      </c>
      <c r="J479" s="86"/>
      <c r="K479" s="7"/>
      <c r="L479" s="72">
        <f>I479+J479+K479</f>
        <v>33295.44</v>
      </c>
      <c r="M479" s="22"/>
      <c r="N479" s="7"/>
      <c r="O479" s="23">
        <f>L479+M479+N479</f>
        <v>33295.44</v>
      </c>
      <c r="P479" s="80"/>
      <c r="Q479" s="78">
        <f>O479+P479</f>
        <v>33295.44</v>
      </c>
    </row>
    <row r="480" spans="1:17" ht="12.75" customHeight="1">
      <c r="A480" s="33" t="s">
        <v>103</v>
      </c>
      <c r="B480" s="97"/>
      <c r="C480" s="197">
        <v>1750.35</v>
      </c>
      <c r="D480" s="146">
        <f>-310</f>
        <v>-310</v>
      </c>
      <c r="E480" s="146"/>
      <c r="F480" s="134">
        <f t="shared" si="132"/>
        <v>1440.35</v>
      </c>
      <c r="G480" s="263">
        <f>1251.29-1251.29</f>
        <v>0</v>
      </c>
      <c r="H480" s="308"/>
      <c r="I480" s="244">
        <f>F480+G480+H480</f>
        <v>1440.35</v>
      </c>
      <c r="J480" s="86"/>
      <c r="K480" s="7"/>
      <c r="L480" s="72">
        <f>I480+J480+K480</f>
        <v>1440.35</v>
      </c>
      <c r="M480" s="22"/>
      <c r="N480" s="7"/>
      <c r="O480" s="23">
        <f>L480+M480+N480</f>
        <v>1440.35</v>
      </c>
      <c r="P480" s="80"/>
      <c r="Q480" s="78">
        <f>O480+P480</f>
        <v>1440.35</v>
      </c>
    </row>
    <row r="481" spans="1:17" ht="12.75">
      <c r="A481" s="33" t="s">
        <v>109</v>
      </c>
      <c r="B481" s="97">
        <v>14</v>
      </c>
      <c r="C481" s="197">
        <f>SUM(C482:C486)</f>
        <v>100000</v>
      </c>
      <c r="D481" s="146">
        <f aca="true" t="shared" si="134" ref="D481:Q481">SUM(D482:D486)</f>
        <v>89233.02</v>
      </c>
      <c r="E481" s="146">
        <f t="shared" si="134"/>
        <v>0</v>
      </c>
      <c r="F481" s="134">
        <f t="shared" si="134"/>
        <v>189233.02</v>
      </c>
      <c r="G481" s="263">
        <f t="shared" si="134"/>
        <v>24980.53</v>
      </c>
      <c r="H481" s="308">
        <f t="shared" si="134"/>
        <v>0</v>
      </c>
      <c r="I481" s="244">
        <f t="shared" si="134"/>
        <v>214213.55</v>
      </c>
      <c r="J481" s="160">
        <f t="shared" si="134"/>
        <v>0</v>
      </c>
      <c r="K481" s="160">
        <f t="shared" si="134"/>
        <v>0</v>
      </c>
      <c r="L481" s="160">
        <f t="shared" si="134"/>
        <v>214213.55</v>
      </c>
      <c r="M481" s="160">
        <f t="shared" si="134"/>
        <v>0</v>
      </c>
      <c r="N481" s="160">
        <f t="shared" si="134"/>
        <v>0</v>
      </c>
      <c r="O481" s="160">
        <f t="shared" si="134"/>
        <v>214213.55</v>
      </c>
      <c r="P481" s="160">
        <f t="shared" si="134"/>
        <v>0</v>
      </c>
      <c r="Q481" s="160">
        <f t="shared" si="134"/>
        <v>214213.55</v>
      </c>
    </row>
    <row r="482" spans="1:17" ht="12.75">
      <c r="A482" s="33" t="s">
        <v>110</v>
      </c>
      <c r="B482" s="97"/>
      <c r="C482" s="197">
        <v>64700</v>
      </c>
      <c r="D482" s="215">
        <f>45466.63-500+500</f>
        <v>45466.63</v>
      </c>
      <c r="E482" s="215"/>
      <c r="F482" s="134">
        <f t="shared" si="132"/>
        <v>110166.63</v>
      </c>
      <c r="G482" s="263">
        <f>560+56.73+2258+7350</f>
        <v>10224.73</v>
      </c>
      <c r="H482" s="308"/>
      <c r="I482" s="244">
        <f>F482+G482+H482</f>
        <v>120391.36</v>
      </c>
      <c r="J482" s="86"/>
      <c r="K482" s="7"/>
      <c r="L482" s="72">
        <f>I482+J482+K482</f>
        <v>120391.36</v>
      </c>
      <c r="M482" s="22"/>
      <c r="N482" s="7"/>
      <c r="O482" s="23">
        <f>L482+M482+N482</f>
        <v>120391.36</v>
      </c>
      <c r="P482" s="80"/>
      <c r="Q482" s="78">
        <f aca="true" t="shared" si="135" ref="Q482:Q528">O482+P482</f>
        <v>120391.36</v>
      </c>
    </row>
    <row r="483" spans="1:17" ht="12.75">
      <c r="A483" s="33" t="s">
        <v>111</v>
      </c>
      <c r="B483" s="97"/>
      <c r="C483" s="197">
        <v>15300</v>
      </c>
      <c r="D483" s="146">
        <f>7126.46</f>
        <v>7126.46</v>
      </c>
      <c r="E483" s="146"/>
      <c r="F483" s="134">
        <f t="shared" si="132"/>
        <v>22426.46</v>
      </c>
      <c r="G483" s="263">
        <f>-60+40.8-2000+1150</f>
        <v>-869.2</v>
      </c>
      <c r="H483" s="308"/>
      <c r="I483" s="244">
        <f>F483+G483+H483</f>
        <v>21557.26</v>
      </c>
      <c r="J483" s="86"/>
      <c r="K483" s="7"/>
      <c r="L483" s="72">
        <f>I483+J483+K483</f>
        <v>21557.26</v>
      </c>
      <c r="M483" s="22"/>
      <c r="N483" s="7"/>
      <c r="O483" s="23">
        <f>L483+M483+N483</f>
        <v>21557.26</v>
      </c>
      <c r="P483" s="80"/>
      <c r="Q483" s="78">
        <f t="shared" si="135"/>
        <v>21557.26</v>
      </c>
    </row>
    <row r="484" spans="1:17" ht="13.5" customHeight="1">
      <c r="A484" s="33" t="s">
        <v>112</v>
      </c>
      <c r="B484" s="97"/>
      <c r="C484" s="197">
        <v>11000</v>
      </c>
      <c r="D484" s="146">
        <f>30396.63+500+4500</f>
        <v>35396.630000000005</v>
      </c>
      <c r="E484" s="146"/>
      <c r="F484" s="134">
        <f t="shared" si="132"/>
        <v>46396.630000000005</v>
      </c>
      <c r="G484" s="263">
        <f>-500+3-873.75+16500-120</f>
        <v>15009.25</v>
      </c>
      <c r="H484" s="308"/>
      <c r="I484" s="244">
        <f>F484+G484+H484</f>
        <v>61405.880000000005</v>
      </c>
      <c r="J484" s="86"/>
      <c r="K484" s="7"/>
      <c r="L484" s="72">
        <f>I484+J484+K484</f>
        <v>61405.880000000005</v>
      </c>
      <c r="M484" s="22"/>
      <c r="N484" s="7"/>
      <c r="O484" s="23">
        <f>L484+M484+N484</f>
        <v>61405.880000000005</v>
      </c>
      <c r="P484" s="80"/>
      <c r="Q484" s="78">
        <f t="shared" si="135"/>
        <v>61405.880000000005</v>
      </c>
    </row>
    <row r="485" spans="1:17" ht="13.5" customHeight="1">
      <c r="A485" s="34" t="s">
        <v>132</v>
      </c>
      <c r="B485" s="97"/>
      <c r="C485" s="197">
        <v>9000</v>
      </c>
      <c r="D485" s="146">
        <f>1179.05</f>
        <v>1179.05</v>
      </c>
      <c r="E485" s="146"/>
      <c r="F485" s="134">
        <f t="shared" si="132"/>
        <v>10179.05</v>
      </c>
      <c r="G485" s="263">
        <f>680</f>
        <v>680</v>
      </c>
      <c r="H485" s="308"/>
      <c r="I485" s="244">
        <f>F485+G485+H485</f>
        <v>10859.05</v>
      </c>
      <c r="J485" s="86"/>
      <c r="K485" s="7"/>
      <c r="L485" s="72">
        <f>I485+J485+K485</f>
        <v>10859.05</v>
      </c>
      <c r="M485" s="22"/>
      <c r="N485" s="7"/>
      <c r="O485" s="23">
        <f>L485+M485+N485</f>
        <v>10859.05</v>
      </c>
      <c r="P485" s="80"/>
      <c r="Q485" s="78">
        <f t="shared" si="135"/>
        <v>10859.05</v>
      </c>
    </row>
    <row r="486" spans="1:17" ht="12.75">
      <c r="A486" s="33" t="s">
        <v>113</v>
      </c>
      <c r="B486" s="97"/>
      <c r="C486" s="197">
        <v>0</v>
      </c>
      <c r="D486" s="146">
        <f>64.25</f>
        <v>64.25</v>
      </c>
      <c r="E486" s="146"/>
      <c r="F486" s="134">
        <f t="shared" si="132"/>
        <v>64.25</v>
      </c>
      <c r="G486" s="263">
        <f>-64.25</f>
        <v>-64.25</v>
      </c>
      <c r="H486" s="308"/>
      <c r="I486" s="244">
        <f>F486+G486+H486</f>
        <v>0</v>
      </c>
      <c r="J486" s="86"/>
      <c r="K486" s="7"/>
      <c r="L486" s="72">
        <f>I486+J486+K486</f>
        <v>0</v>
      </c>
      <c r="M486" s="22"/>
      <c r="N486" s="7"/>
      <c r="O486" s="23">
        <f>L486+M486+N486</f>
        <v>0</v>
      </c>
      <c r="P486" s="80"/>
      <c r="Q486" s="78">
        <f t="shared" si="135"/>
        <v>0</v>
      </c>
    </row>
    <row r="487" spans="1:17" ht="12.75">
      <c r="A487" s="33" t="s">
        <v>114</v>
      </c>
      <c r="B487" s="97">
        <v>15</v>
      </c>
      <c r="C487" s="197">
        <f>SUM(C488:C494)</f>
        <v>250000</v>
      </c>
      <c r="D487" s="146">
        <f aca="true" t="shared" si="136" ref="D487:Q487">SUM(D488:D494)</f>
        <v>167727.81000000003</v>
      </c>
      <c r="E487" s="146">
        <f t="shared" si="136"/>
        <v>0</v>
      </c>
      <c r="F487" s="134">
        <f t="shared" si="136"/>
        <v>417727.81000000006</v>
      </c>
      <c r="G487" s="263">
        <f t="shared" si="136"/>
        <v>0</v>
      </c>
      <c r="H487" s="308">
        <f t="shared" si="136"/>
        <v>-25970.13</v>
      </c>
      <c r="I487" s="244">
        <f t="shared" si="136"/>
        <v>391757.68000000005</v>
      </c>
      <c r="J487" s="134">
        <f t="shared" si="136"/>
        <v>0</v>
      </c>
      <c r="K487" s="113">
        <f t="shared" si="136"/>
        <v>0</v>
      </c>
      <c r="L487" s="146">
        <f t="shared" si="136"/>
        <v>391757.68000000005</v>
      </c>
      <c r="M487" s="114">
        <f t="shared" si="136"/>
        <v>0</v>
      </c>
      <c r="N487" s="114">
        <f t="shared" si="136"/>
        <v>0</v>
      </c>
      <c r="O487" s="114">
        <f t="shared" si="136"/>
        <v>391757.68000000005</v>
      </c>
      <c r="P487" s="114">
        <f t="shared" si="136"/>
        <v>0</v>
      </c>
      <c r="Q487" s="197">
        <f t="shared" si="136"/>
        <v>391757.68000000005</v>
      </c>
    </row>
    <row r="488" spans="1:17" ht="12.75">
      <c r="A488" s="33" t="s">
        <v>115</v>
      </c>
      <c r="B488" s="97"/>
      <c r="C488" s="197">
        <v>218384.89</v>
      </c>
      <c r="D488" s="146">
        <f>335900.53-200000</f>
        <v>135900.53000000003</v>
      </c>
      <c r="E488" s="146"/>
      <c r="F488" s="134">
        <f t="shared" si="132"/>
        <v>354285.42000000004</v>
      </c>
      <c r="G488" s="263">
        <f>1300</f>
        <v>1300</v>
      </c>
      <c r="H488" s="308">
        <f>-22820.74</f>
        <v>-22820.74</v>
      </c>
      <c r="I488" s="244">
        <f aca="true" t="shared" si="137" ref="I488:I494">F488+G488+H488</f>
        <v>332764.68000000005</v>
      </c>
      <c r="J488" s="86"/>
      <c r="K488" s="7"/>
      <c r="L488" s="72">
        <f aca="true" t="shared" si="138" ref="L488:L494">I488+J488+K488</f>
        <v>332764.68000000005</v>
      </c>
      <c r="M488" s="22"/>
      <c r="N488" s="7"/>
      <c r="O488" s="23">
        <f aca="true" t="shared" si="139" ref="O488:O494">L488+M488+N488</f>
        <v>332764.68000000005</v>
      </c>
      <c r="P488" s="80"/>
      <c r="Q488" s="78">
        <f t="shared" si="135"/>
        <v>332764.68000000005</v>
      </c>
    </row>
    <row r="489" spans="1:17" ht="12.75" hidden="1">
      <c r="A489" s="33" t="s">
        <v>116</v>
      </c>
      <c r="B489" s="97"/>
      <c r="C489" s="197"/>
      <c r="D489" s="146"/>
      <c r="E489" s="146"/>
      <c r="F489" s="134">
        <f t="shared" si="132"/>
        <v>0</v>
      </c>
      <c r="G489" s="263"/>
      <c r="H489" s="308"/>
      <c r="I489" s="244">
        <f t="shared" si="137"/>
        <v>0</v>
      </c>
      <c r="J489" s="86"/>
      <c r="K489" s="7"/>
      <c r="L489" s="72">
        <f t="shared" si="138"/>
        <v>0</v>
      </c>
      <c r="M489" s="22"/>
      <c r="N489" s="7"/>
      <c r="O489" s="23">
        <f t="shared" si="139"/>
        <v>0</v>
      </c>
      <c r="P489" s="80"/>
      <c r="Q489" s="78">
        <f t="shared" si="135"/>
        <v>0</v>
      </c>
    </row>
    <row r="490" spans="1:17" ht="12.75" hidden="1">
      <c r="A490" s="33" t="s">
        <v>117</v>
      </c>
      <c r="B490" s="97"/>
      <c r="C490" s="197"/>
      <c r="D490" s="215"/>
      <c r="E490" s="215"/>
      <c r="F490" s="134">
        <f t="shared" si="132"/>
        <v>0</v>
      </c>
      <c r="G490" s="263"/>
      <c r="H490" s="308"/>
      <c r="I490" s="244">
        <f t="shared" si="137"/>
        <v>0</v>
      </c>
      <c r="J490" s="86"/>
      <c r="K490" s="7"/>
      <c r="L490" s="72">
        <f t="shared" si="138"/>
        <v>0</v>
      </c>
      <c r="M490" s="22"/>
      <c r="N490" s="7"/>
      <c r="O490" s="23">
        <f t="shared" si="139"/>
        <v>0</v>
      </c>
      <c r="P490" s="80"/>
      <c r="Q490" s="78">
        <f t="shared" si="135"/>
        <v>0</v>
      </c>
    </row>
    <row r="491" spans="1:17" ht="12.75">
      <c r="A491" s="33" t="s">
        <v>118</v>
      </c>
      <c r="B491" s="97"/>
      <c r="C491" s="197">
        <v>28865.11</v>
      </c>
      <c r="D491" s="146">
        <f>8982.01+600</f>
        <v>9582.01</v>
      </c>
      <c r="E491" s="146"/>
      <c r="F491" s="134">
        <f t="shared" si="132"/>
        <v>38447.12</v>
      </c>
      <c r="G491" s="263"/>
      <c r="H491" s="308">
        <f>-1006</f>
        <v>-1006</v>
      </c>
      <c r="I491" s="244">
        <f t="shared" si="137"/>
        <v>37441.12</v>
      </c>
      <c r="J491" s="86"/>
      <c r="K491" s="7"/>
      <c r="L491" s="72">
        <f t="shared" si="138"/>
        <v>37441.12</v>
      </c>
      <c r="M491" s="22"/>
      <c r="N491" s="7"/>
      <c r="O491" s="23">
        <f t="shared" si="139"/>
        <v>37441.12</v>
      </c>
      <c r="P491" s="80"/>
      <c r="Q491" s="78">
        <f t="shared" si="135"/>
        <v>37441.12</v>
      </c>
    </row>
    <row r="492" spans="1:17" ht="12.75">
      <c r="A492" s="33" t="s">
        <v>119</v>
      </c>
      <c r="B492" s="97"/>
      <c r="C492" s="197">
        <v>200</v>
      </c>
      <c r="D492" s="146">
        <f>745.74</f>
        <v>745.74</v>
      </c>
      <c r="E492" s="146"/>
      <c r="F492" s="134">
        <f t="shared" si="132"/>
        <v>945.74</v>
      </c>
      <c r="G492" s="263"/>
      <c r="H492" s="308"/>
      <c r="I492" s="244">
        <f t="shared" si="137"/>
        <v>945.74</v>
      </c>
      <c r="J492" s="239"/>
      <c r="K492" s="7"/>
      <c r="L492" s="72">
        <f t="shared" si="138"/>
        <v>945.74</v>
      </c>
      <c r="M492" s="22"/>
      <c r="N492" s="7"/>
      <c r="O492" s="23">
        <f t="shared" si="139"/>
        <v>945.74</v>
      </c>
      <c r="P492" s="80"/>
      <c r="Q492" s="78">
        <f t="shared" si="135"/>
        <v>945.74</v>
      </c>
    </row>
    <row r="493" spans="1:17" ht="12.75">
      <c r="A493" s="33" t="s">
        <v>120</v>
      </c>
      <c r="B493" s="97"/>
      <c r="C493" s="197">
        <v>0</v>
      </c>
      <c r="D493" s="146">
        <f>6940.44</f>
        <v>6940.44</v>
      </c>
      <c r="E493" s="146"/>
      <c r="F493" s="134">
        <f t="shared" si="132"/>
        <v>6940.44</v>
      </c>
      <c r="G493" s="263">
        <f>4000</f>
        <v>4000</v>
      </c>
      <c r="H493" s="308">
        <f>-500</f>
        <v>-500</v>
      </c>
      <c r="I493" s="244">
        <f t="shared" si="137"/>
        <v>10440.439999999999</v>
      </c>
      <c r="J493" s="86"/>
      <c r="K493" s="7"/>
      <c r="L493" s="72">
        <f t="shared" si="138"/>
        <v>10440.439999999999</v>
      </c>
      <c r="M493" s="22"/>
      <c r="N493" s="7"/>
      <c r="O493" s="23">
        <f t="shared" si="139"/>
        <v>10440.439999999999</v>
      </c>
      <c r="P493" s="80"/>
      <c r="Q493" s="78">
        <f t="shared" si="135"/>
        <v>10440.439999999999</v>
      </c>
    </row>
    <row r="494" spans="1:17" ht="12.75">
      <c r="A494" s="33" t="s">
        <v>113</v>
      </c>
      <c r="B494" s="97"/>
      <c r="C494" s="197">
        <v>2550</v>
      </c>
      <c r="D494" s="146">
        <f>14559.09</f>
        <v>14559.09</v>
      </c>
      <c r="E494" s="146"/>
      <c r="F494" s="134">
        <f t="shared" si="132"/>
        <v>17109.09</v>
      </c>
      <c r="G494" s="263">
        <f>-5300</f>
        <v>-5300</v>
      </c>
      <c r="H494" s="308">
        <f>-1643.39</f>
        <v>-1643.39</v>
      </c>
      <c r="I494" s="244">
        <f t="shared" si="137"/>
        <v>10165.7</v>
      </c>
      <c r="J494" s="86"/>
      <c r="K494" s="7"/>
      <c r="L494" s="72">
        <f t="shared" si="138"/>
        <v>10165.7</v>
      </c>
      <c r="M494" s="22"/>
      <c r="N494" s="7"/>
      <c r="O494" s="23">
        <f t="shared" si="139"/>
        <v>10165.7</v>
      </c>
      <c r="P494" s="80"/>
      <c r="Q494" s="78">
        <f t="shared" si="135"/>
        <v>10165.7</v>
      </c>
    </row>
    <row r="495" spans="1:17" ht="12.75">
      <c r="A495" s="33" t="s">
        <v>121</v>
      </c>
      <c r="B495" s="97">
        <v>16</v>
      </c>
      <c r="C495" s="197">
        <f>SUM(C496:C499)</f>
        <v>5000</v>
      </c>
      <c r="D495" s="146">
        <f aca="true" t="shared" si="140" ref="D495:Q495">SUM(D496:D499)</f>
        <v>36342.310000000005</v>
      </c>
      <c r="E495" s="146">
        <f t="shared" si="140"/>
        <v>0</v>
      </c>
      <c r="F495" s="134">
        <f t="shared" si="140"/>
        <v>41342.310000000005</v>
      </c>
      <c r="G495" s="263">
        <f t="shared" si="140"/>
        <v>0</v>
      </c>
      <c r="H495" s="308">
        <f t="shared" si="140"/>
        <v>-10000</v>
      </c>
      <c r="I495" s="244">
        <f t="shared" si="140"/>
        <v>31342.310000000005</v>
      </c>
      <c r="J495" s="134">
        <f t="shared" si="140"/>
        <v>0</v>
      </c>
      <c r="K495" s="113">
        <f t="shared" si="140"/>
        <v>0</v>
      </c>
      <c r="L495" s="146">
        <f t="shared" si="140"/>
        <v>31342.310000000005</v>
      </c>
      <c r="M495" s="114">
        <f t="shared" si="140"/>
        <v>0</v>
      </c>
      <c r="N495" s="114">
        <f t="shared" si="140"/>
        <v>0</v>
      </c>
      <c r="O495" s="114">
        <f t="shared" si="140"/>
        <v>31342.310000000005</v>
      </c>
      <c r="P495" s="114">
        <f t="shared" si="140"/>
        <v>0</v>
      </c>
      <c r="Q495" s="197">
        <f t="shared" si="140"/>
        <v>31342.310000000005</v>
      </c>
    </row>
    <row r="496" spans="1:17" ht="12.75">
      <c r="A496" s="33" t="s">
        <v>110</v>
      </c>
      <c r="B496" s="97"/>
      <c r="C496" s="197">
        <v>3201</v>
      </c>
      <c r="D496" s="146">
        <f>1700</f>
        <v>1700</v>
      </c>
      <c r="E496" s="146"/>
      <c r="F496" s="134">
        <f t="shared" si="132"/>
        <v>4901</v>
      </c>
      <c r="G496" s="263"/>
      <c r="H496" s="308"/>
      <c r="I496" s="244">
        <f>F496+G496+H496</f>
        <v>4901</v>
      </c>
      <c r="J496" s="86"/>
      <c r="K496" s="7"/>
      <c r="L496" s="72">
        <f>I496+J496+K496</f>
        <v>4901</v>
      </c>
      <c r="M496" s="22"/>
      <c r="N496" s="7"/>
      <c r="O496" s="23">
        <f>L496+M496+N496</f>
        <v>4901</v>
      </c>
      <c r="P496" s="80"/>
      <c r="Q496" s="78">
        <f t="shared" si="135"/>
        <v>4901</v>
      </c>
    </row>
    <row r="497" spans="1:17" ht="12.75">
      <c r="A497" s="33" t="s">
        <v>111</v>
      </c>
      <c r="B497" s="97"/>
      <c r="C497" s="197">
        <v>99</v>
      </c>
      <c r="D497" s="146"/>
      <c r="E497" s="146"/>
      <c r="F497" s="134">
        <f t="shared" si="132"/>
        <v>99</v>
      </c>
      <c r="G497" s="263"/>
      <c r="H497" s="308"/>
      <c r="I497" s="244">
        <f>F497+G497+H497</f>
        <v>99</v>
      </c>
      <c r="J497" s="86"/>
      <c r="K497" s="7"/>
      <c r="L497" s="72">
        <f>I497+J497+K497</f>
        <v>99</v>
      </c>
      <c r="M497" s="22"/>
      <c r="N497" s="7"/>
      <c r="O497" s="23">
        <f>L497+M497+N497</f>
        <v>99</v>
      </c>
      <c r="P497" s="80"/>
      <c r="Q497" s="78">
        <f t="shared" si="135"/>
        <v>99</v>
      </c>
    </row>
    <row r="498" spans="1:17" ht="12.75">
      <c r="A498" s="33" t="s">
        <v>112</v>
      </c>
      <c r="B498" s="97"/>
      <c r="C498" s="197">
        <v>1500</v>
      </c>
      <c r="D498" s="146">
        <f>34515.41</f>
        <v>34515.41</v>
      </c>
      <c r="E498" s="146"/>
      <c r="F498" s="134">
        <f t="shared" si="132"/>
        <v>36015.41</v>
      </c>
      <c r="G498" s="263"/>
      <c r="H498" s="308">
        <f>-10000</f>
        <v>-10000</v>
      </c>
      <c r="I498" s="244">
        <f>F498+G498+H498</f>
        <v>26015.410000000003</v>
      </c>
      <c r="J498" s="86"/>
      <c r="K498" s="7"/>
      <c r="L498" s="72">
        <f>I498+J498+K498</f>
        <v>26015.410000000003</v>
      </c>
      <c r="M498" s="22"/>
      <c r="N498" s="7"/>
      <c r="O498" s="23">
        <f>L498+M498+N498</f>
        <v>26015.410000000003</v>
      </c>
      <c r="P498" s="80"/>
      <c r="Q498" s="78">
        <f t="shared" si="135"/>
        <v>26015.410000000003</v>
      </c>
    </row>
    <row r="499" spans="1:17" ht="12.75">
      <c r="A499" s="33" t="s">
        <v>113</v>
      </c>
      <c r="B499" s="97"/>
      <c r="C499" s="197">
        <v>200</v>
      </c>
      <c r="D499" s="146">
        <f>126.9</f>
        <v>126.9</v>
      </c>
      <c r="E499" s="146"/>
      <c r="F499" s="134">
        <f t="shared" si="132"/>
        <v>326.9</v>
      </c>
      <c r="G499" s="263"/>
      <c r="H499" s="308"/>
      <c r="I499" s="244">
        <f>F499+G499+H499</f>
        <v>326.9</v>
      </c>
      <c r="J499" s="86"/>
      <c r="K499" s="7"/>
      <c r="L499" s="72">
        <f>I499+J499+K499</f>
        <v>326.9</v>
      </c>
      <c r="M499" s="22"/>
      <c r="N499" s="7"/>
      <c r="O499" s="23">
        <f>L499+M499+N499</f>
        <v>326.9</v>
      </c>
      <c r="P499" s="80"/>
      <c r="Q499" s="78">
        <f t="shared" si="135"/>
        <v>326.9</v>
      </c>
    </row>
    <row r="500" spans="1:17" ht="12.75">
      <c r="A500" s="33" t="s">
        <v>101</v>
      </c>
      <c r="B500" s="97">
        <v>18</v>
      </c>
      <c r="C500" s="197">
        <f>C501+C502</f>
        <v>1650</v>
      </c>
      <c r="D500" s="146">
        <f>D501+D502</f>
        <v>172.18</v>
      </c>
      <c r="E500" s="146">
        <f>E501+E502</f>
        <v>0</v>
      </c>
      <c r="F500" s="134">
        <f>F501+F502</f>
        <v>1822.18</v>
      </c>
      <c r="G500" s="263">
        <f aca="true" t="shared" si="141" ref="G500:Q500">G501+G502</f>
        <v>0</v>
      </c>
      <c r="H500" s="308">
        <f t="shared" si="141"/>
        <v>0</v>
      </c>
      <c r="I500" s="244">
        <f t="shared" si="141"/>
        <v>1822.18</v>
      </c>
      <c r="J500" s="160">
        <f t="shared" si="141"/>
        <v>0</v>
      </c>
      <c r="K500" s="160">
        <f t="shared" si="141"/>
        <v>0</v>
      </c>
      <c r="L500" s="160">
        <f t="shared" si="141"/>
        <v>0</v>
      </c>
      <c r="M500" s="160">
        <f t="shared" si="141"/>
        <v>0</v>
      </c>
      <c r="N500" s="160">
        <f t="shared" si="141"/>
        <v>0</v>
      </c>
      <c r="O500" s="160">
        <f t="shared" si="141"/>
        <v>0</v>
      </c>
      <c r="P500" s="160">
        <f t="shared" si="141"/>
        <v>0</v>
      </c>
      <c r="Q500" s="160">
        <f t="shared" si="141"/>
        <v>0</v>
      </c>
    </row>
    <row r="501" spans="1:17" ht="12.75">
      <c r="A501" s="33" t="s">
        <v>102</v>
      </c>
      <c r="B501" s="97"/>
      <c r="C501" s="197">
        <v>1650</v>
      </c>
      <c r="D501" s="146">
        <f>172.18</f>
        <v>172.18</v>
      </c>
      <c r="E501" s="146"/>
      <c r="F501" s="134">
        <f>C501+D501+E501</f>
        <v>1822.18</v>
      </c>
      <c r="G501" s="263"/>
      <c r="H501" s="308"/>
      <c r="I501" s="244">
        <f>F501+G501+H501</f>
        <v>1822.18</v>
      </c>
      <c r="J501" s="86"/>
      <c r="K501" s="7"/>
      <c r="L501" s="86"/>
      <c r="M501" s="22"/>
      <c r="N501" s="128"/>
      <c r="O501" s="86"/>
      <c r="P501" s="80"/>
      <c r="Q501" s="78"/>
    </row>
    <row r="502" spans="1:17" ht="12.75" hidden="1">
      <c r="A502" s="33" t="s">
        <v>103</v>
      </c>
      <c r="B502" s="97"/>
      <c r="C502" s="197">
        <v>0</v>
      </c>
      <c r="D502" s="146"/>
      <c r="E502" s="146"/>
      <c r="F502" s="134">
        <f>C502+D502+E502</f>
        <v>0</v>
      </c>
      <c r="G502" s="263"/>
      <c r="H502" s="308"/>
      <c r="I502" s="244"/>
      <c r="J502" s="86"/>
      <c r="K502" s="7"/>
      <c r="L502" s="86"/>
      <c r="M502" s="22"/>
      <c r="N502" s="128"/>
      <c r="O502" s="86"/>
      <c r="P502" s="80"/>
      <c r="Q502" s="78"/>
    </row>
    <row r="503" spans="1:17" ht="12.75">
      <c r="A503" s="98" t="s">
        <v>254</v>
      </c>
      <c r="B503" s="97">
        <v>19</v>
      </c>
      <c r="C503" s="197">
        <f>C504+C505</f>
        <v>5000</v>
      </c>
      <c r="D503" s="146">
        <f>D504+D505</f>
        <v>33902.079999999994</v>
      </c>
      <c r="E503" s="146">
        <f>E504+E505</f>
        <v>0</v>
      </c>
      <c r="F503" s="134">
        <f>F504+F505</f>
        <v>38902.079999999994</v>
      </c>
      <c r="G503" s="263">
        <f aca="true" t="shared" si="142" ref="G503:Q503">G504+G505</f>
        <v>0</v>
      </c>
      <c r="H503" s="308">
        <f t="shared" si="142"/>
        <v>-8000</v>
      </c>
      <c r="I503" s="244">
        <f t="shared" si="142"/>
        <v>30902.079999999998</v>
      </c>
      <c r="J503" s="160">
        <f t="shared" si="142"/>
        <v>0</v>
      </c>
      <c r="K503" s="160">
        <f t="shared" si="142"/>
        <v>0</v>
      </c>
      <c r="L503" s="160">
        <f t="shared" si="142"/>
        <v>0</v>
      </c>
      <c r="M503" s="160">
        <f t="shared" si="142"/>
        <v>0</v>
      </c>
      <c r="N503" s="160">
        <f t="shared" si="142"/>
        <v>0</v>
      </c>
      <c r="O503" s="160">
        <f t="shared" si="142"/>
        <v>0</v>
      </c>
      <c r="P503" s="160">
        <f t="shared" si="142"/>
        <v>0</v>
      </c>
      <c r="Q503" s="160">
        <f t="shared" si="142"/>
        <v>0</v>
      </c>
    </row>
    <row r="504" spans="1:17" ht="12.75">
      <c r="A504" s="33" t="s">
        <v>102</v>
      </c>
      <c r="B504" s="97"/>
      <c r="C504" s="197">
        <v>5000</v>
      </c>
      <c r="D504" s="146">
        <f>33312.31</f>
        <v>33312.31</v>
      </c>
      <c r="E504" s="146"/>
      <c r="F504" s="134">
        <f>C504+D504+E504</f>
        <v>38312.31</v>
      </c>
      <c r="G504" s="263"/>
      <c r="H504" s="308">
        <f>-8000</f>
        <v>-8000</v>
      </c>
      <c r="I504" s="244">
        <f>F504+G504+H504</f>
        <v>30312.309999999998</v>
      </c>
      <c r="J504" s="86"/>
      <c r="K504" s="7"/>
      <c r="L504" s="86"/>
      <c r="M504" s="22"/>
      <c r="N504" s="128"/>
      <c r="O504" s="86"/>
      <c r="P504" s="80"/>
      <c r="Q504" s="78"/>
    </row>
    <row r="505" spans="1:17" ht="12.75">
      <c r="A505" s="33" t="s">
        <v>103</v>
      </c>
      <c r="B505" s="97"/>
      <c r="C505" s="197"/>
      <c r="D505" s="146">
        <f>589.77</f>
        <v>589.77</v>
      </c>
      <c r="E505" s="146"/>
      <c r="F505" s="134">
        <f>C505+D505+E505</f>
        <v>589.77</v>
      </c>
      <c r="G505" s="263"/>
      <c r="H505" s="308"/>
      <c r="I505" s="244">
        <f>F505+G505+H505</f>
        <v>589.77</v>
      </c>
      <c r="J505" s="86"/>
      <c r="K505" s="7"/>
      <c r="L505" s="86"/>
      <c r="M505" s="22"/>
      <c r="N505" s="128"/>
      <c r="O505" s="86"/>
      <c r="P505" s="80"/>
      <c r="Q505" s="78"/>
    </row>
    <row r="506" spans="1:17" ht="12.75">
      <c r="A506" s="33" t="s">
        <v>122</v>
      </c>
      <c r="B506" s="97">
        <v>28</v>
      </c>
      <c r="C506" s="197">
        <f>SUM(C507:C511)</f>
        <v>108500</v>
      </c>
      <c r="D506" s="146">
        <f aca="true" t="shared" si="143" ref="D506:Q506">SUM(D507:D511)</f>
        <v>66957.02</v>
      </c>
      <c r="E506" s="146">
        <f t="shared" si="143"/>
        <v>0</v>
      </c>
      <c r="F506" s="134">
        <f t="shared" si="143"/>
        <v>175457.02</v>
      </c>
      <c r="G506" s="263">
        <f t="shared" si="143"/>
        <v>0</v>
      </c>
      <c r="H506" s="308">
        <f t="shared" si="143"/>
        <v>-25000</v>
      </c>
      <c r="I506" s="244">
        <f t="shared" si="143"/>
        <v>150457.02</v>
      </c>
      <c r="J506" s="134">
        <f t="shared" si="143"/>
        <v>0</v>
      </c>
      <c r="K506" s="113">
        <f t="shared" si="143"/>
        <v>0</v>
      </c>
      <c r="L506" s="146">
        <f t="shared" si="143"/>
        <v>150457.02</v>
      </c>
      <c r="M506" s="114">
        <f t="shared" si="143"/>
        <v>0</v>
      </c>
      <c r="N506" s="114">
        <f t="shared" si="143"/>
        <v>0</v>
      </c>
      <c r="O506" s="114">
        <f t="shared" si="143"/>
        <v>150457.02</v>
      </c>
      <c r="P506" s="114">
        <f t="shared" si="143"/>
        <v>0</v>
      </c>
      <c r="Q506" s="197">
        <f t="shared" si="143"/>
        <v>150457.02</v>
      </c>
    </row>
    <row r="507" spans="1:17" ht="12.75">
      <c r="A507" s="33" t="s">
        <v>110</v>
      </c>
      <c r="B507" s="97"/>
      <c r="C507" s="197">
        <v>2300</v>
      </c>
      <c r="D507" s="146">
        <f>4708.41-136</f>
        <v>4572.41</v>
      </c>
      <c r="E507" s="146"/>
      <c r="F507" s="134">
        <f t="shared" si="132"/>
        <v>6872.41</v>
      </c>
      <c r="G507" s="263">
        <f>3500</f>
        <v>3500</v>
      </c>
      <c r="H507" s="308"/>
      <c r="I507" s="244">
        <f>F507+G507+H507</f>
        <v>10372.41</v>
      </c>
      <c r="J507" s="86"/>
      <c r="K507" s="7"/>
      <c r="L507" s="72">
        <f>I507+J507+K507</f>
        <v>10372.41</v>
      </c>
      <c r="M507" s="22"/>
      <c r="N507" s="7"/>
      <c r="O507" s="23">
        <f>L507+M507+N507</f>
        <v>10372.41</v>
      </c>
      <c r="P507" s="80"/>
      <c r="Q507" s="78">
        <f t="shared" si="135"/>
        <v>10372.41</v>
      </c>
    </row>
    <row r="508" spans="1:17" ht="12.75">
      <c r="A508" s="33" t="s">
        <v>111</v>
      </c>
      <c r="B508" s="97"/>
      <c r="C508" s="197">
        <v>0</v>
      </c>
      <c r="D508" s="146">
        <f>136</f>
        <v>136</v>
      </c>
      <c r="E508" s="146"/>
      <c r="F508" s="134">
        <f t="shared" si="132"/>
        <v>136</v>
      </c>
      <c r="G508" s="263"/>
      <c r="H508" s="308"/>
      <c r="I508" s="244">
        <f>F508+G508+H508</f>
        <v>136</v>
      </c>
      <c r="J508" s="86"/>
      <c r="K508" s="7"/>
      <c r="L508" s="72">
        <f>I508+J508+K508</f>
        <v>136</v>
      </c>
      <c r="M508" s="22"/>
      <c r="N508" s="7"/>
      <c r="O508" s="23">
        <f>L508+M508+N508</f>
        <v>136</v>
      </c>
      <c r="P508" s="80"/>
      <c r="Q508" s="78">
        <f t="shared" si="135"/>
        <v>136</v>
      </c>
    </row>
    <row r="509" spans="1:17" ht="12.75">
      <c r="A509" s="33" t="s">
        <v>123</v>
      </c>
      <c r="B509" s="97"/>
      <c r="C509" s="197">
        <v>106200</v>
      </c>
      <c r="D509" s="146">
        <f>58216.48+4032.13</f>
        <v>62248.61</v>
      </c>
      <c r="E509" s="146"/>
      <c r="F509" s="134">
        <f t="shared" si="132"/>
        <v>168448.61</v>
      </c>
      <c r="G509" s="263">
        <f>-3500</f>
        <v>-3500</v>
      </c>
      <c r="H509" s="308">
        <f>-25000</f>
        <v>-25000</v>
      </c>
      <c r="I509" s="244">
        <f>F509+G509+H509</f>
        <v>139948.61</v>
      </c>
      <c r="J509" s="86"/>
      <c r="K509" s="7"/>
      <c r="L509" s="72">
        <f>I509+J509+K509</f>
        <v>139948.61</v>
      </c>
      <c r="M509" s="22"/>
      <c r="N509" s="7"/>
      <c r="O509" s="23">
        <f>L509+M509+N509</f>
        <v>139948.61</v>
      </c>
      <c r="P509" s="80"/>
      <c r="Q509" s="78">
        <f t="shared" si="135"/>
        <v>139948.61</v>
      </c>
    </row>
    <row r="510" spans="1:17" ht="12.75" hidden="1">
      <c r="A510" s="33" t="s">
        <v>120</v>
      </c>
      <c r="B510" s="97"/>
      <c r="C510" s="197"/>
      <c r="D510" s="146"/>
      <c r="E510" s="146"/>
      <c r="F510" s="134">
        <f t="shared" si="132"/>
        <v>0</v>
      </c>
      <c r="G510" s="263"/>
      <c r="H510" s="308"/>
      <c r="I510" s="244">
        <f>F510+G510+H510</f>
        <v>0</v>
      </c>
      <c r="J510" s="86"/>
      <c r="K510" s="7"/>
      <c r="L510" s="72">
        <f>I510+J510+K510</f>
        <v>0</v>
      </c>
      <c r="M510" s="22"/>
      <c r="N510" s="7"/>
      <c r="O510" s="23">
        <f>L510+M510+N510</f>
        <v>0</v>
      </c>
      <c r="P510" s="80"/>
      <c r="Q510" s="78">
        <f t="shared" si="135"/>
        <v>0</v>
      </c>
    </row>
    <row r="511" spans="1:17" ht="12.75" hidden="1">
      <c r="A511" s="33" t="s">
        <v>113</v>
      </c>
      <c r="B511" s="97"/>
      <c r="C511" s="197">
        <v>0</v>
      </c>
      <c r="D511" s="215">
        <f>4032.13-4032.13</f>
        <v>0</v>
      </c>
      <c r="E511" s="146"/>
      <c r="F511" s="134">
        <f t="shared" si="132"/>
        <v>0</v>
      </c>
      <c r="G511" s="263"/>
      <c r="H511" s="308"/>
      <c r="I511" s="244">
        <f>F511+G511+H511</f>
        <v>0</v>
      </c>
      <c r="J511" s="86"/>
      <c r="K511" s="7"/>
      <c r="L511" s="72">
        <f>I511+J511+K511</f>
        <v>0</v>
      </c>
      <c r="M511" s="22"/>
      <c r="N511" s="7"/>
      <c r="O511" s="23">
        <f>L511+M511+N511</f>
        <v>0</v>
      </c>
      <c r="P511" s="80"/>
      <c r="Q511" s="78">
        <f t="shared" si="135"/>
        <v>0</v>
      </c>
    </row>
    <row r="512" spans="1:17" ht="12.75">
      <c r="A512" s="34" t="s">
        <v>124</v>
      </c>
      <c r="B512" s="97"/>
      <c r="C512" s="197">
        <f>C513+C514</f>
        <v>2</v>
      </c>
      <c r="D512" s="146">
        <f aca="true" t="shared" si="144" ref="D512:Q512">D513+D514</f>
        <v>6408.09</v>
      </c>
      <c r="E512" s="146">
        <f t="shared" si="144"/>
        <v>0</v>
      </c>
      <c r="F512" s="134">
        <f t="shared" si="144"/>
        <v>6410.09</v>
      </c>
      <c r="G512" s="263">
        <f t="shared" si="144"/>
        <v>0</v>
      </c>
      <c r="H512" s="308">
        <f t="shared" si="144"/>
        <v>0</v>
      </c>
      <c r="I512" s="244">
        <f t="shared" si="144"/>
        <v>6410.09</v>
      </c>
      <c r="J512" s="134">
        <f t="shared" si="144"/>
        <v>0</v>
      </c>
      <c r="K512" s="113">
        <f t="shared" si="144"/>
        <v>0</v>
      </c>
      <c r="L512" s="134">
        <f t="shared" si="144"/>
        <v>0</v>
      </c>
      <c r="M512" s="133">
        <f t="shared" si="144"/>
        <v>0</v>
      </c>
      <c r="N512" s="133">
        <f t="shared" si="144"/>
        <v>0</v>
      </c>
      <c r="O512" s="133">
        <f t="shared" si="144"/>
        <v>0</v>
      </c>
      <c r="P512" s="133">
        <f t="shared" si="144"/>
        <v>0</v>
      </c>
      <c r="Q512" s="197">
        <f t="shared" si="144"/>
        <v>0</v>
      </c>
    </row>
    <row r="513" spans="1:17" ht="12.75">
      <c r="A513" s="34" t="s">
        <v>236</v>
      </c>
      <c r="B513" s="97"/>
      <c r="C513" s="197"/>
      <c r="D513" s="146">
        <f>133.71+1256.65+9.73</f>
        <v>1400.0900000000001</v>
      </c>
      <c r="E513" s="146"/>
      <c r="F513" s="134">
        <f t="shared" si="132"/>
        <v>1400.0900000000001</v>
      </c>
      <c r="G513" s="263"/>
      <c r="H513" s="308"/>
      <c r="I513" s="244">
        <f>F513+G513+H513</f>
        <v>1400.0900000000001</v>
      </c>
      <c r="J513" s="86"/>
      <c r="K513" s="7"/>
      <c r="L513" s="72"/>
      <c r="M513" s="22"/>
      <c r="N513" s="7"/>
      <c r="O513" s="23"/>
      <c r="P513" s="80"/>
      <c r="Q513" s="78"/>
    </row>
    <row r="514" spans="1:17" ht="12.75">
      <c r="A514" s="37" t="s">
        <v>280</v>
      </c>
      <c r="B514" s="100"/>
      <c r="C514" s="292">
        <v>2</v>
      </c>
      <c r="D514" s="213">
        <f>5000+8</f>
        <v>5008</v>
      </c>
      <c r="E514" s="213"/>
      <c r="F514" s="229">
        <f t="shared" si="132"/>
        <v>5010</v>
      </c>
      <c r="G514" s="268"/>
      <c r="H514" s="312"/>
      <c r="I514" s="248">
        <f>F514+G514+H514</f>
        <v>5010</v>
      </c>
      <c r="J514" s="86"/>
      <c r="K514" s="7"/>
      <c r="L514" s="72"/>
      <c r="M514" s="22"/>
      <c r="N514" s="7"/>
      <c r="O514" s="23"/>
      <c r="P514" s="80"/>
      <c r="Q514" s="78"/>
    </row>
    <row r="515" spans="1:17" ht="13.5" thickBot="1">
      <c r="A515" s="47" t="s">
        <v>125</v>
      </c>
      <c r="B515" s="101"/>
      <c r="C515" s="199">
        <v>8581.04</v>
      </c>
      <c r="D515" s="146"/>
      <c r="E515" s="147"/>
      <c r="F515" s="131">
        <f t="shared" si="132"/>
        <v>8581.04</v>
      </c>
      <c r="G515" s="267"/>
      <c r="H515" s="309">
        <v>3552.19</v>
      </c>
      <c r="I515" s="226">
        <f>SUM(F515:H515)</f>
        <v>12133.230000000001</v>
      </c>
      <c r="J515" s="173"/>
      <c r="K515" s="8"/>
      <c r="L515" s="190">
        <f>SUM(I515:K515)</f>
        <v>12133.230000000001</v>
      </c>
      <c r="M515" s="24"/>
      <c r="N515" s="8"/>
      <c r="O515" s="25">
        <f>SUM(L515:N515)</f>
        <v>12133.230000000001</v>
      </c>
      <c r="P515" s="81"/>
      <c r="Q515" s="28">
        <f>O515+P515</f>
        <v>12133.230000000001</v>
      </c>
    </row>
    <row r="516" spans="1:17" ht="14.25" thickBot="1">
      <c r="A516" s="48" t="s">
        <v>126</v>
      </c>
      <c r="B516" s="104"/>
      <c r="C516" s="203">
        <f>+C82+C102+C113+C131+C143+C173+C220+C241+C269+C291+C370+C400+C424+C431+C463+C467+C515+C438+C315+C262</f>
        <v>5413094.04</v>
      </c>
      <c r="D516" s="217">
        <f>+D82+D102+D113+D131+D143+D173+D220+D241+D269+D291+D370+D400+D424+D431+D463+D467+D515+D438+D315+D262</f>
        <v>12808395.800000003</v>
      </c>
      <c r="E516" s="138">
        <f>+E82+E102+E113+E131+E143+E173+E220+E241+E269+E291+E370+E400+E424+E431+E463+E467+E515+E438+E315</f>
        <v>1900</v>
      </c>
      <c r="F516" s="137">
        <f aca="true" t="shared" si="145" ref="F516:Q516">+F82+F102+F113+F131+F143+F173+F220+F241+F269+F291+F370+F400+F424+F431+F463+F467+F515+F438+F315+F262</f>
        <v>18223389.84</v>
      </c>
      <c r="G516" s="270">
        <f t="shared" si="145"/>
        <v>394935.7099999999</v>
      </c>
      <c r="H516" s="316">
        <f t="shared" si="145"/>
        <v>113458.76</v>
      </c>
      <c r="I516" s="251">
        <f t="shared" si="145"/>
        <v>18731784.310000002</v>
      </c>
      <c r="J516" s="165">
        <f t="shared" si="145"/>
        <v>0</v>
      </c>
      <c r="K516" s="203">
        <f t="shared" si="145"/>
        <v>0</v>
      </c>
      <c r="L516" s="203">
        <f t="shared" si="145"/>
        <v>5752099.110000001</v>
      </c>
      <c r="M516" s="203">
        <f t="shared" si="145"/>
        <v>0</v>
      </c>
      <c r="N516" s="203">
        <f t="shared" si="145"/>
        <v>0</v>
      </c>
      <c r="O516" s="203">
        <f t="shared" si="145"/>
        <v>5752099.110000001</v>
      </c>
      <c r="P516" s="203">
        <f t="shared" si="145"/>
        <v>0</v>
      </c>
      <c r="Q516" s="203">
        <f t="shared" si="145"/>
        <v>5752099.110000001</v>
      </c>
    </row>
    <row r="517" spans="1:17" ht="13.5" thickBot="1">
      <c r="A517" s="49" t="s">
        <v>127</v>
      </c>
      <c r="B517" s="104"/>
      <c r="C517" s="204">
        <v>-8581.04</v>
      </c>
      <c r="D517" s="284"/>
      <c r="E517" s="178"/>
      <c r="F517" s="233">
        <f t="shared" si="132"/>
        <v>-8581.04</v>
      </c>
      <c r="G517" s="271"/>
      <c r="H517" s="317"/>
      <c r="I517" s="226">
        <f>SUM(F517:H517)</f>
        <v>-8581.04</v>
      </c>
      <c r="J517" s="178"/>
      <c r="K517" s="154"/>
      <c r="L517" s="154"/>
      <c r="M517" s="154"/>
      <c r="N517" s="154"/>
      <c r="O517" s="154"/>
      <c r="P517" s="154"/>
      <c r="Q517" s="204"/>
    </row>
    <row r="518" spans="1:17" ht="15.75" thickBot="1">
      <c r="A518" s="50" t="s">
        <v>128</v>
      </c>
      <c r="B518" s="104"/>
      <c r="C518" s="295">
        <f aca="true" t="shared" si="146" ref="C518:Q518">C516+C517</f>
        <v>5404513</v>
      </c>
      <c r="D518" s="148">
        <f t="shared" si="146"/>
        <v>12808395.800000003</v>
      </c>
      <c r="E518" s="179">
        <f t="shared" si="146"/>
        <v>1900</v>
      </c>
      <c r="F518" s="234">
        <f t="shared" si="146"/>
        <v>18214808.8</v>
      </c>
      <c r="G518" s="272">
        <f t="shared" si="146"/>
        <v>394935.7099999999</v>
      </c>
      <c r="H518" s="318">
        <f t="shared" si="146"/>
        <v>113458.76</v>
      </c>
      <c r="I518" s="227">
        <f t="shared" si="146"/>
        <v>18723203.270000003</v>
      </c>
      <c r="J518" s="240">
        <f t="shared" si="146"/>
        <v>0</v>
      </c>
      <c r="K518" s="123">
        <f t="shared" si="146"/>
        <v>0</v>
      </c>
      <c r="L518" s="123">
        <f t="shared" si="146"/>
        <v>5752099.110000001</v>
      </c>
      <c r="M518" s="123">
        <f t="shared" si="146"/>
        <v>0</v>
      </c>
      <c r="N518" s="123">
        <f t="shared" si="146"/>
        <v>0</v>
      </c>
      <c r="O518" s="123">
        <f t="shared" si="146"/>
        <v>5752099.110000001</v>
      </c>
      <c r="P518" s="123">
        <f t="shared" si="146"/>
        <v>0</v>
      </c>
      <c r="Q518" s="123">
        <f t="shared" si="146"/>
        <v>5752099.110000001</v>
      </c>
    </row>
    <row r="519" spans="1:17" ht="15">
      <c r="A519" s="51" t="s">
        <v>26</v>
      </c>
      <c r="B519" s="105"/>
      <c r="C519" s="205"/>
      <c r="D519" s="285"/>
      <c r="E519" s="180"/>
      <c r="F519" s="235"/>
      <c r="G519" s="273"/>
      <c r="H519" s="319"/>
      <c r="I519" s="254"/>
      <c r="J519" s="180"/>
      <c r="K519" s="155"/>
      <c r="L519" s="155"/>
      <c r="M519" s="155"/>
      <c r="N519" s="155"/>
      <c r="O519" s="155"/>
      <c r="P519" s="155"/>
      <c r="Q519" s="205"/>
    </row>
    <row r="520" spans="1:17" ht="15">
      <c r="A520" s="52" t="s">
        <v>225</v>
      </c>
      <c r="B520" s="106"/>
      <c r="C520" s="206">
        <f>+C83+C103+C114+C132+C144+C174+C221+C242+C270+C292+C371+C401+C425+C432+C464+C469+C515+C517+C439+C316+C263</f>
        <v>3910350.0599999996</v>
      </c>
      <c r="D520" s="286">
        <f>+D83+D103+D114+D132+D144+D174+D221+D242+D270+D292+D371+D401+D425+D432+D464+D469+D515+D517+D439+D316+D263</f>
        <v>10193611.760000004</v>
      </c>
      <c r="E520" s="181">
        <f>+E83+E103+E114+E132+E144+E174+E221+E242+E270+E292+E371+E401+E425+E432+E464+E469+E515+E517+E439+E316</f>
        <v>-23.4</v>
      </c>
      <c r="F520" s="156">
        <f aca="true" t="shared" si="147" ref="F520:Q520">+F83+F103+F114+F132+F144+F174+F221+F242+F270+F292+F371+F401+F425+F432+F464+F469+F515+F517+F439+F316+F263</f>
        <v>14103938.419999998</v>
      </c>
      <c r="G520" s="274">
        <f t="shared" si="147"/>
        <v>151525.65999999995</v>
      </c>
      <c r="H520" s="320">
        <f t="shared" si="147"/>
        <v>216343.18</v>
      </c>
      <c r="I520" s="255">
        <f t="shared" si="147"/>
        <v>14471807.26</v>
      </c>
      <c r="J520" s="241">
        <f t="shared" si="147"/>
        <v>0</v>
      </c>
      <c r="K520" s="206">
        <f t="shared" si="147"/>
        <v>0</v>
      </c>
      <c r="L520" s="206">
        <f t="shared" si="147"/>
        <v>4625608.73</v>
      </c>
      <c r="M520" s="206">
        <f t="shared" si="147"/>
        <v>0</v>
      </c>
      <c r="N520" s="206">
        <f t="shared" si="147"/>
        <v>0</v>
      </c>
      <c r="O520" s="206">
        <f t="shared" si="147"/>
        <v>4625608.73</v>
      </c>
      <c r="P520" s="206">
        <f t="shared" si="147"/>
        <v>0</v>
      </c>
      <c r="Q520" s="206">
        <f t="shared" si="147"/>
        <v>4625608.73</v>
      </c>
    </row>
    <row r="521" spans="1:17" ht="15.75" thickBot="1">
      <c r="A521" s="39" t="s">
        <v>226</v>
      </c>
      <c r="B521" s="107"/>
      <c r="C521" s="207">
        <f>+C92+C110+C126+C137+C164+C211+C234+C255+C283+C311+C395+C415+C428+C470+C453+C340+C266</f>
        <v>1494162.94</v>
      </c>
      <c r="D521" s="287">
        <f>+D92+D110+D126+D137+D164+D211+D234+D255+D283+D311+D395+D415+D428+D470+D453+D340+D266</f>
        <v>2614784.04</v>
      </c>
      <c r="E521" s="182">
        <f>+E92+E110+E126+E137+E164+E211+E234+E255+E283+E311+E395+E415+E428+E470+E453+E340</f>
        <v>1923.4</v>
      </c>
      <c r="F521" s="157">
        <f aca="true" t="shared" si="148" ref="F521:Q521">+F92+F110+F126+F137+F164+F211+F234+F255+F283+F311+F395+F415+F428+F470+F453+F340+F266</f>
        <v>4110870.38</v>
      </c>
      <c r="G521" s="275">
        <f t="shared" si="148"/>
        <v>243410.05</v>
      </c>
      <c r="H521" s="321">
        <f t="shared" si="148"/>
        <v>-102884.42000000001</v>
      </c>
      <c r="I521" s="256">
        <f t="shared" si="148"/>
        <v>4251396.010000001</v>
      </c>
      <c r="J521" s="242">
        <f t="shared" si="148"/>
        <v>0</v>
      </c>
      <c r="K521" s="207">
        <f t="shared" si="148"/>
        <v>0</v>
      </c>
      <c r="L521" s="207">
        <f t="shared" si="148"/>
        <v>1126490.3800000001</v>
      </c>
      <c r="M521" s="207">
        <f t="shared" si="148"/>
        <v>0</v>
      </c>
      <c r="N521" s="207">
        <f t="shared" si="148"/>
        <v>0</v>
      </c>
      <c r="O521" s="207">
        <f t="shared" si="148"/>
        <v>1126490.3800000001</v>
      </c>
      <c r="P521" s="207">
        <f t="shared" si="148"/>
        <v>0</v>
      </c>
      <c r="Q521" s="207">
        <f t="shared" si="148"/>
        <v>1126490.3800000001</v>
      </c>
    </row>
    <row r="522" spans="1:17" ht="15.75" thickBot="1">
      <c r="A522" s="52" t="s">
        <v>219</v>
      </c>
      <c r="B522" s="106"/>
      <c r="C522" s="203">
        <f aca="true" t="shared" si="149" ref="C522:Q522">C80-C518</f>
        <v>-400000</v>
      </c>
      <c r="D522" s="217">
        <f t="shared" si="149"/>
        <v>-3079643.6800000016</v>
      </c>
      <c r="E522" s="217">
        <f t="shared" si="149"/>
        <v>-1900</v>
      </c>
      <c r="F522" s="138">
        <f t="shared" si="149"/>
        <v>-3481543.6800000016</v>
      </c>
      <c r="G522" s="270">
        <f t="shared" si="149"/>
        <v>-2633.619999999937</v>
      </c>
      <c r="H522" s="316">
        <f t="shared" si="149"/>
        <v>-23862.550000000003</v>
      </c>
      <c r="I522" s="251">
        <f t="shared" si="149"/>
        <v>-3508039.8500000015</v>
      </c>
      <c r="J522" s="165">
        <f t="shared" si="149"/>
        <v>0</v>
      </c>
      <c r="K522" s="165">
        <f t="shared" si="149"/>
        <v>0</v>
      </c>
      <c r="L522" s="165">
        <f t="shared" si="149"/>
        <v>4787310.430000002</v>
      </c>
      <c r="M522" s="165">
        <f t="shared" si="149"/>
        <v>0</v>
      </c>
      <c r="N522" s="165">
        <f t="shared" si="149"/>
        <v>0</v>
      </c>
      <c r="O522" s="165">
        <f t="shared" si="149"/>
        <v>4787310.430000002</v>
      </c>
      <c r="P522" s="165">
        <f t="shared" si="149"/>
        <v>0</v>
      </c>
      <c r="Q522" s="165">
        <f t="shared" si="149"/>
        <v>4787310.430000002</v>
      </c>
    </row>
    <row r="523" spans="1:17" ht="15">
      <c r="A523" s="51" t="s">
        <v>227</v>
      </c>
      <c r="B523" s="105"/>
      <c r="C523" s="296">
        <f>SUM(C525:C528)</f>
        <v>400000</v>
      </c>
      <c r="D523" s="152">
        <f aca="true" t="shared" si="150" ref="D523:Q523">SUM(D525:D528)</f>
        <v>3079643.6800000006</v>
      </c>
      <c r="E523" s="183">
        <f t="shared" si="150"/>
        <v>1900</v>
      </c>
      <c r="F523" s="296">
        <f t="shared" si="150"/>
        <v>3481543.6800000006</v>
      </c>
      <c r="G523" s="276">
        <f t="shared" si="150"/>
        <v>2633.62</v>
      </c>
      <c r="H523" s="322">
        <f t="shared" si="150"/>
        <v>23862.55</v>
      </c>
      <c r="I523" s="257">
        <f t="shared" si="150"/>
        <v>3508039.8500000006</v>
      </c>
      <c r="J523" s="166">
        <f t="shared" si="150"/>
        <v>0</v>
      </c>
      <c r="K523" s="166">
        <f t="shared" si="150"/>
        <v>0</v>
      </c>
      <c r="L523" s="166">
        <f t="shared" si="150"/>
        <v>3508039.8500000006</v>
      </c>
      <c r="M523" s="166">
        <f t="shared" si="150"/>
        <v>0</v>
      </c>
      <c r="N523" s="166">
        <f t="shared" si="150"/>
        <v>0</v>
      </c>
      <c r="O523" s="166">
        <f t="shared" si="150"/>
        <v>3508039.8500000006</v>
      </c>
      <c r="P523" s="166">
        <f t="shared" si="150"/>
        <v>0</v>
      </c>
      <c r="Q523" s="166">
        <f t="shared" si="150"/>
        <v>3508039.8500000006</v>
      </c>
    </row>
    <row r="524" spans="1:17" ht="12.75" customHeight="1">
      <c r="A524" s="53" t="s">
        <v>26</v>
      </c>
      <c r="B524" s="108"/>
      <c r="C524" s="297"/>
      <c r="D524" s="218"/>
      <c r="E524" s="304"/>
      <c r="F524" s="306"/>
      <c r="G524" s="277"/>
      <c r="H524" s="323"/>
      <c r="I524" s="258"/>
      <c r="J524" s="184"/>
      <c r="K524" s="12"/>
      <c r="L524" s="168"/>
      <c r="M524" s="15"/>
      <c r="N524" s="12"/>
      <c r="O524" s="61"/>
      <c r="P524" s="80"/>
      <c r="Q524" s="78"/>
    </row>
    <row r="525" spans="1:17" ht="13.5">
      <c r="A525" s="53" t="s">
        <v>129</v>
      </c>
      <c r="B525" s="108"/>
      <c r="C525" s="298">
        <v>400000</v>
      </c>
      <c r="D525" s="219">
        <v>500000</v>
      </c>
      <c r="E525" s="237"/>
      <c r="F525" s="298">
        <f>SUM(C525:E525)</f>
        <v>900000</v>
      </c>
      <c r="G525" s="301"/>
      <c r="H525" s="324"/>
      <c r="I525" s="259">
        <f>SUM(F525:H525)</f>
        <v>900000</v>
      </c>
      <c r="J525" s="185"/>
      <c r="K525" s="13"/>
      <c r="L525" s="168">
        <f>SUM(I525:K525)</f>
        <v>900000</v>
      </c>
      <c r="M525" s="16"/>
      <c r="N525" s="13"/>
      <c r="O525" s="61">
        <f>SUM(L525:N525)</f>
        <v>900000</v>
      </c>
      <c r="P525" s="80"/>
      <c r="Q525" s="78">
        <f t="shared" si="135"/>
        <v>900000</v>
      </c>
    </row>
    <row r="526" spans="1:17" ht="13.5">
      <c r="A526" s="54" t="s">
        <v>137</v>
      </c>
      <c r="B526" s="108"/>
      <c r="C526" s="298"/>
      <c r="D526" s="219"/>
      <c r="E526" s="237"/>
      <c r="F526" s="298">
        <f>SUM(C526:E526)</f>
        <v>0</v>
      </c>
      <c r="G526" s="301"/>
      <c r="H526" s="324"/>
      <c r="I526" s="259">
        <f>SUM(F526:H526)</f>
        <v>0</v>
      </c>
      <c r="J526" s="185"/>
      <c r="K526" s="13"/>
      <c r="L526" s="168">
        <f>SUM(I526:K526)</f>
        <v>0</v>
      </c>
      <c r="M526" s="16"/>
      <c r="N526" s="13"/>
      <c r="O526" s="61">
        <f>SUM(L526:N526)</f>
        <v>0</v>
      </c>
      <c r="P526" s="80"/>
      <c r="Q526" s="78">
        <f t="shared" si="135"/>
        <v>0</v>
      </c>
    </row>
    <row r="527" spans="1:17" ht="14.25" thickBot="1">
      <c r="A527" s="54" t="s">
        <v>130</v>
      </c>
      <c r="B527" s="108"/>
      <c r="C527" s="298"/>
      <c r="D527" s="219">
        <f>9657.33+24251.16+1733.68+710100.27+1033269.62+82262.27+5044.79+2000+1088.6+6.55+1818.82+2299.64+4394+3641.06+9011+200+51667.77+3643+200+15521.76+5347.5+118315.07+7243.82+14128.69+2179.42+7455.91+79590.79+5458.46+26046.79+2198.98+1029.92+26218.9+450+269.44+556+6011.14+1000+47194.15-0.27-5+131.48+1328.86+360+9.73+0.04+29670.7+241.62+235400.22</f>
        <v>2579643.6800000006</v>
      </c>
      <c r="E527" s="237">
        <v>1900</v>
      </c>
      <c r="F527" s="298">
        <f>SUM(C527:E527)</f>
        <v>2581543.6800000006</v>
      </c>
      <c r="G527" s="301">
        <f>135.18+2498.44</f>
        <v>2633.62</v>
      </c>
      <c r="H527" s="324">
        <f>6426.57+13883.79</f>
        <v>20310.36</v>
      </c>
      <c r="I527" s="259">
        <f>SUM(F527:H527)</f>
        <v>2604487.6600000006</v>
      </c>
      <c r="J527" s="186"/>
      <c r="K527" s="14"/>
      <c r="L527" s="169">
        <f>SUM(I527:K527)</f>
        <v>2604487.6600000006</v>
      </c>
      <c r="M527" s="65"/>
      <c r="N527" s="14"/>
      <c r="O527" s="63">
        <f>SUM(L527:N527)</f>
        <v>2604487.6600000006</v>
      </c>
      <c r="P527" s="82"/>
      <c r="Q527" s="79">
        <f t="shared" si="135"/>
        <v>2604487.6600000006</v>
      </c>
    </row>
    <row r="528" spans="1:17" ht="14.25" thickBot="1">
      <c r="A528" s="66" t="s">
        <v>149</v>
      </c>
      <c r="B528" s="109"/>
      <c r="C528" s="158"/>
      <c r="D528" s="144" t="s">
        <v>198</v>
      </c>
      <c r="E528" s="305"/>
      <c r="F528" s="299">
        <f>SUM(C528:E528)</f>
        <v>0</v>
      </c>
      <c r="G528" s="302"/>
      <c r="H528" s="325">
        <v>3552.19</v>
      </c>
      <c r="I528" s="303">
        <f>SUM(F528:H528)</f>
        <v>3552.19</v>
      </c>
      <c r="J528" s="189">
        <v>0</v>
      </c>
      <c r="K528" s="14">
        <v>0</v>
      </c>
      <c r="L528" s="169">
        <f>SUM(I528:K528)</f>
        <v>3552.19</v>
      </c>
      <c r="M528" s="65"/>
      <c r="N528" s="14"/>
      <c r="O528" s="63">
        <f>SUM(L528:N528)</f>
        <v>3552.19</v>
      </c>
      <c r="P528" s="82"/>
      <c r="Q528" s="79">
        <f t="shared" si="135"/>
        <v>3552.19</v>
      </c>
    </row>
    <row r="529" spans="2:17" ht="12.75">
      <c r="B529" s="110"/>
      <c r="C529" s="124">
        <f aca="true" t="shared" si="151" ref="C529:Q529">C80+C523-C518</f>
        <v>0</v>
      </c>
      <c r="D529" s="124">
        <f t="shared" si="151"/>
        <v>0</v>
      </c>
      <c r="E529" s="124">
        <f t="shared" si="151"/>
        <v>0</v>
      </c>
      <c r="F529" s="124">
        <f t="shared" si="151"/>
        <v>0</v>
      </c>
      <c r="G529" s="136">
        <f>G80+G523-G518</f>
        <v>0</v>
      </c>
      <c r="H529" s="136">
        <f t="shared" si="151"/>
        <v>0</v>
      </c>
      <c r="I529" s="136">
        <f t="shared" si="151"/>
        <v>0</v>
      </c>
      <c r="J529" s="64">
        <f t="shared" si="151"/>
        <v>0</v>
      </c>
      <c r="K529" s="64">
        <f t="shared" si="151"/>
        <v>0</v>
      </c>
      <c r="L529" s="64">
        <f t="shared" si="151"/>
        <v>8295350.280000003</v>
      </c>
      <c r="M529" s="64">
        <f t="shared" si="151"/>
        <v>0</v>
      </c>
      <c r="N529" s="64">
        <f t="shared" si="151"/>
        <v>0</v>
      </c>
      <c r="O529" s="64">
        <f t="shared" si="151"/>
        <v>8295350.280000003</v>
      </c>
      <c r="P529" s="64">
        <f t="shared" si="151"/>
        <v>0</v>
      </c>
      <c r="Q529" s="64">
        <f t="shared" si="151"/>
        <v>8295350.280000003</v>
      </c>
    </row>
    <row r="530" spans="2:16" ht="12.75">
      <c r="B530" s="110"/>
      <c r="G530" s="136"/>
      <c r="P530" s="64"/>
    </row>
    <row r="531" spans="2:16" ht="12.75">
      <c r="B531" s="110"/>
      <c r="D531" s="136"/>
      <c r="G531" s="136"/>
      <c r="P531" s="64"/>
    </row>
    <row r="532" spans="2:16" ht="12.75">
      <c r="B532" s="110"/>
      <c r="G532" s="136"/>
      <c r="P532" s="64"/>
    </row>
    <row r="533" spans="2:16" ht="12.75">
      <c r="B533" s="110"/>
      <c r="G533" s="136"/>
      <c r="P533" s="64"/>
    </row>
    <row r="534" spans="2:16" ht="12.75">
      <c r="B534" s="110"/>
      <c r="G534" s="136"/>
      <c r="P534" s="64"/>
    </row>
    <row r="535" spans="2:16" ht="12.75">
      <c r="B535" s="110"/>
      <c r="G535" s="136"/>
      <c r="P535" s="64"/>
    </row>
    <row r="536" spans="2:16" ht="12.75">
      <c r="B536" s="110"/>
      <c r="G536" s="136"/>
      <c r="P536" s="64"/>
    </row>
    <row r="537" spans="2:16" ht="12.75">
      <c r="B537" s="110"/>
      <c r="G537" s="136"/>
      <c r="P537" s="64"/>
    </row>
    <row r="538" spans="2:16" ht="12.75">
      <c r="B538" s="110"/>
      <c r="G538" s="136"/>
      <c r="P538" s="64"/>
    </row>
    <row r="539" spans="2:16" ht="12.75">
      <c r="B539" s="110"/>
      <c r="G539" s="136"/>
      <c r="P539" s="64"/>
    </row>
    <row r="540" spans="2:16" ht="12.75">
      <c r="B540" s="110"/>
      <c r="G540" s="136"/>
      <c r="P540" s="64"/>
    </row>
    <row r="541" spans="2:16" ht="12.75">
      <c r="B541" s="110"/>
      <c r="G541" s="136"/>
      <c r="P541" s="64"/>
    </row>
    <row r="542" spans="2:16" ht="12.75">
      <c r="B542" s="110"/>
      <c r="G542" s="136"/>
      <c r="P542" s="64"/>
    </row>
    <row r="543" spans="2:16" ht="12.75">
      <c r="B543" s="110"/>
      <c r="G543" s="136"/>
      <c r="P543" s="64"/>
    </row>
    <row r="544" spans="2:16" ht="12.75">
      <c r="B544" s="110"/>
      <c r="G544" s="136"/>
      <c r="P544" s="64"/>
    </row>
    <row r="545" spans="2:16" ht="12.75">
      <c r="B545" s="110"/>
      <c r="G545" s="136"/>
      <c r="P545" s="64"/>
    </row>
    <row r="546" spans="2:16" ht="12.75">
      <c r="B546" s="110"/>
      <c r="G546" s="136"/>
      <c r="P546" s="64"/>
    </row>
    <row r="547" spans="2:16" ht="12.75">
      <c r="B547" s="110"/>
      <c r="G547" s="136"/>
      <c r="P547" s="64"/>
    </row>
    <row r="548" spans="2:16" ht="12.75">
      <c r="B548" s="110"/>
      <c r="G548" s="136"/>
      <c r="P548" s="64"/>
    </row>
    <row r="549" spans="7:16" ht="12.75">
      <c r="G549" s="136"/>
      <c r="P549" s="64"/>
    </row>
    <row r="550" spans="7:16" ht="12.75">
      <c r="G550" s="136"/>
      <c r="P550" s="64"/>
    </row>
    <row r="551" spans="7:16" ht="12.75">
      <c r="G551" s="136"/>
      <c r="P551" s="64"/>
    </row>
    <row r="552" spans="7:16" ht="12.75">
      <c r="G552" s="136"/>
      <c r="P552" s="64"/>
    </row>
    <row r="553" ht="12.75">
      <c r="P553" s="64"/>
    </row>
    <row r="554" ht="12.75">
      <c r="P554" s="64"/>
    </row>
    <row r="555" ht="12.75">
      <c r="P555" s="64"/>
    </row>
    <row r="556" ht="12.75">
      <c r="P556" s="64"/>
    </row>
    <row r="557" ht="12.75">
      <c r="P557" s="64"/>
    </row>
    <row r="558" ht="12.75">
      <c r="P558" s="64"/>
    </row>
    <row r="559" ht="12.75">
      <c r="P559" s="64"/>
    </row>
    <row r="560" ht="12.75">
      <c r="P560" s="64"/>
    </row>
    <row r="561" ht="12.75">
      <c r="P561" s="64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3" r:id="rId1"/>
  <headerFooter alignWithMargins="0">
    <oddFooter>&amp;CStránka &amp;P</oddFooter>
  </headerFooter>
  <rowBreaks count="5" manualBreakCount="5">
    <brk id="90" max="8" man="1"/>
    <brk id="203" max="8" man="1"/>
    <brk id="288" max="8" man="1"/>
    <brk id="369" max="8" man="1"/>
    <brk id="4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2020-06-23T04:51:23Z</cp:lastPrinted>
  <dcterms:created xsi:type="dcterms:W3CDTF">2009-01-05T12:05:07Z</dcterms:created>
  <dcterms:modified xsi:type="dcterms:W3CDTF">2020-06-26T07:53:55Z</dcterms:modified>
  <cp:category/>
  <cp:version/>
  <cp:contentType/>
  <cp:contentStatus/>
</cp:coreProperties>
</file>