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3.ZR" sheetId="1" r:id="rId1"/>
    <sheet name="3.ZR vč. PN" sheetId="2" r:id="rId2"/>
  </sheets>
  <definedNames>
    <definedName name="_xlnm.Print_Titles" localSheetId="0">'3.ZR'!$8:$9</definedName>
    <definedName name="_xlnm.Print_Titles" localSheetId="1">'3.ZR vč. PN'!$8:$9</definedName>
    <definedName name="_xlnm.Print_Area" localSheetId="0">'3.ZR'!$A$1:$L$555</definedName>
    <definedName name="_xlnm.Print_Area" localSheetId="1">'3.ZR vč. PN'!$A$1:$L$555</definedName>
    <definedName name="Z_39FD50E0_9911_4D32_8842_5A58F13D310F_.wvu.Cols" localSheetId="0" hidden="1">'3.ZR'!$D:$K,'3.ZR'!$N:$N,'3.ZR'!#REF!</definedName>
    <definedName name="Z_39FD50E0_9911_4D32_8842_5A58F13D310F_.wvu.Cols" localSheetId="1" hidden="1">'3.ZR vč. PN'!$D:$K,'3.ZR vč. PN'!$N:$N,'3.ZR vč. PN'!#REF!</definedName>
    <definedName name="Z_39FD50E0_9911_4D32_8842_5A58F13D310F_.wvu.PrintTitles" localSheetId="0" hidden="1">'3.ZR'!$8:$9</definedName>
    <definedName name="Z_39FD50E0_9911_4D32_8842_5A58F13D310F_.wvu.PrintTitles" localSheetId="1" hidden="1">'3.ZR vč. PN'!$8:$9</definedName>
    <definedName name="Z_39FD50E0_9911_4D32_8842_5A58F13D310F_.wvu.Rows" localSheetId="0" hidden="1">'3.ZR'!#REF!</definedName>
    <definedName name="Z_39FD50E0_9911_4D32_8842_5A58F13D310F_.wvu.Rows" localSheetId="1" hidden="1">'3.ZR vč. PN'!#REF!</definedName>
  </definedNames>
  <calcPr fullCalcOnLoad="1"/>
</workbook>
</file>

<file path=xl/sharedStrings.xml><?xml version="1.0" encoding="utf-8"?>
<sst xmlns="http://schemas.openxmlformats.org/spreadsheetml/2006/main" count="1188" uniqueCount="379">
  <si>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</si>
  <si>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</si>
  <si>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</si>
  <si>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</si>
  <si>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</si>
  <si>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</si>
  <si>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</si>
  <si>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</si>
  <si>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</si>
  <si>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</si>
  <si>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</si>
  <si>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</si>
  <si>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</si>
  <si>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</si>
  <si>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</si>
  <si>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</si>
  <si>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</si>
  <si>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</si>
  <si>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</si>
  <si>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</si>
  <si>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</si>
  <si>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</si>
  <si>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</si>
  <si>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</si>
  <si>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</si>
  <si>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</si>
  <si>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</si>
  <si>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</si>
  <si>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</si>
  <si>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</si>
  <si>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</si>
  <si>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</si>
  <si>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</si>
  <si>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</si>
  <si>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</si>
  <si>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</si>
  <si>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</si>
  <si>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</si>
  <si>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</si>
  <si>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</si>
  <si>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</si>
  <si>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</si>
  <si>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</si>
  <si>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</si>
  <si>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</si>
  <si>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</si>
  <si>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</si>
  <si>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</si>
  <si>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</si>
  <si>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</si>
  <si>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</si>
  <si>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</si>
  <si>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</si>
  <si>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</si>
  <si>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</si>
  <si>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</si>
  <si>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</si>
  <si>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</si>
  <si>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</si>
  <si>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</si>
  <si>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</si>
  <si>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</si>
  <si>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</si>
  <si>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</si>
  <si>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</si>
  <si>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</si>
  <si>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</si>
  <si>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</si>
  <si>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</si>
  <si>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</si>
  <si>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</si>
  <si>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</si>
  <si>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</si>
  <si>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</si>
  <si>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</si>
  <si>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</si>
  <si>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</si>
  <si>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</si>
  <si>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</si>
  <si>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</si>
  <si>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</si>
  <si>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</si>
  <si>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 xml:space="preserve">             - školy a školská zařízení zřiz. krajem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</si>
  <si>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</si>
  <si>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</si>
  <si>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</si>
  <si>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</si>
  <si>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</si>
  <si>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</si>
  <si>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</si>
  <si>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</si>
  <si>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</si>
  <si>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</si>
  <si>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</si>
  <si>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</si>
  <si>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</si>
  <si>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</si>
  <si>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</si>
  <si>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</si>
  <si>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</si>
  <si>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</si>
  <si>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</si>
  <si>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</si>
  <si>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</si>
  <si>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</si>
  <si>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</si>
  <si>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</si>
  <si>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</si>
  <si>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</si>
  <si>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</si>
  <si>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</si>
  <si>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</si>
  <si>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</si>
  <si>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</si>
  <si>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</si>
  <si>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</si>
  <si>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</si>
  <si>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</si>
  <si>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</si>
  <si>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</si>
  <si>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</si>
  <si>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</si>
  <si>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</si>
  <si>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</si>
  <si>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</si>
  <si>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</si>
  <si>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</si>
  <si>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</si>
  <si>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</si>
  <si>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</si>
  <si>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</si>
  <si>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</si>
  <si>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</si>
  <si>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</si>
  <si>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</si>
  <si>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</si>
  <si>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</si>
  <si>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</si>
  <si>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</si>
  <si>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</si>
  <si>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</si>
  <si>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</si>
  <si>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</si>
  <si>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</si>
  <si>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</si>
  <si>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</si>
  <si>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</si>
  <si>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</si>
  <si>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</si>
  <si>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</si>
  <si>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</si>
  <si>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</si>
  <si>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</si>
  <si>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</si>
  <si>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</si>
  <si>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</si>
  <si>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</si>
  <si>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</si>
  <si>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</si>
  <si>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</si>
  <si>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</si>
  <si>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</si>
  <si>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</si>
  <si>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</si>
  <si>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</si>
  <si>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</si>
  <si>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</si>
  <si>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</si>
  <si>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</si>
  <si>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</si>
  <si>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</si>
  <si>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</si>
  <si>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</si>
  <si>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</si>
  <si>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</si>
  <si>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</si>
  <si>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</si>
  <si>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</si>
  <si>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</si>
  <si>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</si>
  <si>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</si>
  <si>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</si>
  <si>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</si>
  <si>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</si>
  <si>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</si>
  <si>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</si>
  <si>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</si>
  <si>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</si>
  <si>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</si>
  <si>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</si>
  <si>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</si>
  <si>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</si>
  <si>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</si>
  <si>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</si>
  <si>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</si>
  <si>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</si>
  <si>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</si>
  <si>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</si>
  <si>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</si>
  <si>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</si>
  <si>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</si>
  <si>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</si>
  <si>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</si>
  <si>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</si>
  <si>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</si>
  <si>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</si>
  <si>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</si>
  <si>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</si>
  <si>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</si>
  <si>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</si>
  <si>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</si>
  <si>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</si>
  <si>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</si>
  <si>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</si>
  <si>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</si>
  <si>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</si>
  <si>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</si>
  <si>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</si>
  <si>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</si>
  <si>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</si>
  <si>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</si>
  <si>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</si>
  <si>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</si>
  <si>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</si>
  <si>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</si>
  <si>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</si>
  <si>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</si>
  <si>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</si>
  <si>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</si>
  <si>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</si>
  <si>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</si>
  <si>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</si>
  <si>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</si>
  <si>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</si>
  <si>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</si>
  <si>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</si>
  <si>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</si>
  <si>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</si>
  <si>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</si>
  <si>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</si>
  <si>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</si>
  <si>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</si>
  <si>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</si>
  <si>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</si>
  <si>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</si>
  <si>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</si>
  <si>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</si>
  <si>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</si>
  <si>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</si>
  <si>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</si>
  <si>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</si>
  <si>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</si>
  <si>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</si>
  <si>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</si>
  <si>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</si>
  <si>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</si>
  <si>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</si>
  <si>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</si>
  <si>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</si>
  <si>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</si>
  <si>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</si>
  <si>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</si>
  <si>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</si>
  <si>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</si>
  <si>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</si>
  <si>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</si>
  <si>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</si>
  <si>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</si>
  <si>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</si>
  <si>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</si>
  <si>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</si>
  <si>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</si>
  <si>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</si>
  <si>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</si>
  <si>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</si>
  <si>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</si>
  <si>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</si>
  <si>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</si>
  <si>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</si>
  <si>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</si>
  <si>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</si>
  <si>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</si>
  <si>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</si>
  <si>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</si>
  <si>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</si>
  <si>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</si>
  <si>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</si>
  <si>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</si>
  <si>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</si>
  <si>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</si>
  <si>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II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</si>
  <si>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</si>
  <si>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</si>
  <si>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</si>
  <si>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</si>
  <si>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</si>
  <si>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</si>
  <si>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</si>
  <si>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</si>
  <si>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</si>
  <si>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</si>
  <si>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</si>
  <si>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</si>
  <si>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</si>
  <si>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</si>
  <si>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</si>
  <si>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</si>
  <si>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</si>
  <si>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</si>
  <si>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NA ROK 2021</t>
  </si>
  <si>
    <t>ostatní běžné výdaje - cestovní ruch</t>
  </si>
  <si>
    <t xml:space="preserve">             životní prostředí</t>
  </si>
  <si>
    <t>OP Z - Predikce trhu práce - Kompas - SR</t>
  </si>
  <si>
    <t>řešení krizových situací - SR</t>
  </si>
  <si>
    <t>Krajský akční plán vzdělávání v KHK - SR 2020</t>
  </si>
  <si>
    <t>IKAP rozvoje vzdělávání v KHK - SR 2020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</si>
  <si>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</si>
  <si>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</si>
  <si>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</si>
  <si>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</si>
  <si>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</si>
  <si>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OP Z Rozvoj dostup.a kvality soc.sl.v KHK VI - SR 2020</t>
  </si>
  <si>
    <t>OP Z Služby soc.prevence v KHK V - SR  2020</t>
  </si>
  <si>
    <t>OP Z Služby soc.prevence v KHK IV - SR  2020</t>
  </si>
  <si>
    <t>OP Z Služby soc.prevence v KHK VI - SR  2020</t>
  </si>
  <si>
    <t>OP Z Rozvoj reg.partnerství v soc.oblasti v KHK II - SR 2020</t>
  </si>
  <si>
    <t>OP Z Komunitní služby - SR 2020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</si>
  <si>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</si>
  <si>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</si>
  <si>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</si>
  <si>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Snížení emisí z lokál.vytápění domácností v KHK II - SR 2020</t>
  </si>
  <si>
    <t>Snížení emisí z lokál.vytápění domácností v KHK III. - SR 2020</t>
  </si>
  <si>
    <t>OP Z - Rozvoj KHK-chytře, efektivně, s prosperitou - SR 2020</t>
  </si>
  <si>
    <t>OP Z - Do praxe bez bariér - SR 2020</t>
  </si>
  <si>
    <t>potravinová pomoc dětem v KHK II - obědy do škol - SR 2020</t>
  </si>
  <si>
    <t>potravinová pomoc dětem v KHK III - obědy do škol - SR 2020</t>
  </si>
  <si>
    <t>OP VVV - Smart Akcelerátor II. - SR 2020</t>
  </si>
  <si>
    <t>OP Z - Predikce trhu práce - Kompas - SR 2020</t>
  </si>
  <si>
    <t>potravinová pomoc dětem v KHK IV - obědy do škol - SR 2020</t>
  </si>
  <si>
    <t>mzd.nákl.-prac.povin.studentů-epidemie Covid-19 - SR 2020</t>
  </si>
  <si>
    <t>OP Z Rozvoj dostup.a kvality soc.sl.v KHK VII - SR 2020</t>
  </si>
  <si>
    <t xml:space="preserve">OP VVV - Smart Akcelerátor II. - SR </t>
  </si>
  <si>
    <t>podpora podpůrných opatření pro žáky se spec. potř. - SR</t>
  </si>
  <si>
    <t>podpora služeb s nadreg.a celostátní působností - SR</t>
  </si>
  <si>
    <t>výkon sociální práce - SR</t>
  </si>
  <si>
    <t>OP potravinové a mater.pomoci-podpora administrace - SR</t>
  </si>
  <si>
    <t xml:space="preserve">OP Z Služby soc.prevence v KHK V - SR </t>
  </si>
  <si>
    <t xml:space="preserve">OP Z Rozvoj dostup.a kvality soc.sl.v KHK VII - SR </t>
  </si>
  <si>
    <t>OPZ - Rozvoj systému hospodaření s energií v KHK - SR</t>
  </si>
  <si>
    <t>podpora výchovně vzdělávacích aktivit v muzejnictví - SR</t>
  </si>
  <si>
    <t>program na ochranu měkkých cílů - SR</t>
  </si>
  <si>
    <t>finanční ohodnocení zaměst.poskytovatelů lůžkové péče - SR</t>
  </si>
  <si>
    <t>Nová zelená úsporám - adaptační a mitigační opatření - SR</t>
  </si>
  <si>
    <t>2. technická pomoc pro KHK - SR</t>
  </si>
  <si>
    <t>regionální stálá konference III. - SR</t>
  </si>
  <si>
    <t>IP Přeshraniční vzdělávání technických oborů - SR</t>
  </si>
  <si>
    <t>odměny zam.soc.služeb v období koronaviru (program C) - SR</t>
  </si>
  <si>
    <t>OP Z Rozvoj reg.partnerství v soc.oblasti v KHK II - SR</t>
  </si>
  <si>
    <t>sanace nákladů na antigenní testování (program T) - SR</t>
  </si>
  <si>
    <t>podpora standard.veřejných služeb muzeí a galerií - SR</t>
  </si>
  <si>
    <t>mimořádné odměny pro prac. KÚ v oblasti SPOD - SR</t>
  </si>
  <si>
    <t xml:space="preserve">OP Z Komunitní služby - SR </t>
  </si>
  <si>
    <t xml:space="preserve">ostatní kapitálové výdaje </t>
  </si>
  <si>
    <t>sanace vícenákladů a výpadku příjmů při Covid-19(program E) - SR</t>
  </si>
  <si>
    <t xml:space="preserve">OP Z Služby soc.prevence v KHK VI - SR </t>
  </si>
  <si>
    <t xml:space="preserve">IKAP rozvoje vzdělávání v KHK II - SR </t>
  </si>
  <si>
    <t>Společné dědictví - SR</t>
  </si>
  <si>
    <t>integrovaný systém ochrany movitého kult.dědictví - SR</t>
  </si>
  <si>
    <t>34503, 506</t>
  </si>
  <si>
    <t xml:space="preserve">  z MF</t>
  </si>
  <si>
    <t>Posilování kompetencí ped.prac.škol a šk.porad.zařízení - SR</t>
  </si>
  <si>
    <t>12002, 95032</t>
  </si>
  <si>
    <t>zvýšení atraktivity KHK 3 A542- SR</t>
  </si>
  <si>
    <t>IP polytechnické centrum Novoměstska - SR</t>
  </si>
  <si>
    <t>17xxx</t>
  </si>
  <si>
    <t>zajištění testování dětí, žáků a studentů ve školách - SR</t>
  </si>
  <si>
    <t>volby do Poslanecké sněmovny Parlamentu ČR - SR</t>
  </si>
  <si>
    <t>podpora rekr. pobytů dětí a mládeže dětských domovů - SR</t>
  </si>
  <si>
    <t>prevence negat.dopadů psych.i fyz.zátěže zaměst.poskyt.lůžk.péče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</si>
</sst>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6" fontId="8" fillId="0" borderId="27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3" fontId="53" fillId="0" borderId="0" xfId="0" applyFont="1" applyAlignment="1">
      <alignment/>
    </xf>
    <xf numFmtId="3" fontId="7" fillId="0" borderId="28" xfId="0" applyFont="1" applyBorder="1" applyAlignment="1">
      <alignment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6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6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7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67" fontId="0" fillId="0" borderId="36" xfId="0" applyNumberFormat="1" applyBorder="1" applyAlignment="1">
      <alignment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left"/>
    </xf>
    <xf numFmtId="174" fontId="0" fillId="0" borderId="0" xfId="38" applyNumberFormat="1" applyFont="1" applyFill="1" applyBorder="1" applyAlignment="1">
      <alignment/>
    </xf>
    <xf numFmtId="174" fontId="4" fillId="0" borderId="20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8" xfId="38" applyNumberFormat="1" applyFon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4" fillId="0" borderId="37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8" xfId="38" applyNumberFormat="1" applyFont="1" applyBorder="1" applyAlignment="1">
      <alignment vertical="center"/>
    </xf>
    <xf numFmtId="174" fontId="0" fillId="0" borderId="28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39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0" fillId="0" borderId="28" xfId="38" applyNumberFormat="1" applyFont="1" applyFill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4" fontId="0" fillId="0" borderId="35" xfId="38" applyNumberFormat="1" applyFont="1" applyBorder="1" applyAlignment="1">
      <alignment vertical="center"/>
    </xf>
    <xf numFmtId="3" fontId="0" fillId="0" borderId="34" xfId="0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24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166" fontId="4" fillId="0" borderId="36" xfId="38" applyNumberFormat="1" applyFont="1" applyBorder="1" applyAlignment="1">
      <alignment/>
    </xf>
    <xf numFmtId="167" fontId="0" fillId="0" borderId="28" xfId="0" applyNumberFormat="1" applyBorder="1" applyAlignment="1">
      <alignment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3" fontId="0" fillId="0" borderId="22" xfId="0" applyFont="1" applyBorder="1" applyAlignment="1">
      <alignment/>
    </xf>
    <xf numFmtId="3" fontId="12" fillId="0" borderId="34" xfId="0" applyFont="1" applyBorder="1" applyAlignment="1">
      <alignment horizontal="center"/>
    </xf>
    <xf numFmtId="174" fontId="0" fillId="0" borderId="18" xfId="38" applyNumberFormat="1" applyFont="1" applyBorder="1" applyAlignment="1">
      <alignment/>
    </xf>
    <xf numFmtId="3" fontId="0" fillId="0" borderId="21" xfId="0" applyFill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0" fillId="0" borderId="40" xfId="38" applyNumberFormat="1" applyFont="1" applyBorder="1" applyAlignment="1">
      <alignment/>
    </xf>
    <xf numFmtId="174" fontId="0" fillId="0" borderId="42" xfId="38" applyNumberFormat="1" applyFont="1" applyBorder="1" applyAlignment="1">
      <alignment/>
    </xf>
    <xf numFmtId="174" fontId="6" fillId="0" borderId="0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11" fillId="0" borderId="42" xfId="38" applyNumberFormat="1" applyFont="1" applyBorder="1" applyAlignment="1">
      <alignment/>
    </xf>
    <xf numFmtId="174" fontId="2" fillId="0" borderId="0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165" fontId="4" fillId="0" borderId="25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74" fontId="0" fillId="0" borderId="23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4" xfId="38" applyNumberFormat="1" applyFont="1" applyBorder="1" applyAlignment="1">
      <alignment/>
    </xf>
    <xf numFmtId="174" fontId="8" fillId="0" borderId="21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3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6" fillId="0" borderId="13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43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4" fontId="4" fillId="0" borderId="43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2" fillId="0" borderId="43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4" fontId="8" fillId="0" borderId="40" xfId="38" applyNumberFormat="1" applyFont="1" applyBorder="1" applyAlignment="1">
      <alignment vertical="center"/>
    </xf>
    <xf numFmtId="4" fontId="0" fillId="0" borderId="13" xfId="38" applyNumberFormat="1" applyFont="1" applyBorder="1" applyAlignment="1">
      <alignment/>
    </xf>
    <xf numFmtId="3" fontId="7" fillId="0" borderId="28" xfId="0" applyFont="1" applyBorder="1" applyAlignment="1">
      <alignment horizontal="center" vertical="center"/>
    </xf>
    <xf numFmtId="174" fontId="0" fillId="0" borderId="41" xfId="38" applyNumberFormat="1" applyFont="1" applyBorder="1" applyAlignment="1">
      <alignment vertical="center"/>
    </xf>
    <xf numFmtId="174" fontId="0" fillId="0" borderId="23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7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6" fillId="0" borderId="44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45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8" fillId="0" borderId="27" xfId="38" applyNumberFormat="1" applyFont="1" applyBorder="1" applyAlignment="1">
      <alignment vertical="center"/>
    </xf>
    <xf numFmtId="4" fontId="4" fillId="0" borderId="44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4" fillId="0" borderId="44" xfId="38" applyNumberFormat="1" applyFont="1" applyBorder="1" applyAlignment="1">
      <alignment/>
    </xf>
    <xf numFmtId="4" fontId="2" fillId="0" borderId="41" xfId="38" applyNumberFormat="1" applyFont="1" applyBorder="1" applyAlignment="1">
      <alignment vertical="center"/>
    </xf>
    <xf numFmtId="4" fontId="6" fillId="0" borderId="44" xfId="38" applyNumberFormat="1" applyFont="1" applyBorder="1" applyAlignment="1">
      <alignment/>
    </xf>
    <xf numFmtId="4" fontId="0" fillId="0" borderId="44" xfId="38" applyNumberFormat="1" applyFont="1" applyFill="1" applyBorder="1" applyAlignment="1">
      <alignment/>
    </xf>
    <xf numFmtId="4" fontId="3" fillId="0" borderId="46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3" fillId="0" borderId="44" xfId="38" applyNumberFormat="1" applyFont="1" applyBorder="1" applyAlignment="1">
      <alignment vertical="center"/>
    </xf>
    <xf numFmtId="4" fontId="3" fillId="0" borderId="41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 vertical="center"/>
    </xf>
    <xf numFmtId="3" fontId="0" fillId="0" borderId="28" xfId="0" applyFill="1" applyBorder="1" applyAlignment="1">
      <alignment/>
    </xf>
    <xf numFmtId="3" fontId="52" fillId="0" borderId="28" xfId="0" applyFont="1" applyBorder="1" applyAlignment="1">
      <alignment/>
    </xf>
    <xf numFmtId="4" fontId="4" fillId="0" borderId="48" xfId="38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4" fillId="0" borderId="0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0" fillId="0" borderId="42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4" fillId="0" borderId="28" xfId="38" applyNumberFormat="1" applyFont="1" applyBorder="1" applyAlignment="1">
      <alignment/>
    </xf>
    <xf numFmtId="4" fontId="6" fillId="0" borderId="28" xfId="38" applyNumberFormat="1" applyFont="1" applyBorder="1" applyAlignment="1">
      <alignment/>
    </xf>
    <xf numFmtId="4" fontId="4" fillId="0" borderId="38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8" fillId="0" borderId="28" xfId="38" applyNumberFormat="1" applyFont="1" applyBorder="1" applyAlignment="1">
      <alignment vertical="center"/>
    </xf>
    <xf numFmtId="4" fontId="8" fillId="0" borderId="33" xfId="38" applyNumberFormat="1" applyFont="1" applyBorder="1" applyAlignment="1">
      <alignment vertical="center"/>
    </xf>
    <xf numFmtId="4" fontId="0" fillId="0" borderId="28" xfId="38" applyNumberFormat="1" applyFont="1" applyBorder="1" applyAlignment="1">
      <alignment/>
    </xf>
    <xf numFmtId="3" fontId="5" fillId="0" borderId="28" xfId="0" applyFont="1" applyBorder="1" applyAlignment="1">
      <alignment horizontal="center"/>
    </xf>
    <xf numFmtId="174" fontId="4" fillId="0" borderId="17" xfId="38" applyNumberFormat="1" applyFont="1" applyBorder="1" applyAlignment="1">
      <alignment/>
    </xf>
    <xf numFmtId="3" fontId="7" fillId="0" borderId="28" xfId="0" applyFont="1" applyFill="1" applyBorder="1" applyAlignment="1">
      <alignment/>
    </xf>
    <xf numFmtId="4" fontId="52" fillId="0" borderId="28" xfId="0" applyNumberFormat="1" applyFont="1" applyBorder="1" applyAlignment="1">
      <alignment/>
    </xf>
    <xf numFmtId="4" fontId="0" fillId="0" borderId="34" xfId="38" applyNumberFormat="1" applyFont="1" applyFill="1" applyBorder="1" applyAlignment="1">
      <alignment/>
    </xf>
    <xf numFmtId="4" fontId="0" fillId="0" borderId="26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0" fillId="0" borderId="40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74" fontId="4" fillId="0" borderId="49" xfId="38" applyNumberFormat="1" applyFont="1" applyBorder="1" applyAlignment="1">
      <alignment/>
    </xf>
    <xf numFmtId="174" fontId="4" fillId="0" borderId="48" xfId="38" applyNumberFormat="1" applyFont="1" applyBorder="1" applyAlignment="1">
      <alignment/>
    </xf>
    <xf numFmtId="3" fontId="0" fillId="0" borderId="23" xfId="0" applyBorder="1" applyAlignment="1">
      <alignment/>
    </xf>
    <xf numFmtId="174" fontId="0" fillId="0" borderId="33" xfId="38" applyNumberFormat="1" applyFont="1" applyFill="1" applyBorder="1" applyAlignment="1">
      <alignment/>
    </xf>
    <xf numFmtId="4" fontId="0" fillId="0" borderId="33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6"/>
  <sheetViews>
    <sheetView zoomScale="110" zoomScaleNormal="110" zoomScaleSheetLayoutView="69" zoomScalePageLayoutView="0" workbookViewId="0" topLeftCell="A1">
      <pane xSplit="1" ySplit="9" topLeftCell="C28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02" sqref="J302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hidden="1" customWidth="1"/>
    <col min="7" max="7" width="13.125" style="0" hidden="1" customWidth="1"/>
    <col min="8" max="8" width="12.75390625" style="0" hidden="1" customWidth="1"/>
    <col min="9" max="9" width="16.125" style="0" customWidth="1"/>
    <col min="10" max="10" width="14.875" style="0" customWidth="1"/>
    <col min="11" max="11" width="13.75390625" style="0" hidden="1" customWidth="1"/>
    <col min="12" max="12" width="16.37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0.6171875" style="0" hidden="1" customWidth="1"/>
    <col min="18" max="18" width="17.75390625" style="0" customWidth="1"/>
    <col min="19" max="19" width="15.625" style="0" customWidth="1"/>
    <col min="20" max="20" width="16.625" style="0" customWidth="1"/>
  </cols>
  <sheetData>
    <row r="1" spans="3:17" ht="12.75">
      <c r="C1" s="1"/>
      <c r="D1" s="1"/>
      <c r="E1" s="1"/>
      <c r="F1" s="2"/>
      <c r="I1" s="2"/>
      <c r="L1" s="2" t="s">
        <v>134</v>
      </c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.75">
      <c r="A3" s="336" t="s">
        <v>239</v>
      </c>
      <c r="B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5.75">
      <c r="A4" s="338" t="s">
        <v>309</v>
      </c>
      <c r="B4" s="338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15">
      <c r="A5" s="339" t="s">
        <v>0</v>
      </c>
      <c r="B5" s="339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12.75">
      <c r="A6" s="340" t="s">
        <v>1</v>
      </c>
      <c r="B6" s="340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3" ht="18" customHeight="1" thickBot="1">
      <c r="A7" s="3"/>
      <c r="B7" s="3"/>
      <c r="C7" s="4"/>
      <c r="D7" s="131"/>
      <c r="E7" s="4"/>
      <c r="F7" s="4"/>
      <c r="J7" s="66"/>
      <c r="M7" s="60"/>
    </row>
    <row r="8" spans="1:18" ht="12.75">
      <c r="A8" s="341" t="s">
        <v>2</v>
      </c>
      <c r="B8" s="82" t="s">
        <v>227</v>
      </c>
      <c r="C8" s="152" t="s">
        <v>3</v>
      </c>
      <c r="D8" s="17" t="s">
        <v>4</v>
      </c>
      <c r="E8" s="170" t="s">
        <v>5</v>
      </c>
      <c r="F8" s="220" t="s">
        <v>6</v>
      </c>
      <c r="G8" s="16" t="s">
        <v>7</v>
      </c>
      <c r="H8" s="17" t="s">
        <v>5</v>
      </c>
      <c r="I8" s="18" t="s">
        <v>6</v>
      </c>
      <c r="J8" s="170" t="s">
        <v>8</v>
      </c>
      <c r="K8" s="17" t="s">
        <v>5</v>
      </c>
      <c r="L8" s="18" t="s">
        <v>6</v>
      </c>
      <c r="M8" s="16" t="s">
        <v>9</v>
      </c>
      <c r="N8" s="17" t="s">
        <v>5</v>
      </c>
      <c r="O8" s="18" t="s">
        <v>6</v>
      </c>
      <c r="P8" s="16" t="s">
        <v>159</v>
      </c>
      <c r="Q8" s="68" t="s">
        <v>6</v>
      </c>
      <c r="R8" s="87"/>
    </row>
    <row r="9" spans="1:18" ht="13.5" thickBot="1">
      <c r="A9" s="342"/>
      <c r="B9" s="145" t="s">
        <v>174</v>
      </c>
      <c r="C9" s="153" t="s">
        <v>10</v>
      </c>
      <c r="D9" s="57" t="s">
        <v>11</v>
      </c>
      <c r="E9" s="171" t="s">
        <v>12</v>
      </c>
      <c r="F9" s="221" t="s">
        <v>13</v>
      </c>
      <c r="G9" s="56" t="s">
        <v>11</v>
      </c>
      <c r="H9" s="57" t="s">
        <v>12</v>
      </c>
      <c r="I9" s="58" t="s">
        <v>14</v>
      </c>
      <c r="J9" s="171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58" t="s">
        <v>16</v>
      </c>
      <c r="P9" s="56" t="s">
        <v>11</v>
      </c>
      <c r="Q9" s="69" t="s">
        <v>160</v>
      </c>
      <c r="R9" s="87"/>
    </row>
    <row r="10" spans="1:18" ht="15.75" customHeight="1">
      <c r="A10" s="54" t="s">
        <v>17</v>
      </c>
      <c r="B10" s="83"/>
      <c r="C10" s="154"/>
      <c r="D10" s="5"/>
      <c r="E10" s="172"/>
      <c r="F10" s="222"/>
      <c r="G10" s="28"/>
      <c r="H10" s="5"/>
      <c r="I10" s="55"/>
      <c r="J10" s="172"/>
      <c r="K10" s="5"/>
      <c r="L10" s="55"/>
      <c r="M10" s="28"/>
      <c r="N10" s="5"/>
      <c r="O10" s="55"/>
      <c r="P10" s="71"/>
      <c r="Q10" s="72"/>
      <c r="R10" s="87"/>
    </row>
    <row r="11" spans="1:18" ht="12.75">
      <c r="A11" s="30" t="s">
        <v>217</v>
      </c>
      <c r="B11" s="84"/>
      <c r="C11" s="142">
        <f>C13+C14+C15+C16</f>
        <v>4500000</v>
      </c>
      <c r="D11" s="107">
        <f>D13+D14+D15+D16</f>
        <v>34675.19</v>
      </c>
      <c r="E11" s="143">
        <f>E13+E14+E15</f>
        <v>0</v>
      </c>
      <c r="F11" s="187">
        <f aca="true" t="shared" si="0" ref="F11:L11">F13+F14+F15+F16</f>
        <v>4534675.19</v>
      </c>
      <c r="G11" s="227">
        <f t="shared" si="0"/>
        <v>55460.4</v>
      </c>
      <c r="H11" s="228">
        <f t="shared" si="0"/>
        <v>200</v>
      </c>
      <c r="I11" s="270">
        <f t="shared" si="0"/>
        <v>4590335.59</v>
      </c>
      <c r="J11" s="288">
        <f t="shared" si="0"/>
        <v>169033.30000000002</v>
      </c>
      <c r="K11" s="228">
        <f t="shared" si="0"/>
        <v>0</v>
      </c>
      <c r="L11" s="270">
        <f t="shared" si="0"/>
        <v>4759368.89</v>
      </c>
      <c r="M11" s="143">
        <f>M13+M14+M15</f>
        <v>0</v>
      </c>
      <c r="N11" s="143">
        <f>N13+N14+N15</f>
        <v>0</v>
      </c>
      <c r="O11" s="143">
        <f>O13+O14+O15</f>
        <v>32755.340000000004</v>
      </c>
      <c r="P11" s="143">
        <f>P13+P14+P15</f>
        <v>0</v>
      </c>
      <c r="Q11" s="151">
        <f>Q13+Q14+Q15</f>
        <v>32755.340000000004</v>
      </c>
      <c r="R11" s="87"/>
    </row>
    <row r="12" spans="1:18" ht="12.75">
      <c r="A12" s="31" t="s">
        <v>18</v>
      </c>
      <c r="B12" s="85"/>
      <c r="C12" s="142"/>
      <c r="D12" s="107"/>
      <c r="E12" s="143"/>
      <c r="F12" s="187"/>
      <c r="G12" s="227"/>
      <c r="H12" s="228"/>
      <c r="I12" s="270"/>
      <c r="J12" s="304"/>
      <c r="K12" s="6"/>
      <c r="L12" s="270"/>
      <c r="M12" s="19"/>
      <c r="N12" s="6"/>
      <c r="O12" s="20"/>
      <c r="P12" s="75"/>
      <c r="Q12" s="73"/>
      <c r="R12" s="87"/>
    </row>
    <row r="13" spans="1:18" ht="12.75">
      <c r="A13" s="93" t="s">
        <v>224</v>
      </c>
      <c r="B13" s="85"/>
      <c r="C13" s="135">
        <v>4467580</v>
      </c>
      <c r="D13" s="108"/>
      <c r="E13" s="143"/>
      <c r="F13" s="188">
        <f>C13+D13+E13</f>
        <v>4467580</v>
      </c>
      <c r="G13" s="229">
        <f>4840+232+307+12000+4629.25+7800+24572+3000</f>
        <v>57380.25</v>
      </c>
      <c r="H13" s="230">
        <f>200</f>
        <v>200</v>
      </c>
      <c r="I13" s="271">
        <f>F13+G13+H13</f>
        <v>4525160.25</v>
      </c>
      <c r="J13" s="305">
        <f>3000+1000+55000+9000+13000+1960.7+15000+1200+23000+10000+6000+2800+5000+10000+10000+3000</f>
        <v>168960.7</v>
      </c>
      <c r="K13" s="6"/>
      <c r="L13" s="271">
        <f>I13+J13+K13</f>
        <v>4694120.95</v>
      </c>
      <c r="M13" s="19"/>
      <c r="N13" s="6"/>
      <c r="O13" s="20"/>
      <c r="P13" s="75"/>
      <c r="Q13" s="73"/>
      <c r="R13" s="87"/>
    </row>
    <row r="14" spans="1:18" ht="12.75">
      <c r="A14" s="32" t="s">
        <v>19</v>
      </c>
      <c r="B14" s="86"/>
      <c r="C14" s="135"/>
      <c r="D14" s="119">
        <f>34675.19</f>
        <v>34675.19</v>
      </c>
      <c r="E14" s="136"/>
      <c r="F14" s="188">
        <f>C14+D14+E14</f>
        <v>34675.19</v>
      </c>
      <c r="G14" s="229">
        <f>-1919.85</f>
        <v>-1919.85</v>
      </c>
      <c r="H14" s="228"/>
      <c r="I14" s="271">
        <f>F14+G14+H14</f>
        <v>32755.340000000004</v>
      </c>
      <c r="J14" s="305"/>
      <c r="K14" s="6"/>
      <c r="L14" s="271">
        <f>I14+J14+K14</f>
        <v>32755.340000000004</v>
      </c>
      <c r="M14" s="21"/>
      <c r="N14" s="6"/>
      <c r="O14" s="22">
        <f>L14+M14+N14</f>
        <v>32755.340000000004</v>
      </c>
      <c r="P14" s="75"/>
      <c r="Q14" s="73">
        <f aca="true" t="shared" si="1" ref="Q14:Q79">O14+P14</f>
        <v>32755.340000000004</v>
      </c>
      <c r="R14" s="87"/>
    </row>
    <row r="15" spans="1:18" ht="12.75">
      <c r="A15" s="93" t="s">
        <v>225</v>
      </c>
      <c r="B15" s="86"/>
      <c r="C15" s="135">
        <v>2420</v>
      </c>
      <c r="D15" s="119"/>
      <c r="E15" s="136"/>
      <c r="F15" s="188">
        <f>C15+D15+E15</f>
        <v>2420</v>
      </c>
      <c r="G15" s="229"/>
      <c r="H15" s="228"/>
      <c r="I15" s="271">
        <f>F15+G15+H15</f>
        <v>2420</v>
      </c>
      <c r="J15" s="305">
        <f>72.6</f>
        <v>72.6</v>
      </c>
      <c r="K15" s="6"/>
      <c r="L15" s="271">
        <f>I15+J15+K15</f>
        <v>2492.6</v>
      </c>
      <c r="M15" s="127"/>
      <c r="N15" s="6"/>
      <c r="O15" s="22"/>
      <c r="P15" s="141"/>
      <c r="Q15" s="73"/>
      <c r="R15" s="87"/>
    </row>
    <row r="16" spans="1:18" ht="12.75">
      <c r="A16" s="93" t="s">
        <v>285</v>
      </c>
      <c r="B16" s="86"/>
      <c r="C16" s="135">
        <v>30000</v>
      </c>
      <c r="D16" s="119"/>
      <c r="E16" s="136"/>
      <c r="F16" s="188">
        <f>C16+D16+E16</f>
        <v>30000</v>
      </c>
      <c r="G16" s="229"/>
      <c r="H16" s="228"/>
      <c r="I16" s="271">
        <f>F16+G16+H16</f>
        <v>30000</v>
      </c>
      <c r="J16" s="305"/>
      <c r="K16" s="6"/>
      <c r="L16" s="271">
        <f>I16+J16+K16</f>
        <v>30000</v>
      </c>
      <c r="M16" s="127"/>
      <c r="N16" s="203"/>
      <c r="O16" s="81"/>
      <c r="P16" s="141"/>
      <c r="Q16" s="73"/>
      <c r="R16" s="87"/>
    </row>
    <row r="17" spans="1:18" ht="12.75">
      <c r="A17" s="30" t="s">
        <v>218</v>
      </c>
      <c r="B17" s="84"/>
      <c r="C17" s="142">
        <f aca="true" t="shared" si="2" ref="C17:Q17">SUM(C19:C24)+C31</f>
        <v>240864.88</v>
      </c>
      <c r="D17" s="107">
        <f t="shared" si="2"/>
        <v>18107.46</v>
      </c>
      <c r="E17" s="143">
        <f t="shared" si="2"/>
        <v>0</v>
      </c>
      <c r="F17" s="187">
        <f t="shared" si="2"/>
        <v>258972.34000000003</v>
      </c>
      <c r="G17" s="227">
        <f t="shared" si="2"/>
        <v>44877.26</v>
      </c>
      <c r="H17" s="228">
        <f t="shared" si="2"/>
        <v>80839.93000000001</v>
      </c>
      <c r="I17" s="270">
        <f t="shared" si="2"/>
        <v>384689.52999999997</v>
      </c>
      <c r="J17" s="288">
        <f t="shared" si="2"/>
        <v>42476.63999999999</v>
      </c>
      <c r="K17" s="228">
        <f t="shared" si="2"/>
        <v>0</v>
      </c>
      <c r="L17" s="270">
        <f t="shared" si="2"/>
        <v>427166.17</v>
      </c>
      <c r="M17" s="106">
        <f t="shared" si="2"/>
        <v>0</v>
      </c>
      <c r="N17" s="106">
        <f t="shared" si="2"/>
        <v>0</v>
      </c>
      <c r="O17" s="106">
        <f t="shared" si="2"/>
        <v>409847.57</v>
      </c>
      <c r="P17" s="106">
        <f t="shared" si="2"/>
        <v>0</v>
      </c>
      <c r="Q17" s="187">
        <f t="shared" si="2"/>
        <v>409847.57</v>
      </c>
      <c r="R17" s="87"/>
    </row>
    <row r="18" spans="1:18" ht="10.5" customHeight="1">
      <c r="A18" s="31" t="s">
        <v>20</v>
      </c>
      <c r="B18" s="85"/>
      <c r="C18" s="142"/>
      <c r="D18" s="107"/>
      <c r="E18" s="143"/>
      <c r="F18" s="187"/>
      <c r="G18" s="227"/>
      <c r="H18" s="228"/>
      <c r="I18" s="270"/>
      <c r="J18" s="304"/>
      <c r="K18" s="6"/>
      <c r="L18" s="270"/>
      <c r="M18" s="19"/>
      <c r="N18" s="6"/>
      <c r="O18" s="20"/>
      <c r="P18" s="75"/>
      <c r="Q18" s="73"/>
      <c r="R18" s="87"/>
    </row>
    <row r="19" spans="1:18" ht="12.75">
      <c r="A19" s="32" t="s">
        <v>21</v>
      </c>
      <c r="B19" s="86"/>
      <c r="C19" s="135">
        <v>6000</v>
      </c>
      <c r="D19" s="108"/>
      <c r="E19" s="136"/>
      <c r="F19" s="188">
        <f>C19+D19+E19</f>
        <v>6000</v>
      </c>
      <c r="G19" s="229">
        <f>34.92+1.62</f>
        <v>36.54</v>
      </c>
      <c r="H19" s="230"/>
      <c r="I19" s="271">
        <f>F19+G19+H19</f>
        <v>6036.54</v>
      </c>
      <c r="J19" s="305">
        <f>12.31+10.33</f>
        <v>22.64</v>
      </c>
      <c r="K19" s="7"/>
      <c r="L19" s="271">
        <f>I19+J19+K19</f>
        <v>6059.18</v>
      </c>
      <c r="M19" s="21"/>
      <c r="N19" s="7"/>
      <c r="O19" s="22">
        <f>L19+M19+N19</f>
        <v>6059.18</v>
      </c>
      <c r="P19" s="75"/>
      <c r="Q19" s="73">
        <f t="shared" si="1"/>
        <v>6059.18</v>
      </c>
      <c r="R19" s="87"/>
    </row>
    <row r="20" spans="1:18" ht="12.75">
      <c r="A20" s="93" t="s">
        <v>252</v>
      </c>
      <c r="B20" s="86"/>
      <c r="C20" s="135"/>
      <c r="D20" s="108">
        <f>167.06</f>
        <v>167.06</v>
      </c>
      <c r="E20" s="136"/>
      <c r="F20" s="188">
        <f aca="true" t="shared" si="3" ref="F20:F31">C20+D20+E20</f>
        <v>167.06</v>
      </c>
      <c r="G20" s="229">
        <f>18.55+7114.8+4599.77+5071.73+4967.28+3401.93+6100.66+4039.43</f>
        <v>35314.149999999994</v>
      </c>
      <c r="H20" s="230">
        <f>78872.33</f>
        <v>78872.33</v>
      </c>
      <c r="I20" s="271">
        <f>F20+G20+H20</f>
        <v>114353.54</v>
      </c>
      <c r="J20" s="305">
        <f>958.69+2970.55+7618.15</f>
        <v>11547.39</v>
      </c>
      <c r="K20" s="7"/>
      <c r="L20" s="271">
        <f>I20+J20+K20</f>
        <v>125900.93</v>
      </c>
      <c r="M20" s="21"/>
      <c r="N20" s="7"/>
      <c r="O20" s="22">
        <f>L20+M20+N20</f>
        <v>125900.93</v>
      </c>
      <c r="P20" s="75"/>
      <c r="Q20" s="73">
        <f t="shared" si="1"/>
        <v>125900.93</v>
      </c>
      <c r="R20" s="87"/>
    </row>
    <row r="21" spans="1:18" ht="12.75">
      <c r="A21" s="33" t="s">
        <v>253</v>
      </c>
      <c r="B21" s="87"/>
      <c r="C21" s="135">
        <v>122835.38</v>
      </c>
      <c r="D21" s="108"/>
      <c r="E21" s="136"/>
      <c r="F21" s="188">
        <f t="shared" si="3"/>
        <v>122835.38</v>
      </c>
      <c r="G21" s="229">
        <f>-48.56</f>
        <v>-48.56</v>
      </c>
      <c r="H21" s="230"/>
      <c r="I21" s="271">
        <f>F21+G21+H21</f>
        <v>122786.82</v>
      </c>
      <c r="J21" s="305"/>
      <c r="K21" s="7"/>
      <c r="L21" s="271">
        <f>I21+J21+K21</f>
        <v>122786.82</v>
      </c>
      <c r="M21" s="21"/>
      <c r="N21" s="7"/>
      <c r="O21" s="22">
        <f>L21+M21+N21</f>
        <v>122786.82</v>
      </c>
      <c r="P21" s="75"/>
      <c r="Q21" s="73">
        <f t="shared" si="1"/>
        <v>122786.82</v>
      </c>
      <c r="R21" s="87"/>
    </row>
    <row r="22" spans="1:18" ht="12.75" hidden="1">
      <c r="A22" s="33" t="s">
        <v>254</v>
      </c>
      <c r="B22" s="87"/>
      <c r="C22" s="135"/>
      <c r="D22" s="108"/>
      <c r="E22" s="136"/>
      <c r="F22" s="188">
        <f t="shared" si="3"/>
        <v>0</v>
      </c>
      <c r="G22" s="229"/>
      <c r="H22" s="230"/>
      <c r="I22" s="271"/>
      <c r="J22" s="305"/>
      <c r="K22" s="7"/>
      <c r="L22" s="271"/>
      <c r="M22" s="21"/>
      <c r="N22" s="7"/>
      <c r="O22" s="22"/>
      <c r="P22" s="75"/>
      <c r="Q22" s="73"/>
      <c r="R22" s="87"/>
    </row>
    <row r="23" spans="1:18" ht="12.75">
      <c r="A23" s="33" t="s">
        <v>255</v>
      </c>
      <c r="B23" s="87"/>
      <c r="C23" s="135"/>
      <c r="D23" s="108">
        <f>249.2+610+972.6+2636.68+401.69</f>
        <v>4870.169999999999</v>
      </c>
      <c r="E23" s="136"/>
      <c r="F23" s="188">
        <f t="shared" si="3"/>
        <v>4870.169999999999</v>
      </c>
      <c r="G23" s="229">
        <f>155+4553.82+136.73-15+471.68+53.89+102.5+413.07+42.76+87.95</f>
        <v>6002.4</v>
      </c>
      <c r="H23" s="230">
        <f>20.53</f>
        <v>20.53</v>
      </c>
      <c r="I23" s="271">
        <f>F23+G23+H23</f>
        <v>10893.1</v>
      </c>
      <c r="J23" s="305">
        <f>533+1800.57+80.38+220.7-72.6+1.6+100+20000+5343.92+1654.16+713.5</f>
        <v>30375.23</v>
      </c>
      <c r="K23" s="7"/>
      <c r="L23" s="271">
        <f>I23+J23+K23</f>
        <v>41268.33</v>
      </c>
      <c r="M23" s="29"/>
      <c r="N23" s="7"/>
      <c r="O23" s="22">
        <f>L23+M23+N23</f>
        <v>41268.33</v>
      </c>
      <c r="P23" s="75"/>
      <c r="Q23" s="73">
        <f t="shared" si="1"/>
        <v>41268.33</v>
      </c>
      <c r="R23" s="87"/>
    </row>
    <row r="24" spans="1:18" ht="12.75">
      <c r="A24" s="32" t="s">
        <v>22</v>
      </c>
      <c r="B24" s="86"/>
      <c r="C24" s="135">
        <f>SUM(C25:C30)</f>
        <v>112029.5</v>
      </c>
      <c r="D24" s="108">
        <f>SUM(D25:D30)</f>
        <v>659.71</v>
      </c>
      <c r="E24" s="136">
        <f aca="true" t="shared" si="4" ref="E24:Q24">SUM(E25:E30)</f>
        <v>0</v>
      </c>
      <c r="F24" s="188">
        <f t="shared" si="4"/>
        <v>112689.21000000002</v>
      </c>
      <c r="G24" s="229">
        <f t="shared" si="4"/>
        <v>611.72</v>
      </c>
      <c r="H24" s="230">
        <f t="shared" si="4"/>
        <v>0</v>
      </c>
      <c r="I24" s="271">
        <f t="shared" si="4"/>
        <v>113300.93</v>
      </c>
      <c r="J24" s="289">
        <f t="shared" si="4"/>
        <v>531.38</v>
      </c>
      <c r="K24" s="230">
        <f t="shared" si="4"/>
        <v>0</v>
      </c>
      <c r="L24" s="271">
        <f t="shared" si="4"/>
        <v>113832.31</v>
      </c>
      <c r="M24" s="109">
        <f t="shared" si="4"/>
        <v>0</v>
      </c>
      <c r="N24" s="109">
        <f t="shared" si="4"/>
        <v>0</v>
      </c>
      <c r="O24" s="109">
        <f t="shared" si="4"/>
        <v>113832.31</v>
      </c>
      <c r="P24" s="109">
        <f t="shared" si="4"/>
        <v>0</v>
      </c>
      <c r="Q24" s="188">
        <f t="shared" si="4"/>
        <v>113832.31</v>
      </c>
      <c r="R24" s="87"/>
    </row>
    <row r="25" spans="1:18" ht="12.75">
      <c r="A25" s="32" t="s">
        <v>23</v>
      </c>
      <c r="B25" s="86"/>
      <c r="C25" s="135">
        <v>46111.3</v>
      </c>
      <c r="D25" s="108">
        <f>710.52</f>
        <v>710.52</v>
      </c>
      <c r="E25" s="136"/>
      <c r="F25" s="188">
        <f t="shared" si="3"/>
        <v>46821.82</v>
      </c>
      <c r="G25" s="229">
        <f>39.02</f>
        <v>39.02</v>
      </c>
      <c r="H25" s="230"/>
      <c r="I25" s="271">
        <f aca="true" t="shared" si="5" ref="I25:I31">F25+G25+H25</f>
        <v>46860.84</v>
      </c>
      <c r="J25" s="305">
        <f>531.38</f>
        <v>531.38</v>
      </c>
      <c r="K25" s="7"/>
      <c r="L25" s="271">
        <f aca="true" t="shared" si="6" ref="L25:L31">I25+J25+K25</f>
        <v>47392.219999999994</v>
      </c>
      <c r="M25" s="21"/>
      <c r="N25" s="7"/>
      <c r="O25" s="22">
        <f aca="true" t="shared" si="7" ref="O25:O30">L25+M25+N25</f>
        <v>47392.219999999994</v>
      </c>
      <c r="P25" s="75"/>
      <c r="Q25" s="73">
        <f t="shared" si="1"/>
        <v>47392.219999999994</v>
      </c>
      <c r="R25" s="87"/>
    </row>
    <row r="26" spans="1:18" ht="12.75">
      <c r="A26" s="33" t="s">
        <v>146</v>
      </c>
      <c r="B26" s="87"/>
      <c r="C26" s="135">
        <v>912.69</v>
      </c>
      <c r="D26" s="108"/>
      <c r="E26" s="136"/>
      <c r="F26" s="188">
        <f t="shared" si="3"/>
        <v>912.69</v>
      </c>
      <c r="G26" s="229"/>
      <c r="H26" s="230"/>
      <c r="I26" s="271">
        <f t="shared" si="5"/>
        <v>912.69</v>
      </c>
      <c r="J26" s="305"/>
      <c r="K26" s="7"/>
      <c r="L26" s="271">
        <f t="shared" si="6"/>
        <v>912.69</v>
      </c>
      <c r="M26" s="21"/>
      <c r="N26" s="7"/>
      <c r="O26" s="22">
        <f t="shared" si="7"/>
        <v>912.69</v>
      </c>
      <c r="P26" s="75"/>
      <c r="Q26" s="73">
        <f t="shared" si="1"/>
        <v>912.69</v>
      </c>
      <c r="R26" s="87"/>
    </row>
    <row r="27" spans="1:18" ht="12.75">
      <c r="A27" s="32" t="s">
        <v>24</v>
      </c>
      <c r="B27" s="86"/>
      <c r="C27" s="135">
        <v>24789</v>
      </c>
      <c r="D27" s="108"/>
      <c r="E27" s="136"/>
      <c r="F27" s="188">
        <f t="shared" si="3"/>
        <v>24789</v>
      </c>
      <c r="G27" s="229"/>
      <c r="H27" s="230"/>
      <c r="I27" s="271">
        <f t="shared" si="5"/>
        <v>24789</v>
      </c>
      <c r="J27" s="305"/>
      <c r="K27" s="7"/>
      <c r="L27" s="271">
        <f t="shared" si="6"/>
        <v>24789</v>
      </c>
      <c r="M27" s="21"/>
      <c r="N27" s="7"/>
      <c r="O27" s="22">
        <f t="shared" si="7"/>
        <v>24789</v>
      </c>
      <c r="P27" s="75"/>
      <c r="Q27" s="73">
        <f t="shared" si="1"/>
        <v>24789</v>
      </c>
      <c r="R27" s="87"/>
    </row>
    <row r="28" spans="1:18" ht="12.75">
      <c r="A28" s="33" t="s">
        <v>147</v>
      </c>
      <c r="B28" s="87"/>
      <c r="C28" s="135">
        <v>9857.2</v>
      </c>
      <c r="D28" s="108"/>
      <c r="E28" s="136"/>
      <c r="F28" s="188">
        <f t="shared" si="3"/>
        <v>9857.2</v>
      </c>
      <c r="G28" s="229">
        <f>572.7</f>
        <v>572.7</v>
      </c>
      <c r="H28" s="230"/>
      <c r="I28" s="271">
        <f t="shared" si="5"/>
        <v>10429.900000000001</v>
      </c>
      <c r="J28" s="305"/>
      <c r="K28" s="7"/>
      <c r="L28" s="271">
        <f t="shared" si="6"/>
        <v>10429.900000000001</v>
      </c>
      <c r="M28" s="21"/>
      <c r="N28" s="7"/>
      <c r="O28" s="22">
        <f t="shared" si="7"/>
        <v>10429.900000000001</v>
      </c>
      <c r="P28" s="75"/>
      <c r="Q28" s="73">
        <f t="shared" si="1"/>
        <v>10429.900000000001</v>
      </c>
      <c r="R28" s="87"/>
    </row>
    <row r="29" spans="1:18" ht="12.75">
      <c r="A29" s="33" t="s">
        <v>240</v>
      </c>
      <c r="B29" s="87"/>
      <c r="C29" s="135">
        <v>420.41</v>
      </c>
      <c r="D29" s="108">
        <f>-50.81</f>
        <v>-50.81</v>
      </c>
      <c r="E29" s="136"/>
      <c r="F29" s="188">
        <f t="shared" si="3"/>
        <v>369.6</v>
      </c>
      <c r="G29" s="229"/>
      <c r="H29" s="230"/>
      <c r="I29" s="271">
        <f t="shared" si="5"/>
        <v>369.6</v>
      </c>
      <c r="J29" s="305"/>
      <c r="K29" s="7"/>
      <c r="L29" s="271">
        <f t="shared" si="6"/>
        <v>369.6</v>
      </c>
      <c r="M29" s="21"/>
      <c r="N29" s="7"/>
      <c r="O29" s="22">
        <f t="shared" si="7"/>
        <v>369.6</v>
      </c>
      <c r="P29" s="75"/>
      <c r="Q29" s="73">
        <f t="shared" si="1"/>
        <v>369.6</v>
      </c>
      <c r="R29" s="87"/>
    </row>
    <row r="30" spans="1:18" ht="12.75">
      <c r="A30" s="33" t="s">
        <v>148</v>
      </c>
      <c r="B30" s="87"/>
      <c r="C30" s="135">
        <v>29938.9</v>
      </c>
      <c r="D30" s="108"/>
      <c r="E30" s="136"/>
      <c r="F30" s="188">
        <f t="shared" si="3"/>
        <v>29938.9</v>
      </c>
      <c r="G30" s="229"/>
      <c r="H30" s="230"/>
      <c r="I30" s="271">
        <f t="shared" si="5"/>
        <v>29938.9</v>
      </c>
      <c r="J30" s="305"/>
      <c r="K30" s="7"/>
      <c r="L30" s="271">
        <f t="shared" si="6"/>
        <v>29938.9</v>
      </c>
      <c r="M30" s="21"/>
      <c r="N30" s="7"/>
      <c r="O30" s="22">
        <f t="shared" si="7"/>
        <v>29938.9</v>
      </c>
      <c r="P30" s="75"/>
      <c r="Q30" s="73">
        <f>O30+P30</f>
        <v>29938.9</v>
      </c>
      <c r="R30" s="87"/>
    </row>
    <row r="31" spans="1:18" ht="12.75">
      <c r="A31" s="33" t="s">
        <v>187</v>
      </c>
      <c r="B31" s="87"/>
      <c r="C31" s="135"/>
      <c r="D31" s="132">
        <f>201.67+464.3+825.8+78.87+510+9329.88+1000</f>
        <v>12410.519999999999</v>
      </c>
      <c r="E31" s="136"/>
      <c r="F31" s="188">
        <f t="shared" si="3"/>
        <v>12410.519999999999</v>
      </c>
      <c r="G31" s="231">
        <f>1548.09+336.92+39.72+371.29+61.35+99.48+12.1+492.06</f>
        <v>2961.0099999999998</v>
      </c>
      <c r="H31" s="232">
        <f>1947.07</f>
        <v>1947.07</v>
      </c>
      <c r="I31" s="271">
        <f t="shared" si="5"/>
        <v>17318.6</v>
      </c>
      <c r="J31" s="306"/>
      <c r="K31" s="181"/>
      <c r="L31" s="271">
        <f t="shared" si="6"/>
        <v>17318.6</v>
      </c>
      <c r="M31" s="189"/>
      <c r="N31" s="189"/>
      <c r="O31" s="189"/>
      <c r="P31" s="189"/>
      <c r="Q31" s="72"/>
      <c r="R31" s="87"/>
    </row>
    <row r="32" spans="1:18" ht="12.75">
      <c r="A32" s="34" t="s">
        <v>219</v>
      </c>
      <c r="B32" s="88"/>
      <c r="C32" s="129">
        <f>SUM(C34:C38)</f>
        <v>5000</v>
      </c>
      <c r="D32" s="111">
        <f aca="true" t="shared" si="8" ref="D32:Q32">SUM(D34:D38)</f>
        <v>801</v>
      </c>
      <c r="E32" s="130">
        <f t="shared" si="8"/>
        <v>0</v>
      </c>
      <c r="F32" s="190">
        <f t="shared" si="8"/>
        <v>5801</v>
      </c>
      <c r="G32" s="233">
        <f t="shared" si="8"/>
        <v>38284.6</v>
      </c>
      <c r="H32" s="234">
        <f t="shared" si="8"/>
        <v>0</v>
      </c>
      <c r="I32" s="272">
        <f t="shared" si="8"/>
        <v>44085.6</v>
      </c>
      <c r="J32" s="290">
        <f t="shared" si="8"/>
        <v>0</v>
      </c>
      <c r="K32" s="234">
        <f t="shared" si="8"/>
        <v>0</v>
      </c>
      <c r="L32" s="272">
        <f t="shared" si="8"/>
        <v>44085.6</v>
      </c>
      <c r="M32" s="110">
        <f t="shared" si="8"/>
        <v>0</v>
      </c>
      <c r="N32" s="110">
        <f t="shared" si="8"/>
        <v>0</v>
      </c>
      <c r="O32" s="110">
        <f t="shared" si="8"/>
        <v>44085.6</v>
      </c>
      <c r="P32" s="110">
        <f t="shared" si="8"/>
        <v>0</v>
      </c>
      <c r="Q32" s="190">
        <f t="shared" si="8"/>
        <v>44085.6</v>
      </c>
      <c r="R32" s="87"/>
    </row>
    <row r="33" spans="1:18" ht="11.25" customHeight="1">
      <c r="A33" s="31" t="s">
        <v>20</v>
      </c>
      <c r="B33" s="85"/>
      <c r="C33" s="135"/>
      <c r="D33" s="108"/>
      <c r="E33" s="136"/>
      <c r="F33" s="188"/>
      <c r="G33" s="229"/>
      <c r="H33" s="230"/>
      <c r="I33" s="271"/>
      <c r="J33" s="305"/>
      <c r="K33" s="7"/>
      <c r="L33" s="271"/>
      <c r="M33" s="21"/>
      <c r="N33" s="7"/>
      <c r="O33" s="22"/>
      <c r="P33" s="75"/>
      <c r="Q33" s="73"/>
      <c r="R33" s="87"/>
    </row>
    <row r="34" spans="1:18" ht="12.75">
      <c r="A34" s="93" t="s">
        <v>109</v>
      </c>
      <c r="B34" s="86"/>
      <c r="C34" s="135"/>
      <c r="D34" s="108">
        <f>801</f>
        <v>801</v>
      </c>
      <c r="E34" s="136"/>
      <c r="F34" s="188">
        <f>C34+D34+E34</f>
        <v>801</v>
      </c>
      <c r="G34" s="229"/>
      <c r="H34" s="230"/>
      <c r="I34" s="271">
        <f>F34+G34+H34</f>
        <v>801</v>
      </c>
      <c r="J34" s="305"/>
      <c r="K34" s="7"/>
      <c r="L34" s="271">
        <f>I34+J34+K34</f>
        <v>801</v>
      </c>
      <c r="M34" s="21"/>
      <c r="N34" s="7"/>
      <c r="O34" s="22">
        <f>L34+M34+N34</f>
        <v>801</v>
      </c>
      <c r="P34" s="75"/>
      <c r="Q34" s="73">
        <f t="shared" si="1"/>
        <v>801</v>
      </c>
      <c r="R34" s="87"/>
    </row>
    <row r="35" spans="1:18" ht="12.75" hidden="1">
      <c r="A35" s="33" t="s">
        <v>104</v>
      </c>
      <c r="B35" s="87"/>
      <c r="C35" s="135"/>
      <c r="D35" s="108"/>
      <c r="E35" s="136"/>
      <c r="F35" s="188">
        <f>C35+D35+E35</f>
        <v>0</v>
      </c>
      <c r="G35" s="229"/>
      <c r="H35" s="230"/>
      <c r="I35" s="271">
        <f>F35+G35+H35</f>
        <v>0</v>
      </c>
      <c r="J35" s="307"/>
      <c r="K35" s="7"/>
      <c r="L35" s="271">
        <f>I35+J35+K35</f>
        <v>0</v>
      </c>
      <c r="M35" s="29"/>
      <c r="N35" s="7"/>
      <c r="O35" s="22">
        <f>L35+M35+N35</f>
        <v>0</v>
      </c>
      <c r="P35" s="75"/>
      <c r="Q35" s="73">
        <f t="shared" si="1"/>
        <v>0</v>
      </c>
      <c r="R35" s="87"/>
    </row>
    <row r="36" spans="1:18" ht="12.75" hidden="1">
      <c r="A36" s="33" t="s">
        <v>107</v>
      </c>
      <c r="B36" s="87"/>
      <c r="C36" s="135"/>
      <c r="D36" s="108"/>
      <c r="E36" s="136"/>
      <c r="F36" s="188">
        <f>C36+D36+E36</f>
        <v>0</v>
      </c>
      <c r="G36" s="229"/>
      <c r="H36" s="230"/>
      <c r="I36" s="271"/>
      <c r="J36" s="307"/>
      <c r="K36" s="7"/>
      <c r="L36" s="271"/>
      <c r="M36" s="29"/>
      <c r="N36" s="7"/>
      <c r="O36" s="22"/>
      <c r="P36" s="75"/>
      <c r="Q36" s="73"/>
      <c r="R36" s="87"/>
    </row>
    <row r="37" spans="1:18" ht="12.75" hidden="1">
      <c r="A37" s="33" t="s">
        <v>114</v>
      </c>
      <c r="B37" s="87"/>
      <c r="C37" s="135"/>
      <c r="D37" s="108"/>
      <c r="E37" s="136"/>
      <c r="F37" s="188">
        <f>C37+D37+E37</f>
        <v>0</v>
      </c>
      <c r="G37" s="229"/>
      <c r="H37" s="230"/>
      <c r="I37" s="271">
        <f>F37+G37+H37</f>
        <v>0</v>
      </c>
      <c r="J37" s="307"/>
      <c r="K37" s="7"/>
      <c r="L37" s="271">
        <f>I37+J37+K37</f>
        <v>0</v>
      </c>
      <c r="M37" s="29"/>
      <c r="N37" s="7"/>
      <c r="O37" s="22">
        <f>L37+M37+N37</f>
        <v>0</v>
      </c>
      <c r="P37" s="75"/>
      <c r="Q37" s="73">
        <f t="shared" si="1"/>
        <v>0</v>
      </c>
      <c r="R37" s="87"/>
    </row>
    <row r="38" spans="1:18" ht="12.75">
      <c r="A38" s="93" t="s">
        <v>241</v>
      </c>
      <c r="B38" s="86"/>
      <c r="C38" s="135">
        <v>5000</v>
      </c>
      <c r="D38" s="108"/>
      <c r="E38" s="136"/>
      <c r="F38" s="188">
        <f>C38+D38+E38</f>
        <v>5000</v>
      </c>
      <c r="G38" s="229">
        <f>38284.6</f>
        <v>38284.6</v>
      </c>
      <c r="H38" s="230"/>
      <c r="I38" s="271">
        <f>F38+G38+H38</f>
        <v>43284.6</v>
      </c>
      <c r="J38" s="305"/>
      <c r="K38" s="7"/>
      <c r="L38" s="271">
        <f>I38+J38+K38</f>
        <v>43284.6</v>
      </c>
      <c r="M38" s="21"/>
      <c r="N38" s="7"/>
      <c r="O38" s="22">
        <f>L38+M38+N38</f>
        <v>43284.6</v>
      </c>
      <c r="P38" s="75"/>
      <c r="Q38" s="73">
        <f t="shared" si="1"/>
        <v>43284.6</v>
      </c>
      <c r="R38" s="87"/>
    </row>
    <row r="39" spans="1:18" ht="12.75">
      <c r="A39" s="34" t="s">
        <v>220</v>
      </c>
      <c r="B39" s="86"/>
      <c r="C39" s="135"/>
      <c r="D39" s="108"/>
      <c r="E39" s="136"/>
      <c r="F39" s="188"/>
      <c r="G39" s="229"/>
      <c r="H39" s="230"/>
      <c r="I39" s="271"/>
      <c r="J39" s="305"/>
      <c r="K39" s="7"/>
      <c r="L39" s="271"/>
      <c r="M39" s="21"/>
      <c r="N39" s="7"/>
      <c r="O39" s="22"/>
      <c r="P39" s="75"/>
      <c r="Q39" s="73"/>
      <c r="R39" s="87"/>
    </row>
    <row r="40" spans="1:18" ht="12.75">
      <c r="A40" s="30" t="s">
        <v>25</v>
      </c>
      <c r="B40" s="84"/>
      <c r="C40" s="142">
        <f>SUM(C42:C62)</f>
        <v>113806.7</v>
      </c>
      <c r="D40" s="107">
        <f aca="true" t="shared" si="9" ref="D40:Q40">SUM(D42:D62)</f>
        <v>10263352.259999998</v>
      </c>
      <c r="E40" s="143">
        <f t="shared" si="9"/>
        <v>0</v>
      </c>
      <c r="F40" s="187">
        <f t="shared" si="9"/>
        <v>10377158.959999999</v>
      </c>
      <c r="G40" s="227">
        <f t="shared" si="9"/>
        <v>321866.93000000005</v>
      </c>
      <c r="H40" s="228">
        <f t="shared" si="9"/>
        <v>4257.73</v>
      </c>
      <c r="I40" s="270">
        <f t="shared" si="9"/>
        <v>10703283.62</v>
      </c>
      <c r="J40" s="288">
        <f t="shared" si="9"/>
        <v>651655.37</v>
      </c>
      <c r="K40" s="228">
        <f t="shared" si="9"/>
        <v>0</v>
      </c>
      <c r="L40" s="270">
        <f t="shared" si="9"/>
        <v>11354938.989999996</v>
      </c>
      <c r="M40" s="106">
        <f t="shared" si="9"/>
        <v>0</v>
      </c>
      <c r="N40" s="106">
        <f t="shared" si="9"/>
        <v>0</v>
      </c>
      <c r="O40" s="106">
        <f t="shared" si="9"/>
        <v>11354338.989999996</v>
      </c>
      <c r="P40" s="106">
        <f t="shared" si="9"/>
        <v>0</v>
      </c>
      <c r="Q40" s="187">
        <f t="shared" si="9"/>
        <v>11354338.989999996</v>
      </c>
      <c r="R40" s="87"/>
    </row>
    <row r="41" spans="1:18" ht="10.5" customHeight="1">
      <c r="A41" s="35" t="s">
        <v>26</v>
      </c>
      <c r="B41" s="89"/>
      <c r="C41" s="135"/>
      <c r="D41" s="108"/>
      <c r="E41" s="136"/>
      <c r="F41" s="188"/>
      <c r="G41" s="229"/>
      <c r="H41" s="230"/>
      <c r="I41" s="271"/>
      <c r="J41" s="305"/>
      <c r="K41" s="7"/>
      <c r="L41" s="271"/>
      <c r="M41" s="21"/>
      <c r="N41" s="7"/>
      <c r="O41" s="22"/>
      <c r="P41" s="75"/>
      <c r="Q41" s="73"/>
      <c r="R41" s="87"/>
    </row>
    <row r="42" spans="1:18" ht="12.75">
      <c r="A42" s="33" t="s">
        <v>27</v>
      </c>
      <c r="B42" s="87"/>
      <c r="C42" s="135">
        <v>113556.7</v>
      </c>
      <c r="D42" s="108"/>
      <c r="E42" s="136"/>
      <c r="F42" s="188">
        <f aca="true" t="shared" si="10" ref="F42:F62">C42+D42+E42</f>
        <v>113556.7</v>
      </c>
      <c r="G42" s="229"/>
      <c r="H42" s="230"/>
      <c r="I42" s="271">
        <f>F42+G42+H42</f>
        <v>113556.7</v>
      </c>
      <c r="J42" s="305"/>
      <c r="K42" s="7"/>
      <c r="L42" s="271">
        <f>I42+J42+K42</f>
        <v>113556.7</v>
      </c>
      <c r="M42" s="21"/>
      <c r="N42" s="7"/>
      <c r="O42" s="22">
        <f>L42+M42+N42</f>
        <v>113556.7</v>
      </c>
      <c r="P42" s="75"/>
      <c r="Q42" s="73">
        <f t="shared" si="1"/>
        <v>113556.7</v>
      </c>
      <c r="R42" s="87"/>
    </row>
    <row r="43" spans="1:18" ht="12.75">
      <c r="A43" s="33" t="s">
        <v>28</v>
      </c>
      <c r="B43" s="87"/>
      <c r="C43" s="135"/>
      <c r="D43" s="108">
        <f>35.9+18+64+99.5+12+15+36.07+83.5+6+15.5+6+50+15+6+6+10000+63.99+40.61+39.34+35.33+128.79+23.59</f>
        <v>10800.12</v>
      </c>
      <c r="E43" s="136"/>
      <c r="F43" s="188">
        <f t="shared" si="10"/>
        <v>10800.12</v>
      </c>
      <c r="G43" s="229">
        <f>14179.66+1481.98</f>
        <v>15661.64</v>
      </c>
      <c r="H43" s="230"/>
      <c r="I43" s="271">
        <f aca="true" t="shared" si="11" ref="I43:I62">F43+G43+H43</f>
        <v>26461.760000000002</v>
      </c>
      <c r="J43" s="305">
        <f>60.88+60+36.07+92.98+69.44+11.45+30.43+10.5+67.5+64.09+63.63+45.45+55420.18+15.44+17.16+12.53+126.16+75+41.8+11.9+68.64+1000+15</f>
        <v>57416.23000000001</v>
      </c>
      <c r="K43" s="7"/>
      <c r="L43" s="271">
        <f aca="true" t="shared" si="12" ref="L43:L62">I43+J43+K43</f>
        <v>83877.99000000002</v>
      </c>
      <c r="M43" s="21"/>
      <c r="N43" s="7"/>
      <c r="O43" s="22">
        <f aca="true" t="shared" si="13" ref="O43:O62">L43+M43+N43</f>
        <v>83877.99000000002</v>
      </c>
      <c r="P43" s="75"/>
      <c r="Q43" s="73">
        <f t="shared" si="1"/>
        <v>83877.99000000002</v>
      </c>
      <c r="R43" s="87"/>
    </row>
    <row r="44" spans="1:18" ht="12.75">
      <c r="A44" s="33" t="s">
        <v>29</v>
      </c>
      <c r="B44" s="87"/>
      <c r="C44" s="135"/>
      <c r="D44" s="108">
        <f>8955820.02+115949.1+1805+1443.45</f>
        <v>9075017.569999998</v>
      </c>
      <c r="E44" s="136"/>
      <c r="F44" s="188">
        <f t="shared" si="10"/>
        <v>9075017.569999998</v>
      </c>
      <c r="G44" s="229">
        <f>111324.54+1500+7600+96.9+5884.29</f>
        <v>126405.72999999998</v>
      </c>
      <c r="H44" s="230"/>
      <c r="I44" s="271">
        <f t="shared" si="11"/>
        <v>9201423.299999999</v>
      </c>
      <c r="J44" s="305">
        <f>638.03+2087.18+63681.24+1286.51+116717.2+12692.03+1301.72+301.89-59.89+696.2+195.75</f>
        <v>199537.86</v>
      </c>
      <c r="K44" s="7"/>
      <c r="L44" s="271">
        <f t="shared" si="12"/>
        <v>9400961.159999998</v>
      </c>
      <c r="M44" s="21"/>
      <c r="N44" s="7"/>
      <c r="O44" s="22">
        <f t="shared" si="13"/>
        <v>9400961.159999998</v>
      </c>
      <c r="P44" s="75"/>
      <c r="Q44" s="73">
        <f t="shared" si="1"/>
        <v>9400961.159999998</v>
      </c>
      <c r="R44" s="87"/>
    </row>
    <row r="45" spans="1:18" ht="12.75">
      <c r="A45" s="33" t="s">
        <v>30</v>
      </c>
      <c r="B45" s="87"/>
      <c r="C45" s="135"/>
      <c r="D45" s="108">
        <f>7000+1100267.08+463.21+614.77+380</f>
        <v>1108725.06</v>
      </c>
      <c r="E45" s="136"/>
      <c r="F45" s="188">
        <f t="shared" si="10"/>
        <v>1108725.06</v>
      </c>
      <c r="G45" s="229">
        <f>7377.27+2528.99+88.03+1074.6+1340.02+4424.26+2831.68+217.5+98768.08+1851.11+180.63+9203.05</f>
        <v>129885.22000000002</v>
      </c>
      <c r="H45" s="230">
        <f>664.86+3592.87</f>
        <v>4257.73</v>
      </c>
      <c r="I45" s="271">
        <f t="shared" si="11"/>
        <v>1242868.01</v>
      </c>
      <c r="J45" s="305">
        <f>664.86+80.28+59055.51+2949.51+24975.66+736.1+40414.14</f>
        <v>128876.06000000001</v>
      </c>
      <c r="K45" s="7"/>
      <c r="L45" s="271">
        <f t="shared" si="12"/>
        <v>1371744.07</v>
      </c>
      <c r="M45" s="21"/>
      <c r="N45" s="7"/>
      <c r="O45" s="22">
        <f t="shared" si="13"/>
        <v>1371744.07</v>
      </c>
      <c r="P45" s="75"/>
      <c r="Q45" s="73">
        <f t="shared" si="1"/>
        <v>1371744.07</v>
      </c>
      <c r="R45" s="87"/>
    </row>
    <row r="46" spans="1:18" ht="12.75">
      <c r="A46" s="33" t="s">
        <v>31</v>
      </c>
      <c r="B46" s="87"/>
      <c r="C46" s="135"/>
      <c r="D46" s="108">
        <f>115.35</f>
        <v>115.35</v>
      </c>
      <c r="E46" s="136"/>
      <c r="F46" s="188">
        <f t="shared" si="10"/>
        <v>115.35</v>
      </c>
      <c r="G46" s="229">
        <f>6.07+20.27+20.1+958.69+2821.82+15.83</f>
        <v>3842.78</v>
      </c>
      <c r="H46" s="230"/>
      <c r="I46" s="271">
        <f t="shared" si="11"/>
        <v>3958.13</v>
      </c>
      <c r="J46" s="305">
        <f>3.02+17.31+17.32+131+17.5+1119.76</f>
        <v>1305.91</v>
      </c>
      <c r="K46" s="7"/>
      <c r="L46" s="271">
        <f t="shared" si="12"/>
        <v>5264.04</v>
      </c>
      <c r="M46" s="21"/>
      <c r="N46" s="7"/>
      <c r="O46" s="22">
        <f t="shared" si="13"/>
        <v>5264.04</v>
      </c>
      <c r="P46" s="75"/>
      <c r="Q46" s="73">
        <f t="shared" si="1"/>
        <v>5264.04</v>
      </c>
      <c r="R46" s="87"/>
    </row>
    <row r="47" spans="1:18" ht="12.75">
      <c r="A47" s="33" t="s">
        <v>369</v>
      </c>
      <c r="B47" s="87"/>
      <c r="C47" s="135"/>
      <c r="D47" s="108"/>
      <c r="E47" s="136"/>
      <c r="F47" s="188"/>
      <c r="G47" s="229"/>
      <c r="H47" s="230"/>
      <c r="I47" s="271">
        <f t="shared" si="11"/>
        <v>0</v>
      </c>
      <c r="J47" s="305">
        <f>600</f>
        <v>600</v>
      </c>
      <c r="K47" s="7"/>
      <c r="L47" s="271">
        <f t="shared" si="12"/>
        <v>600</v>
      </c>
      <c r="M47" s="21"/>
      <c r="N47" s="7"/>
      <c r="O47" s="22"/>
      <c r="P47" s="75"/>
      <c r="Q47" s="73"/>
      <c r="R47" s="87"/>
    </row>
    <row r="48" spans="1:18" ht="12.75">
      <c r="A48" s="33" t="s">
        <v>32</v>
      </c>
      <c r="B48" s="87"/>
      <c r="C48" s="135"/>
      <c r="D48" s="108"/>
      <c r="E48" s="136"/>
      <c r="F48" s="188">
        <f t="shared" si="10"/>
        <v>0</v>
      </c>
      <c r="G48" s="266">
        <f>41.13+400+334+860+122+137+31.29</f>
        <v>1925.42</v>
      </c>
      <c r="H48" s="230"/>
      <c r="I48" s="271">
        <f t="shared" si="11"/>
        <v>1925.42</v>
      </c>
      <c r="J48" s="305">
        <f>25+213.86+110+345+160+124+121+99+93+59+160</f>
        <v>1509.8600000000001</v>
      </c>
      <c r="K48" s="7"/>
      <c r="L48" s="271">
        <f t="shared" si="12"/>
        <v>3435.28</v>
      </c>
      <c r="M48" s="21"/>
      <c r="N48" s="7"/>
      <c r="O48" s="22">
        <f t="shared" si="13"/>
        <v>3435.28</v>
      </c>
      <c r="P48" s="75"/>
      <c r="Q48" s="73">
        <f t="shared" si="1"/>
        <v>3435.28</v>
      </c>
      <c r="R48" s="87"/>
    </row>
    <row r="49" spans="1:18" ht="12.75">
      <c r="A49" s="33" t="s">
        <v>33</v>
      </c>
      <c r="B49" s="87"/>
      <c r="C49" s="135"/>
      <c r="D49" s="108">
        <f>6112.93+648.32+2000</f>
        <v>8761.25</v>
      </c>
      <c r="E49" s="136"/>
      <c r="F49" s="188">
        <f t="shared" si="10"/>
        <v>8761.25</v>
      </c>
      <c r="G49" s="229">
        <f>21481.06+3508.03-151.44</f>
        <v>24837.65</v>
      </c>
      <c r="H49" s="230"/>
      <c r="I49" s="271">
        <f t="shared" si="11"/>
        <v>33598.9</v>
      </c>
      <c r="J49" s="305">
        <f>24+280+448</f>
        <v>752</v>
      </c>
      <c r="K49" s="7"/>
      <c r="L49" s="271">
        <f t="shared" si="12"/>
        <v>34350.9</v>
      </c>
      <c r="M49" s="21"/>
      <c r="N49" s="7"/>
      <c r="O49" s="22">
        <f t="shared" si="13"/>
        <v>34350.9</v>
      </c>
      <c r="P49" s="75"/>
      <c r="Q49" s="73">
        <f t="shared" si="1"/>
        <v>34350.9</v>
      </c>
      <c r="R49" s="87"/>
    </row>
    <row r="50" spans="1:18" ht="12.75">
      <c r="A50" s="33" t="s">
        <v>34</v>
      </c>
      <c r="B50" s="87"/>
      <c r="C50" s="135"/>
      <c r="D50" s="108">
        <f>1835</f>
        <v>1835</v>
      </c>
      <c r="E50" s="136"/>
      <c r="F50" s="188">
        <f t="shared" si="10"/>
        <v>1835</v>
      </c>
      <c r="G50" s="229">
        <f>192</f>
        <v>192</v>
      </c>
      <c r="H50" s="230"/>
      <c r="I50" s="271">
        <f t="shared" si="11"/>
        <v>2027</v>
      </c>
      <c r="J50" s="305"/>
      <c r="K50" s="7"/>
      <c r="L50" s="271">
        <f t="shared" si="12"/>
        <v>2027</v>
      </c>
      <c r="M50" s="21"/>
      <c r="N50" s="7"/>
      <c r="O50" s="22">
        <f t="shared" si="13"/>
        <v>2027</v>
      </c>
      <c r="P50" s="75"/>
      <c r="Q50" s="73">
        <f t="shared" si="1"/>
        <v>2027</v>
      </c>
      <c r="R50" s="87"/>
    </row>
    <row r="51" spans="1:18" ht="12.75">
      <c r="A51" s="33" t="s">
        <v>139</v>
      </c>
      <c r="B51" s="87"/>
      <c r="C51" s="135"/>
      <c r="D51" s="108"/>
      <c r="E51" s="136"/>
      <c r="F51" s="188">
        <f t="shared" si="10"/>
        <v>0</v>
      </c>
      <c r="G51" s="229"/>
      <c r="H51" s="230"/>
      <c r="I51" s="271">
        <f t="shared" si="11"/>
        <v>0</v>
      </c>
      <c r="J51" s="305">
        <f>225997.46</f>
        <v>225997.46</v>
      </c>
      <c r="K51" s="7"/>
      <c r="L51" s="271">
        <f t="shared" si="12"/>
        <v>225997.46</v>
      </c>
      <c r="M51" s="21"/>
      <c r="N51" s="7"/>
      <c r="O51" s="22">
        <f t="shared" si="13"/>
        <v>225997.46</v>
      </c>
      <c r="P51" s="75"/>
      <c r="Q51" s="73">
        <f t="shared" si="1"/>
        <v>225997.46</v>
      </c>
      <c r="R51" s="87"/>
    </row>
    <row r="52" spans="1:18" ht="12.75">
      <c r="A52" s="33" t="s">
        <v>152</v>
      </c>
      <c r="B52" s="87"/>
      <c r="C52" s="135"/>
      <c r="D52" s="108"/>
      <c r="E52" s="136"/>
      <c r="F52" s="188">
        <f t="shared" si="10"/>
        <v>0</v>
      </c>
      <c r="G52" s="229">
        <f>185.49</f>
        <v>185.49</v>
      </c>
      <c r="H52" s="230"/>
      <c r="I52" s="271">
        <f t="shared" si="11"/>
        <v>185.49</v>
      </c>
      <c r="J52" s="305">
        <f>-34.1</f>
        <v>-34.1</v>
      </c>
      <c r="K52" s="7"/>
      <c r="L52" s="271">
        <f t="shared" si="12"/>
        <v>151.39000000000001</v>
      </c>
      <c r="M52" s="21"/>
      <c r="N52" s="7"/>
      <c r="O52" s="22">
        <f t="shared" si="13"/>
        <v>151.39000000000001</v>
      </c>
      <c r="P52" s="75"/>
      <c r="Q52" s="73">
        <f t="shared" si="1"/>
        <v>151.39000000000001</v>
      </c>
      <c r="R52" s="87"/>
    </row>
    <row r="53" spans="1:18" ht="12.75">
      <c r="A53" s="33" t="s">
        <v>35</v>
      </c>
      <c r="B53" s="87"/>
      <c r="C53" s="135"/>
      <c r="D53" s="108"/>
      <c r="E53" s="136"/>
      <c r="F53" s="188">
        <f t="shared" si="10"/>
        <v>0</v>
      </c>
      <c r="G53" s="229">
        <f>165.15+269.02+242.53</f>
        <v>676.6999999999999</v>
      </c>
      <c r="H53" s="230"/>
      <c r="I53" s="271">
        <f t="shared" si="11"/>
        <v>676.6999999999999</v>
      </c>
      <c r="J53" s="305">
        <f>22.22+3400+297.58</f>
        <v>3719.7999999999997</v>
      </c>
      <c r="K53" s="7"/>
      <c r="L53" s="271">
        <f t="shared" si="12"/>
        <v>4396.5</v>
      </c>
      <c r="M53" s="21"/>
      <c r="N53" s="7"/>
      <c r="O53" s="22">
        <f t="shared" si="13"/>
        <v>4396.5</v>
      </c>
      <c r="P53" s="80"/>
      <c r="Q53" s="73">
        <f t="shared" si="1"/>
        <v>4396.5</v>
      </c>
      <c r="R53" s="87"/>
    </row>
    <row r="54" spans="1:18" ht="12.75">
      <c r="A54" s="33" t="s">
        <v>36</v>
      </c>
      <c r="B54" s="87"/>
      <c r="C54" s="135"/>
      <c r="D54" s="108"/>
      <c r="E54" s="136"/>
      <c r="F54" s="188">
        <f t="shared" si="10"/>
        <v>0</v>
      </c>
      <c r="G54" s="229">
        <f>500</f>
        <v>500</v>
      </c>
      <c r="H54" s="230"/>
      <c r="I54" s="271">
        <f t="shared" si="11"/>
        <v>500</v>
      </c>
      <c r="J54" s="307"/>
      <c r="K54" s="7"/>
      <c r="L54" s="271">
        <f t="shared" si="12"/>
        <v>500</v>
      </c>
      <c r="M54" s="21"/>
      <c r="N54" s="7"/>
      <c r="O54" s="22">
        <f t="shared" si="13"/>
        <v>500</v>
      </c>
      <c r="P54" s="75"/>
      <c r="Q54" s="73">
        <f t="shared" si="1"/>
        <v>500</v>
      </c>
      <c r="R54" s="87"/>
    </row>
    <row r="55" spans="1:18" ht="12.75" hidden="1">
      <c r="A55" s="33" t="s">
        <v>196</v>
      </c>
      <c r="B55" s="87"/>
      <c r="C55" s="135"/>
      <c r="D55" s="108"/>
      <c r="E55" s="136"/>
      <c r="F55" s="188">
        <f t="shared" si="10"/>
        <v>0</v>
      </c>
      <c r="G55" s="229"/>
      <c r="H55" s="230"/>
      <c r="I55" s="271">
        <f t="shared" si="11"/>
        <v>0</v>
      </c>
      <c r="J55" s="307"/>
      <c r="K55" s="7"/>
      <c r="L55" s="271"/>
      <c r="M55" s="21"/>
      <c r="N55" s="7"/>
      <c r="O55" s="22"/>
      <c r="P55" s="75"/>
      <c r="Q55" s="73"/>
      <c r="R55" s="87"/>
    </row>
    <row r="56" spans="1:18" ht="12.75" hidden="1">
      <c r="A56" s="33" t="s">
        <v>153</v>
      </c>
      <c r="B56" s="87"/>
      <c r="C56" s="135"/>
      <c r="D56" s="108"/>
      <c r="E56" s="136"/>
      <c r="F56" s="188">
        <f t="shared" si="10"/>
        <v>0</v>
      </c>
      <c r="G56" s="229"/>
      <c r="H56" s="230"/>
      <c r="I56" s="271">
        <f t="shared" si="11"/>
        <v>0</v>
      </c>
      <c r="J56" s="307"/>
      <c r="K56" s="7"/>
      <c r="L56" s="271"/>
      <c r="M56" s="21"/>
      <c r="N56" s="7"/>
      <c r="O56" s="22">
        <f t="shared" si="13"/>
        <v>0</v>
      </c>
      <c r="P56" s="75"/>
      <c r="Q56" s="73">
        <f t="shared" si="1"/>
        <v>0</v>
      </c>
      <c r="R56" s="87"/>
    </row>
    <row r="57" spans="1:18" ht="12.75" hidden="1">
      <c r="A57" s="33" t="s">
        <v>37</v>
      </c>
      <c r="B57" s="87"/>
      <c r="C57" s="135"/>
      <c r="D57" s="108"/>
      <c r="E57" s="136"/>
      <c r="F57" s="188">
        <f t="shared" si="10"/>
        <v>0</v>
      </c>
      <c r="G57" s="229"/>
      <c r="H57" s="230"/>
      <c r="I57" s="271">
        <f t="shared" si="11"/>
        <v>0</v>
      </c>
      <c r="J57" s="305"/>
      <c r="K57" s="7"/>
      <c r="L57" s="271">
        <f t="shared" si="12"/>
        <v>0</v>
      </c>
      <c r="M57" s="21"/>
      <c r="N57" s="7"/>
      <c r="O57" s="22">
        <f t="shared" si="13"/>
        <v>0</v>
      </c>
      <c r="P57" s="75"/>
      <c r="Q57" s="73">
        <f t="shared" si="1"/>
        <v>0</v>
      </c>
      <c r="R57" s="87"/>
    </row>
    <row r="58" spans="1:18" ht="12.75" hidden="1">
      <c r="A58" s="33" t="s">
        <v>44</v>
      </c>
      <c r="B58" s="87"/>
      <c r="C58" s="135"/>
      <c r="D58" s="108"/>
      <c r="E58" s="136"/>
      <c r="F58" s="188">
        <f t="shared" si="10"/>
        <v>0</v>
      </c>
      <c r="G58" s="229"/>
      <c r="H58" s="230"/>
      <c r="I58" s="271">
        <f t="shared" si="11"/>
        <v>0</v>
      </c>
      <c r="J58" s="305"/>
      <c r="K58" s="7"/>
      <c r="L58" s="271">
        <f t="shared" si="12"/>
        <v>0</v>
      </c>
      <c r="M58" s="21"/>
      <c r="N58" s="7"/>
      <c r="O58" s="22">
        <f t="shared" si="13"/>
        <v>0</v>
      </c>
      <c r="P58" s="75"/>
      <c r="Q58" s="73">
        <f t="shared" si="1"/>
        <v>0</v>
      </c>
      <c r="R58" s="87"/>
    </row>
    <row r="59" spans="1:18" ht="12.75">
      <c r="A59" s="33" t="s">
        <v>38</v>
      </c>
      <c r="B59" s="87"/>
      <c r="C59" s="135"/>
      <c r="D59" s="108">
        <f>20000</f>
        <v>20000</v>
      </c>
      <c r="E59" s="136"/>
      <c r="F59" s="188">
        <f t="shared" si="10"/>
        <v>20000</v>
      </c>
      <c r="G59" s="229">
        <f>17735.87</f>
        <v>17735.87</v>
      </c>
      <c r="H59" s="230"/>
      <c r="I59" s="271">
        <f t="shared" si="11"/>
        <v>37735.869999999995</v>
      </c>
      <c r="J59" s="305">
        <f>28130</f>
        <v>28130</v>
      </c>
      <c r="K59" s="7"/>
      <c r="L59" s="271">
        <f t="shared" si="12"/>
        <v>65865.87</v>
      </c>
      <c r="M59" s="21"/>
      <c r="N59" s="7"/>
      <c r="O59" s="22">
        <f t="shared" si="13"/>
        <v>65865.87</v>
      </c>
      <c r="P59" s="75"/>
      <c r="Q59" s="73">
        <f t="shared" si="1"/>
        <v>65865.87</v>
      </c>
      <c r="R59" s="87"/>
    </row>
    <row r="60" spans="1:18" ht="12.75">
      <c r="A60" s="33" t="s">
        <v>39</v>
      </c>
      <c r="B60" s="87"/>
      <c r="C60" s="135"/>
      <c r="D60" s="108">
        <f>1960.91</f>
        <v>1960.91</v>
      </c>
      <c r="E60" s="136"/>
      <c r="F60" s="188">
        <f t="shared" si="10"/>
        <v>1960.91</v>
      </c>
      <c r="G60" s="229"/>
      <c r="H60" s="230"/>
      <c r="I60" s="271">
        <f t="shared" si="11"/>
        <v>1960.91</v>
      </c>
      <c r="J60" s="305">
        <f>294.23+51.26</f>
        <v>345.49</v>
      </c>
      <c r="K60" s="7"/>
      <c r="L60" s="271">
        <f t="shared" si="12"/>
        <v>2306.4</v>
      </c>
      <c r="M60" s="21"/>
      <c r="N60" s="7"/>
      <c r="O60" s="22">
        <f t="shared" si="13"/>
        <v>2306.4</v>
      </c>
      <c r="P60" s="75"/>
      <c r="Q60" s="73">
        <f t="shared" si="1"/>
        <v>2306.4</v>
      </c>
      <c r="R60" s="87"/>
    </row>
    <row r="61" spans="1:18" ht="12.75">
      <c r="A61" s="33" t="s">
        <v>40</v>
      </c>
      <c r="B61" s="87"/>
      <c r="C61" s="135">
        <v>250</v>
      </c>
      <c r="D61" s="108"/>
      <c r="E61" s="136"/>
      <c r="F61" s="188">
        <f t="shared" si="10"/>
        <v>250</v>
      </c>
      <c r="G61" s="229">
        <f>18.43</f>
        <v>18.43</v>
      </c>
      <c r="H61" s="230"/>
      <c r="I61" s="271">
        <f t="shared" si="11"/>
        <v>268.43</v>
      </c>
      <c r="J61" s="305">
        <f>2026.94</f>
        <v>2026.94</v>
      </c>
      <c r="K61" s="7"/>
      <c r="L61" s="271">
        <f t="shared" si="12"/>
        <v>2295.37</v>
      </c>
      <c r="M61" s="21"/>
      <c r="N61" s="7"/>
      <c r="O61" s="22">
        <f t="shared" si="13"/>
        <v>2295.37</v>
      </c>
      <c r="P61" s="75"/>
      <c r="Q61" s="73">
        <f t="shared" si="1"/>
        <v>2295.37</v>
      </c>
      <c r="R61" s="87"/>
    </row>
    <row r="62" spans="1:18" ht="12.75">
      <c r="A62" s="33" t="s">
        <v>157</v>
      </c>
      <c r="B62" s="87"/>
      <c r="C62" s="135"/>
      <c r="D62" s="108">
        <f>36137</f>
        <v>36137</v>
      </c>
      <c r="E62" s="136"/>
      <c r="F62" s="188">
        <f t="shared" si="10"/>
        <v>36137</v>
      </c>
      <c r="G62" s="229"/>
      <c r="H62" s="230"/>
      <c r="I62" s="271">
        <f t="shared" si="11"/>
        <v>36137</v>
      </c>
      <c r="J62" s="305">
        <f>1471.86</f>
        <v>1471.86</v>
      </c>
      <c r="K62" s="7"/>
      <c r="L62" s="271">
        <f t="shared" si="12"/>
        <v>37608.86</v>
      </c>
      <c r="M62" s="21"/>
      <c r="N62" s="7"/>
      <c r="O62" s="22">
        <f t="shared" si="13"/>
        <v>37608.86</v>
      </c>
      <c r="P62" s="75"/>
      <c r="Q62" s="73">
        <f t="shared" si="1"/>
        <v>37608.86</v>
      </c>
      <c r="R62" s="87"/>
    </row>
    <row r="63" spans="1:18" ht="12.75">
      <c r="A63" s="30" t="s">
        <v>41</v>
      </c>
      <c r="B63" s="84"/>
      <c r="C63" s="142">
        <f>SUM(C65:C79)</f>
        <v>0</v>
      </c>
      <c r="D63" s="107">
        <f aca="true" t="shared" si="14" ref="D63:Q63">SUM(D65:D79)</f>
        <v>558670.37</v>
      </c>
      <c r="E63" s="143">
        <f t="shared" si="14"/>
        <v>0</v>
      </c>
      <c r="F63" s="187">
        <f t="shared" si="14"/>
        <v>558670.37</v>
      </c>
      <c r="G63" s="227">
        <f t="shared" si="14"/>
        <v>295416.23</v>
      </c>
      <c r="H63" s="228">
        <f t="shared" si="14"/>
        <v>3014.38</v>
      </c>
      <c r="I63" s="270">
        <f t="shared" si="14"/>
        <v>857100.98</v>
      </c>
      <c r="J63" s="288">
        <f t="shared" si="14"/>
        <v>182594.66999999998</v>
      </c>
      <c r="K63" s="228">
        <f t="shared" si="14"/>
        <v>0</v>
      </c>
      <c r="L63" s="270">
        <f t="shared" si="14"/>
        <v>1039695.6500000001</v>
      </c>
      <c r="M63" s="106">
        <f t="shared" si="14"/>
        <v>0</v>
      </c>
      <c r="N63" s="106">
        <f t="shared" si="14"/>
        <v>0</v>
      </c>
      <c r="O63" s="106">
        <f t="shared" si="14"/>
        <v>1031988.3300000001</v>
      </c>
      <c r="P63" s="106">
        <f t="shared" si="14"/>
        <v>0</v>
      </c>
      <c r="Q63" s="187">
        <f t="shared" si="14"/>
        <v>1031988.3300000001</v>
      </c>
      <c r="R63" s="87"/>
    </row>
    <row r="64" spans="1:18" ht="12.75">
      <c r="A64" s="35" t="s">
        <v>26</v>
      </c>
      <c r="B64" s="89"/>
      <c r="C64" s="135"/>
      <c r="D64" s="108"/>
      <c r="E64" s="136"/>
      <c r="F64" s="188"/>
      <c r="G64" s="229"/>
      <c r="H64" s="230"/>
      <c r="I64" s="271"/>
      <c r="J64" s="305"/>
      <c r="K64" s="7"/>
      <c r="L64" s="271"/>
      <c r="M64" s="21"/>
      <c r="N64" s="7"/>
      <c r="O64" s="22"/>
      <c r="P64" s="75"/>
      <c r="Q64" s="73"/>
      <c r="R64" s="87"/>
    </row>
    <row r="65" spans="1:18" ht="12.75">
      <c r="A65" s="33" t="s">
        <v>29</v>
      </c>
      <c r="B65" s="87"/>
      <c r="C65" s="135"/>
      <c r="D65" s="108"/>
      <c r="E65" s="136"/>
      <c r="F65" s="188">
        <f aca="true" t="shared" si="15" ref="F65:F79">C65+D65+E65</f>
        <v>0</v>
      </c>
      <c r="G65" s="229">
        <f>79.99</f>
        <v>79.99</v>
      </c>
      <c r="H65" s="230"/>
      <c r="I65" s="271">
        <f>F65+G65+H65</f>
        <v>79.99</v>
      </c>
      <c r="J65" s="305">
        <f>7969.24</f>
        <v>7969.24</v>
      </c>
      <c r="K65" s="7"/>
      <c r="L65" s="271">
        <f>I65+J65+K65</f>
        <v>8049.23</v>
      </c>
      <c r="M65" s="21"/>
      <c r="N65" s="7"/>
      <c r="O65" s="22">
        <f>L65+M65+N65</f>
        <v>8049.23</v>
      </c>
      <c r="P65" s="75"/>
      <c r="Q65" s="73">
        <f t="shared" si="1"/>
        <v>8049.23</v>
      </c>
      <c r="R65" s="87"/>
    </row>
    <row r="66" spans="1:18" ht="12.75">
      <c r="A66" s="37" t="s">
        <v>30</v>
      </c>
      <c r="B66" s="90"/>
      <c r="C66" s="135"/>
      <c r="D66" s="108"/>
      <c r="E66" s="136"/>
      <c r="F66" s="188">
        <f t="shared" si="15"/>
        <v>0</v>
      </c>
      <c r="G66" s="229">
        <f>334.69+17906.13+3730.65</f>
        <v>21971.47</v>
      </c>
      <c r="H66" s="230">
        <f>3014.38</f>
        <v>3014.38</v>
      </c>
      <c r="I66" s="271">
        <f aca="true" t="shared" si="16" ref="I66:I79">F66+G66+H66</f>
        <v>24985.850000000002</v>
      </c>
      <c r="J66" s="305">
        <f>10888.44+5748.14</f>
        <v>16636.58</v>
      </c>
      <c r="K66" s="7"/>
      <c r="L66" s="271">
        <f aca="true" t="shared" si="17" ref="L66:L79">I66+J66+K66</f>
        <v>41622.43000000001</v>
      </c>
      <c r="M66" s="21"/>
      <c r="N66" s="7"/>
      <c r="O66" s="22">
        <f aca="true" t="shared" si="18" ref="O66:O79">L66+M66+N66</f>
        <v>41622.43000000001</v>
      </c>
      <c r="P66" s="75"/>
      <c r="Q66" s="73">
        <f t="shared" si="1"/>
        <v>41622.43000000001</v>
      </c>
      <c r="R66" s="87"/>
    </row>
    <row r="67" spans="1:18" ht="12.75" hidden="1">
      <c r="A67" s="37" t="s">
        <v>28</v>
      </c>
      <c r="B67" s="90"/>
      <c r="C67" s="135"/>
      <c r="D67" s="108"/>
      <c r="E67" s="136"/>
      <c r="F67" s="188">
        <f t="shared" si="15"/>
        <v>0</v>
      </c>
      <c r="G67" s="229"/>
      <c r="H67" s="230"/>
      <c r="I67" s="271">
        <f t="shared" si="16"/>
        <v>0</v>
      </c>
      <c r="J67" s="305"/>
      <c r="K67" s="7"/>
      <c r="L67" s="271">
        <f t="shared" si="17"/>
        <v>0</v>
      </c>
      <c r="M67" s="21"/>
      <c r="N67" s="7"/>
      <c r="O67" s="22">
        <f t="shared" si="18"/>
        <v>0</v>
      </c>
      <c r="P67" s="75"/>
      <c r="Q67" s="73">
        <f t="shared" si="1"/>
        <v>0</v>
      </c>
      <c r="R67" s="87"/>
    </row>
    <row r="68" spans="1:18" ht="12.75" hidden="1">
      <c r="A68" s="37" t="s">
        <v>42</v>
      </c>
      <c r="B68" s="90"/>
      <c r="C68" s="135"/>
      <c r="D68" s="108"/>
      <c r="E68" s="136"/>
      <c r="F68" s="188">
        <f t="shared" si="15"/>
        <v>0</v>
      </c>
      <c r="G68" s="229"/>
      <c r="H68" s="230"/>
      <c r="I68" s="271">
        <f t="shared" si="16"/>
        <v>0</v>
      </c>
      <c r="J68" s="305"/>
      <c r="K68" s="7"/>
      <c r="L68" s="271">
        <f t="shared" si="17"/>
        <v>0</v>
      </c>
      <c r="M68" s="21"/>
      <c r="N68" s="7"/>
      <c r="O68" s="22">
        <f t="shared" si="18"/>
        <v>0</v>
      </c>
      <c r="P68" s="75"/>
      <c r="Q68" s="73">
        <f t="shared" si="1"/>
        <v>0</v>
      </c>
      <c r="R68" s="87"/>
    </row>
    <row r="69" spans="1:18" ht="12.75">
      <c r="A69" s="33" t="s">
        <v>31</v>
      </c>
      <c r="B69" s="87"/>
      <c r="C69" s="135"/>
      <c r="D69" s="108">
        <f>411.59+11950.2+7646.42+5229.18</f>
        <v>25237.39</v>
      </c>
      <c r="E69" s="136"/>
      <c r="F69" s="188">
        <f t="shared" si="15"/>
        <v>25237.39</v>
      </c>
      <c r="G69" s="229">
        <f>1164.22+2496.78+3572.4+45726.99+5291.83+4469.65+1777.95+5071.73+228.4+48615.18+16983.93+4152.71</f>
        <v>139551.77</v>
      </c>
      <c r="H69" s="230"/>
      <c r="I69" s="271">
        <f t="shared" si="16"/>
        <v>164789.15999999997</v>
      </c>
      <c r="J69" s="305">
        <f>3979.69+2762.01+2970.55+44205.52+10841.31+42930.51+926.7</f>
        <v>108616.29</v>
      </c>
      <c r="K69" s="7"/>
      <c r="L69" s="271">
        <f t="shared" si="17"/>
        <v>273405.44999999995</v>
      </c>
      <c r="M69" s="21"/>
      <c r="N69" s="7"/>
      <c r="O69" s="22">
        <f t="shared" si="18"/>
        <v>273405.44999999995</v>
      </c>
      <c r="P69" s="75"/>
      <c r="Q69" s="73">
        <f t="shared" si="1"/>
        <v>273405.44999999995</v>
      </c>
      <c r="R69" s="87"/>
    </row>
    <row r="70" spans="1:18" ht="12.75">
      <c r="A70" s="33" t="s">
        <v>32</v>
      </c>
      <c r="B70" s="87"/>
      <c r="C70" s="135"/>
      <c r="D70" s="108"/>
      <c r="E70" s="136"/>
      <c r="F70" s="188">
        <f t="shared" si="15"/>
        <v>0</v>
      </c>
      <c r="G70" s="229">
        <f>79</f>
        <v>79</v>
      </c>
      <c r="H70" s="230"/>
      <c r="I70" s="271">
        <f t="shared" si="16"/>
        <v>79</v>
      </c>
      <c r="J70" s="305">
        <f>75+412.34+144</f>
        <v>631.3399999999999</v>
      </c>
      <c r="K70" s="7"/>
      <c r="L70" s="271">
        <f t="shared" si="17"/>
        <v>710.3399999999999</v>
      </c>
      <c r="M70" s="21"/>
      <c r="N70" s="7"/>
      <c r="O70" s="22"/>
      <c r="P70" s="75"/>
      <c r="Q70" s="73"/>
      <c r="R70" s="87"/>
    </row>
    <row r="71" spans="1:18" ht="12.75" hidden="1">
      <c r="A71" s="33" t="s">
        <v>212</v>
      </c>
      <c r="B71" s="87"/>
      <c r="C71" s="135"/>
      <c r="D71" s="108"/>
      <c r="E71" s="136"/>
      <c r="F71" s="188">
        <f t="shared" si="15"/>
        <v>0</v>
      </c>
      <c r="G71" s="229"/>
      <c r="H71" s="230"/>
      <c r="I71" s="271">
        <f t="shared" si="16"/>
        <v>0</v>
      </c>
      <c r="J71" s="305"/>
      <c r="K71" s="7"/>
      <c r="L71" s="271">
        <f t="shared" si="17"/>
        <v>0</v>
      </c>
      <c r="M71" s="21"/>
      <c r="N71" s="7"/>
      <c r="O71" s="22"/>
      <c r="P71" s="75"/>
      <c r="Q71" s="73"/>
      <c r="R71" s="87"/>
    </row>
    <row r="72" spans="1:18" ht="12.75">
      <c r="A72" s="33" t="s">
        <v>152</v>
      </c>
      <c r="B72" s="87"/>
      <c r="C72" s="135"/>
      <c r="D72" s="108"/>
      <c r="E72" s="136"/>
      <c r="F72" s="188">
        <f t="shared" si="15"/>
        <v>0</v>
      </c>
      <c r="G72" s="229">
        <f>3826.81+56769.09</f>
        <v>60595.899999999994</v>
      </c>
      <c r="H72" s="230"/>
      <c r="I72" s="271">
        <f t="shared" si="16"/>
        <v>60595.899999999994</v>
      </c>
      <c r="J72" s="305">
        <f>22306.19+3021.93+34.1+3080</f>
        <v>28442.219999999998</v>
      </c>
      <c r="K72" s="7"/>
      <c r="L72" s="271">
        <f t="shared" si="17"/>
        <v>89038.12</v>
      </c>
      <c r="M72" s="21"/>
      <c r="N72" s="7"/>
      <c r="O72" s="22">
        <f t="shared" si="18"/>
        <v>89038.12</v>
      </c>
      <c r="P72" s="75"/>
      <c r="Q72" s="73">
        <f t="shared" si="1"/>
        <v>89038.12</v>
      </c>
      <c r="R72" s="87"/>
    </row>
    <row r="73" spans="1:18" ht="12.75">
      <c r="A73" s="33" t="s">
        <v>153</v>
      </c>
      <c r="B73" s="87"/>
      <c r="C73" s="135"/>
      <c r="D73" s="108"/>
      <c r="E73" s="136"/>
      <c r="F73" s="188">
        <f t="shared" si="15"/>
        <v>0</v>
      </c>
      <c r="G73" s="229">
        <f>780.76</f>
        <v>780.76</v>
      </c>
      <c r="H73" s="230"/>
      <c r="I73" s="271">
        <f t="shared" si="16"/>
        <v>780.76</v>
      </c>
      <c r="J73" s="305"/>
      <c r="K73" s="7"/>
      <c r="L73" s="271">
        <f t="shared" si="17"/>
        <v>780.76</v>
      </c>
      <c r="M73" s="21"/>
      <c r="N73" s="7"/>
      <c r="O73" s="22">
        <f t="shared" si="18"/>
        <v>780.76</v>
      </c>
      <c r="P73" s="75"/>
      <c r="Q73" s="73">
        <f t="shared" si="1"/>
        <v>780.76</v>
      </c>
      <c r="R73" s="87"/>
    </row>
    <row r="74" spans="1:18" ht="12.75">
      <c r="A74" s="33" t="s">
        <v>43</v>
      </c>
      <c r="B74" s="87"/>
      <c r="C74" s="135"/>
      <c r="D74" s="108">
        <f>308400+218036</f>
        <v>526436</v>
      </c>
      <c r="E74" s="136"/>
      <c r="F74" s="188">
        <f t="shared" si="15"/>
        <v>526436</v>
      </c>
      <c r="G74" s="229">
        <f>14093.81+34600</f>
        <v>48693.81</v>
      </c>
      <c r="H74" s="230"/>
      <c r="I74" s="271">
        <f t="shared" si="16"/>
        <v>575129.81</v>
      </c>
      <c r="J74" s="305">
        <f>48429-28130</f>
        <v>20299</v>
      </c>
      <c r="K74" s="7"/>
      <c r="L74" s="271">
        <f t="shared" si="17"/>
        <v>595428.81</v>
      </c>
      <c r="M74" s="21"/>
      <c r="N74" s="7"/>
      <c r="O74" s="22">
        <f t="shared" si="18"/>
        <v>595428.81</v>
      </c>
      <c r="P74" s="75"/>
      <c r="Q74" s="73">
        <f t="shared" si="1"/>
        <v>595428.81</v>
      </c>
      <c r="R74" s="87"/>
    </row>
    <row r="75" spans="1:18" ht="12.75" hidden="1">
      <c r="A75" s="33" t="s">
        <v>44</v>
      </c>
      <c r="B75" s="87"/>
      <c r="C75" s="135"/>
      <c r="D75" s="108"/>
      <c r="E75" s="136"/>
      <c r="F75" s="188">
        <f t="shared" si="15"/>
        <v>0</v>
      </c>
      <c r="G75" s="229"/>
      <c r="H75" s="230"/>
      <c r="I75" s="271">
        <f t="shared" si="16"/>
        <v>0</v>
      </c>
      <c r="J75" s="305"/>
      <c r="K75" s="7"/>
      <c r="L75" s="271">
        <f t="shared" si="17"/>
        <v>0</v>
      </c>
      <c r="M75" s="21"/>
      <c r="N75" s="7"/>
      <c r="O75" s="22">
        <f t="shared" si="18"/>
        <v>0</v>
      </c>
      <c r="P75" s="75"/>
      <c r="Q75" s="73">
        <f t="shared" si="1"/>
        <v>0</v>
      </c>
      <c r="R75" s="87"/>
    </row>
    <row r="76" spans="1:18" ht="12.75" hidden="1">
      <c r="A76" s="33" t="s">
        <v>45</v>
      </c>
      <c r="B76" s="87"/>
      <c r="C76" s="135"/>
      <c r="D76" s="108"/>
      <c r="E76" s="136"/>
      <c r="F76" s="188">
        <f t="shared" si="15"/>
        <v>0</v>
      </c>
      <c r="G76" s="229"/>
      <c r="H76" s="230"/>
      <c r="I76" s="271">
        <f t="shared" si="16"/>
        <v>0</v>
      </c>
      <c r="J76" s="305"/>
      <c r="K76" s="7"/>
      <c r="L76" s="271">
        <f t="shared" si="17"/>
        <v>0</v>
      </c>
      <c r="M76" s="21"/>
      <c r="N76" s="7"/>
      <c r="O76" s="22">
        <f t="shared" si="18"/>
        <v>0</v>
      </c>
      <c r="P76" s="75"/>
      <c r="Q76" s="73">
        <f t="shared" si="1"/>
        <v>0</v>
      </c>
      <c r="R76" s="87"/>
    </row>
    <row r="77" spans="1:18" ht="12.75">
      <c r="A77" s="33" t="s">
        <v>35</v>
      </c>
      <c r="B77" s="87"/>
      <c r="C77" s="135"/>
      <c r="D77" s="108"/>
      <c r="E77" s="136"/>
      <c r="F77" s="188">
        <f t="shared" si="15"/>
        <v>0</v>
      </c>
      <c r="G77" s="229">
        <f>23663.53</f>
        <v>23663.53</v>
      </c>
      <c r="H77" s="230"/>
      <c r="I77" s="271">
        <f t="shared" si="16"/>
        <v>23663.53</v>
      </c>
      <c r="J77" s="305"/>
      <c r="K77" s="7"/>
      <c r="L77" s="271">
        <f t="shared" si="17"/>
        <v>23663.53</v>
      </c>
      <c r="M77" s="21"/>
      <c r="N77" s="7"/>
      <c r="O77" s="22">
        <f t="shared" si="18"/>
        <v>23663.53</v>
      </c>
      <c r="P77" s="80"/>
      <c r="Q77" s="73">
        <f t="shared" si="1"/>
        <v>23663.53</v>
      </c>
      <c r="R77" s="87"/>
    </row>
    <row r="78" spans="1:18" ht="12.75">
      <c r="A78" s="33" t="s">
        <v>39</v>
      </c>
      <c r="B78" s="87"/>
      <c r="C78" s="135"/>
      <c r="D78" s="108">
        <f>6996.98</f>
        <v>6996.98</v>
      </c>
      <c r="E78" s="136"/>
      <c r="F78" s="188">
        <f t="shared" si="15"/>
        <v>6996.98</v>
      </c>
      <c r="G78" s="229"/>
      <c r="H78" s="230"/>
      <c r="I78" s="271">
        <f t="shared" si="16"/>
        <v>6996.98</v>
      </c>
      <c r="J78" s="305"/>
      <c r="K78" s="7"/>
      <c r="L78" s="271">
        <f t="shared" si="17"/>
        <v>6996.98</v>
      </c>
      <c r="M78" s="21"/>
      <c r="N78" s="7"/>
      <c r="O78" s="22"/>
      <c r="P78" s="80"/>
      <c r="Q78" s="73"/>
      <c r="R78" s="87"/>
    </row>
    <row r="79" spans="1:18" ht="12.75" hidden="1">
      <c r="A79" s="33" t="s">
        <v>157</v>
      </c>
      <c r="B79" s="87"/>
      <c r="C79" s="135"/>
      <c r="D79" s="108"/>
      <c r="E79" s="136"/>
      <c r="F79" s="188">
        <f t="shared" si="15"/>
        <v>0</v>
      </c>
      <c r="G79" s="229"/>
      <c r="H79" s="230"/>
      <c r="I79" s="271">
        <f t="shared" si="16"/>
        <v>0</v>
      </c>
      <c r="J79" s="305"/>
      <c r="K79" s="7"/>
      <c r="L79" s="271">
        <f t="shared" si="17"/>
        <v>0</v>
      </c>
      <c r="M79" s="21"/>
      <c r="N79" s="7"/>
      <c r="O79" s="22">
        <f t="shared" si="18"/>
        <v>0</v>
      </c>
      <c r="P79" s="75"/>
      <c r="Q79" s="73">
        <f t="shared" si="1"/>
        <v>0</v>
      </c>
      <c r="R79" s="87"/>
    </row>
    <row r="80" spans="1:18" ht="16.5" thickBot="1">
      <c r="A80" s="38" t="s">
        <v>46</v>
      </c>
      <c r="B80" s="91"/>
      <c r="C80" s="155">
        <f aca="true" t="shared" si="19" ref="C80:L80">C11+C17+C40+C63+C32</f>
        <v>4859671.58</v>
      </c>
      <c r="D80" s="113">
        <f t="shared" si="19"/>
        <v>10875606.279999997</v>
      </c>
      <c r="E80" s="212">
        <f t="shared" si="19"/>
        <v>0</v>
      </c>
      <c r="F80" s="191">
        <f t="shared" si="19"/>
        <v>15735277.859999998</v>
      </c>
      <c r="G80" s="235">
        <f t="shared" si="19"/>
        <v>755905.42</v>
      </c>
      <c r="H80" s="236">
        <f t="shared" si="19"/>
        <v>88312.04000000001</v>
      </c>
      <c r="I80" s="273">
        <f t="shared" si="19"/>
        <v>16579495.319999998</v>
      </c>
      <c r="J80" s="291">
        <f t="shared" si="19"/>
        <v>1045759.98</v>
      </c>
      <c r="K80" s="236">
        <f t="shared" si="19"/>
        <v>0</v>
      </c>
      <c r="L80" s="273">
        <f t="shared" si="19"/>
        <v>17625255.299999997</v>
      </c>
      <c r="M80" s="112" t="e">
        <f>M11+M17+M40+M63+M32+#REF!</f>
        <v>#REF!</v>
      </c>
      <c r="N80" s="112" t="e">
        <f>N11+N17+N40+N63+N32+#REF!</f>
        <v>#REF!</v>
      </c>
      <c r="O80" s="112" t="e">
        <f>O11+O17+O40+O63+O32+#REF!</f>
        <v>#REF!</v>
      </c>
      <c r="P80" s="112" t="e">
        <f>P11+P17+P40+P63+P32+#REF!</f>
        <v>#REF!</v>
      </c>
      <c r="Q80" s="191" t="e">
        <f>Q11+Q17+Q40+Q63+Q32+#REF!</f>
        <v>#REF!</v>
      </c>
      <c r="R80" s="87"/>
    </row>
    <row r="81" spans="1:18" ht="12.75">
      <c r="A81" s="30" t="s">
        <v>47</v>
      </c>
      <c r="B81" s="84"/>
      <c r="C81" s="142"/>
      <c r="D81" s="108"/>
      <c r="E81" s="136"/>
      <c r="F81" s="188"/>
      <c r="G81" s="229"/>
      <c r="H81" s="230"/>
      <c r="I81" s="271"/>
      <c r="J81" s="305"/>
      <c r="K81" s="7"/>
      <c r="L81" s="271"/>
      <c r="M81" s="21"/>
      <c r="N81" s="7"/>
      <c r="O81" s="22"/>
      <c r="P81" s="75"/>
      <c r="Q81" s="73"/>
      <c r="R81" s="87"/>
    </row>
    <row r="82" spans="1:18" ht="12.75">
      <c r="A82" s="30" t="s">
        <v>63</v>
      </c>
      <c r="B82" s="96"/>
      <c r="C82" s="142">
        <f>C83+C92</f>
        <v>121438</v>
      </c>
      <c r="D82" s="107">
        <f aca="true" t="shared" si="20" ref="D82:Q82">D83+D92</f>
        <v>40384.18</v>
      </c>
      <c r="E82" s="143">
        <f t="shared" si="20"/>
        <v>0</v>
      </c>
      <c r="F82" s="187">
        <f t="shared" si="20"/>
        <v>161822.18</v>
      </c>
      <c r="G82" s="227">
        <f t="shared" si="20"/>
        <v>1291.98</v>
      </c>
      <c r="H82" s="228">
        <f t="shared" si="20"/>
        <v>8618.75</v>
      </c>
      <c r="I82" s="270">
        <f t="shared" si="20"/>
        <v>171732.91</v>
      </c>
      <c r="J82" s="288">
        <f>J83+J92</f>
        <v>981.05</v>
      </c>
      <c r="K82" s="228">
        <f>K83+K92</f>
        <v>0</v>
      </c>
      <c r="L82" s="270">
        <f>L83+L92</f>
        <v>172713.96</v>
      </c>
      <c r="M82" s="106">
        <f t="shared" si="20"/>
        <v>0</v>
      </c>
      <c r="N82" s="106">
        <f t="shared" si="20"/>
        <v>0</v>
      </c>
      <c r="O82" s="106">
        <f t="shared" si="20"/>
        <v>89325.95999999999</v>
      </c>
      <c r="P82" s="106">
        <f t="shared" si="20"/>
        <v>0</v>
      </c>
      <c r="Q82" s="187">
        <f t="shared" si="20"/>
        <v>89325.95999999999</v>
      </c>
      <c r="R82" s="87"/>
    </row>
    <row r="83" spans="1:18" ht="12.75">
      <c r="A83" s="39" t="s">
        <v>49</v>
      </c>
      <c r="B83" s="96"/>
      <c r="C83" s="156">
        <f>SUM(C85:C90)</f>
        <v>69438</v>
      </c>
      <c r="D83" s="115">
        <f aca="true" t="shared" si="21" ref="D83:Q83">SUM(D85:D90)</f>
        <v>6974.0599999999995</v>
      </c>
      <c r="E83" s="173">
        <f t="shared" si="21"/>
        <v>0</v>
      </c>
      <c r="F83" s="192">
        <f t="shared" si="21"/>
        <v>76412.06</v>
      </c>
      <c r="G83" s="237">
        <f t="shared" si="21"/>
        <v>1291.98</v>
      </c>
      <c r="H83" s="238">
        <f t="shared" si="21"/>
        <v>0</v>
      </c>
      <c r="I83" s="274">
        <f t="shared" si="21"/>
        <v>77704.04000000001</v>
      </c>
      <c r="J83" s="278">
        <f>SUM(J85:J90)</f>
        <v>981.05</v>
      </c>
      <c r="K83" s="238">
        <f>SUM(K85:K90)</f>
        <v>0</v>
      </c>
      <c r="L83" s="274">
        <f>SUM(L85:L90)</f>
        <v>78685.09</v>
      </c>
      <c r="M83" s="114">
        <f t="shared" si="21"/>
        <v>0</v>
      </c>
      <c r="N83" s="114">
        <f t="shared" si="21"/>
        <v>0</v>
      </c>
      <c r="O83" s="114">
        <f t="shared" si="21"/>
        <v>17297.09</v>
      </c>
      <c r="P83" s="114">
        <f t="shared" si="21"/>
        <v>0</v>
      </c>
      <c r="Q83" s="192">
        <f t="shared" si="21"/>
        <v>17297.09</v>
      </c>
      <c r="R83" s="87"/>
    </row>
    <row r="84" spans="1:18" ht="12.75">
      <c r="A84" s="35" t="s">
        <v>26</v>
      </c>
      <c r="B84" s="92"/>
      <c r="C84" s="135"/>
      <c r="D84" s="108"/>
      <c r="E84" s="136"/>
      <c r="F84" s="187"/>
      <c r="G84" s="229"/>
      <c r="H84" s="230"/>
      <c r="I84" s="270"/>
      <c r="J84" s="305"/>
      <c r="K84" s="7"/>
      <c r="L84" s="270"/>
      <c r="M84" s="21"/>
      <c r="N84" s="7"/>
      <c r="O84" s="20"/>
      <c r="P84" s="75"/>
      <c r="Q84" s="73"/>
      <c r="R84" s="87"/>
    </row>
    <row r="85" spans="1:18" ht="12.75">
      <c r="A85" s="33" t="s">
        <v>51</v>
      </c>
      <c r="B85" s="92"/>
      <c r="C85" s="135">
        <v>8050</v>
      </c>
      <c r="D85" s="108"/>
      <c r="E85" s="136"/>
      <c r="F85" s="188">
        <f aca="true" t="shared" si="22" ref="F85:F91">C85+D85+E85</f>
        <v>8050</v>
      </c>
      <c r="G85" s="229">
        <f>-190</f>
        <v>-190</v>
      </c>
      <c r="H85" s="230"/>
      <c r="I85" s="271">
        <f aca="true" t="shared" si="23" ref="I85:I91">F85+G85+H85</f>
        <v>7860</v>
      </c>
      <c r="J85" s="305"/>
      <c r="K85" s="7"/>
      <c r="L85" s="271">
        <f aca="true" t="shared" si="24" ref="L85:L91">I85+J85+K85</f>
        <v>7860</v>
      </c>
      <c r="M85" s="21"/>
      <c r="N85" s="7"/>
      <c r="O85" s="22">
        <f aca="true" t="shared" si="25" ref="O85:O91">L85+M85+N85</f>
        <v>7860</v>
      </c>
      <c r="P85" s="75"/>
      <c r="Q85" s="73">
        <f aca="true" t="shared" si="26" ref="Q85:Q135">O85+P85</f>
        <v>7860</v>
      </c>
      <c r="R85" s="87"/>
    </row>
    <row r="86" spans="1:18" ht="12.75" hidden="1">
      <c r="A86" s="33" t="s">
        <v>65</v>
      </c>
      <c r="B86" s="92"/>
      <c r="C86" s="135"/>
      <c r="D86" s="108"/>
      <c r="E86" s="136"/>
      <c r="F86" s="188">
        <f t="shared" si="22"/>
        <v>0</v>
      </c>
      <c r="G86" s="229"/>
      <c r="H86" s="230"/>
      <c r="I86" s="271">
        <f t="shared" si="23"/>
        <v>0</v>
      </c>
      <c r="J86" s="305"/>
      <c r="K86" s="7"/>
      <c r="L86" s="271">
        <f t="shared" si="24"/>
        <v>0</v>
      </c>
      <c r="M86" s="21"/>
      <c r="N86" s="7"/>
      <c r="O86" s="22">
        <f t="shared" si="25"/>
        <v>0</v>
      </c>
      <c r="P86" s="75"/>
      <c r="Q86" s="73">
        <f t="shared" si="26"/>
        <v>0</v>
      </c>
      <c r="R86" s="87"/>
    </row>
    <row r="87" spans="1:18" ht="12.75">
      <c r="A87" s="37" t="s">
        <v>202</v>
      </c>
      <c r="B87" s="92"/>
      <c r="C87" s="135">
        <v>61388</v>
      </c>
      <c r="D87" s="108"/>
      <c r="E87" s="136"/>
      <c r="F87" s="188">
        <f t="shared" si="22"/>
        <v>61388</v>
      </c>
      <c r="G87" s="229"/>
      <c r="H87" s="230"/>
      <c r="I87" s="271">
        <f t="shared" si="23"/>
        <v>61388</v>
      </c>
      <c r="J87" s="305"/>
      <c r="K87" s="7"/>
      <c r="L87" s="271">
        <f t="shared" si="24"/>
        <v>61388</v>
      </c>
      <c r="M87" s="21"/>
      <c r="N87" s="7"/>
      <c r="O87" s="22"/>
      <c r="P87" s="75"/>
      <c r="Q87" s="73"/>
      <c r="R87" s="87"/>
    </row>
    <row r="88" spans="1:18" ht="12.75">
      <c r="A88" s="33" t="s">
        <v>66</v>
      </c>
      <c r="B88" s="92">
        <v>98278</v>
      </c>
      <c r="C88" s="135"/>
      <c r="D88" s="108">
        <f>35.9+18+64+99.5+12+15+36.07+83.5+6+15.5+6+50+15+6+6+63.99+40.61+39.34+35.33+128.79+23.59</f>
        <v>800.1200000000001</v>
      </c>
      <c r="E88" s="136"/>
      <c r="F88" s="188">
        <f t="shared" si="22"/>
        <v>800.1200000000001</v>
      </c>
      <c r="G88" s="229">
        <f>1481.98</f>
        <v>1481.98</v>
      </c>
      <c r="H88" s="230"/>
      <c r="I88" s="271">
        <f t="shared" si="23"/>
        <v>2282.1000000000004</v>
      </c>
      <c r="J88" s="305">
        <f>60.88+60+36.07+92.98+69.44+11.45+30.43+10.5+67.5+64.09+63.63+45.45+15.44+17.16+12.53+126.16+75+41.8+11.9+68.64</f>
        <v>981.05</v>
      </c>
      <c r="K88" s="7"/>
      <c r="L88" s="271">
        <f t="shared" si="24"/>
        <v>3263.1500000000005</v>
      </c>
      <c r="M88" s="21"/>
      <c r="N88" s="7"/>
      <c r="O88" s="22">
        <f t="shared" si="25"/>
        <v>3263.1500000000005</v>
      </c>
      <c r="P88" s="75"/>
      <c r="Q88" s="73">
        <f t="shared" si="26"/>
        <v>3263.1500000000005</v>
      </c>
      <c r="R88" s="87"/>
    </row>
    <row r="89" spans="1:18" ht="12.75" hidden="1">
      <c r="A89" s="33" t="s">
        <v>76</v>
      </c>
      <c r="B89" s="92"/>
      <c r="C89" s="135"/>
      <c r="D89" s="108"/>
      <c r="E89" s="136"/>
      <c r="F89" s="188">
        <f t="shared" si="22"/>
        <v>0</v>
      </c>
      <c r="G89" s="229"/>
      <c r="H89" s="230"/>
      <c r="I89" s="271">
        <f t="shared" si="23"/>
        <v>0</v>
      </c>
      <c r="J89" s="305"/>
      <c r="K89" s="7"/>
      <c r="L89" s="271">
        <f t="shared" si="24"/>
        <v>0</v>
      </c>
      <c r="M89" s="21"/>
      <c r="N89" s="7"/>
      <c r="O89" s="22">
        <f t="shared" si="25"/>
        <v>0</v>
      </c>
      <c r="P89" s="75"/>
      <c r="Q89" s="73">
        <f t="shared" si="26"/>
        <v>0</v>
      </c>
      <c r="R89" s="87"/>
    </row>
    <row r="90" spans="1:18" ht="12.75">
      <c r="A90" s="32" t="s">
        <v>67</v>
      </c>
      <c r="B90" s="92"/>
      <c r="C90" s="135"/>
      <c r="D90" s="108">
        <f>6173.94</f>
        <v>6173.94</v>
      </c>
      <c r="E90" s="136"/>
      <c r="F90" s="188">
        <f t="shared" si="22"/>
        <v>6173.94</v>
      </c>
      <c r="G90" s="229"/>
      <c r="H90" s="230"/>
      <c r="I90" s="271">
        <f t="shared" si="23"/>
        <v>6173.94</v>
      </c>
      <c r="J90" s="305"/>
      <c r="K90" s="7"/>
      <c r="L90" s="271">
        <f t="shared" si="24"/>
        <v>6173.94</v>
      </c>
      <c r="M90" s="21"/>
      <c r="N90" s="7"/>
      <c r="O90" s="22">
        <f t="shared" si="25"/>
        <v>6173.94</v>
      </c>
      <c r="P90" s="75"/>
      <c r="Q90" s="73">
        <f t="shared" si="26"/>
        <v>6173.94</v>
      </c>
      <c r="R90" s="87"/>
    </row>
    <row r="91" spans="1:18" ht="12.75" hidden="1">
      <c r="A91" s="32" t="s">
        <v>68</v>
      </c>
      <c r="B91" s="92"/>
      <c r="C91" s="135"/>
      <c r="D91" s="108">
        <f>3124.33+1733.68</f>
        <v>4858.01</v>
      </c>
      <c r="E91" s="136"/>
      <c r="F91" s="188">
        <f t="shared" si="22"/>
        <v>4858.01</v>
      </c>
      <c r="G91" s="229"/>
      <c r="H91" s="230"/>
      <c r="I91" s="271">
        <f t="shared" si="23"/>
        <v>4858.01</v>
      </c>
      <c r="J91" s="305"/>
      <c r="K91" s="7"/>
      <c r="L91" s="271">
        <f t="shared" si="24"/>
        <v>4858.01</v>
      </c>
      <c r="M91" s="21"/>
      <c r="N91" s="7"/>
      <c r="O91" s="22">
        <f t="shared" si="25"/>
        <v>4858.01</v>
      </c>
      <c r="P91" s="75"/>
      <c r="Q91" s="73">
        <f t="shared" si="26"/>
        <v>4858.01</v>
      </c>
      <c r="R91" s="87"/>
    </row>
    <row r="92" spans="1:18" ht="12.75">
      <c r="A92" s="40" t="s">
        <v>54</v>
      </c>
      <c r="B92" s="96"/>
      <c r="C92" s="158">
        <f>SUM(C94:C100)</f>
        <v>52000</v>
      </c>
      <c r="D92" s="118">
        <f aca="true" t="shared" si="27" ref="D92:Q92">SUM(D94:D100)</f>
        <v>33410.12</v>
      </c>
      <c r="E92" s="174">
        <f t="shared" si="27"/>
        <v>0</v>
      </c>
      <c r="F92" s="193">
        <f t="shared" si="27"/>
        <v>85410.12</v>
      </c>
      <c r="G92" s="239">
        <f t="shared" si="27"/>
        <v>0</v>
      </c>
      <c r="H92" s="240">
        <f t="shared" si="27"/>
        <v>8618.75</v>
      </c>
      <c r="I92" s="275">
        <f t="shared" si="27"/>
        <v>94028.87</v>
      </c>
      <c r="J92" s="292">
        <f t="shared" si="27"/>
        <v>0</v>
      </c>
      <c r="K92" s="240">
        <f t="shared" si="27"/>
        <v>0</v>
      </c>
      <c r="L92" s="275">
        <f t="shared" si="27"/>
        <v>94028.87</v>
      </c>
      <c r="M92" s="117">
        <f t="shared" si="27"/>
        <v>0</v>
      </c>
      <c r="N92" s="117">
        <f t="shared" si="27"/>
        <v>0</v>
      </c>
      <c r="O92" s="117">
        <f t="shared" si="27"/>
        <v>72028.87</v>
      </c>
      <c r="P92" s="117">
        <f t="shared" si="27"/>
        <v>0</v>
      </c>
      <c r="Q92" s="193">
        <f t="shared" si="27"/>
        <v>72028.87</v>
      </c>
      <c r="R92" s="87"/>
    </row>
    <row r="93" spans="1:18" ht="12.75">
      <c r="A93" s="31" t="s">
        <v>26</v>
      </c>
      <c r="B93" s="92"/>
      <c r="C93" s="129"/>
      <c r="D93" s="111"/>
      <c r="E93" s="130"/>
      <c r="F93" s="190"/>
      <c r="G93" s="233"/>
      <c r="H93" s="234"/>
      <c r="I93" s="272"/>
      <c r="J93" s="308"/>
      <c r="K93" s="8"/>
      <c r="L93" s="272"/>
      <c r="M93" s="23"/>
      <c r="N93" s="8"/>
      <c r="O93" s="24"/>
      <c r="P93" s="75"/>
      <c r="Q93" s="73"/>
      <c r="R93" s="87"/>
    </row>
    <row r="94" spans="1:18" ht="12.75">
      <c r="A94" s="93" t="s">
        <v>286</v>
      </c>
      <c r="B94" s="92"/>
      <c r="C94" s="135"/>
      <c r="D94" s="108">
        <f>18209.7</f>
        <v>18209.7</v>
      </c>
      <c r="E94" s="136"/>
      <c r="F94" s="188">
        <f aca="true" t="shared" si="28" ref="F94:F101">C94+D94+E94</f>
        <v>18209.7</v>
      </c>
      <c r="G94" s="229"/>
      <c r="H94" s="230">
        <f>8618.75</f>
        <v>8618.75</v>
      </c>
      <c r="I94" s="271">
        <f aca="true" t="shared" si="29" ref="I94:I101">F94+G94+H94</f>
        <v>26828.45</v>
      </c>
      <c r="J94" s="305"/>
      <c r="K94" s="7"/>
      <c r="L94" s="271">
        <f aca="true" t="shared" si="30" ref="L94:L101">I94+J94+K94</f>
        <v>26828.45</v>
      </c>
      <c r="M94" s="21"/>
      <c r="N94" s="7"/>
      <c r="O94" s="22">
        <f>L94+M94+N94</f>
        <v>26828.45</v>
      </c>
      <c r="P94" s="75"/>
      <c r="Q94" s="73">
        <f t="shared" si="26"/>
        <v>26828.45</v>
      </c>
      <c r="R94" s="87"/>
    </row>
    <row r="95" spans="1:18" ht="12.75">
      <c r="A95" s="37" t="s">
        <v>236</v>
      </c>
      <c r="B95" s="92"/>
      <c r="C95" s="135">
        <v>20000</v>
      </c>
      <c r="D95" s="108"/>
      <c r="E95" s="136"/>
      <c r="F95" s="188">
        <f t="shared" si="28"/>
        <v>20000</v>
      </c>
      <c r="G95" s="229"/>
      <c r="H95" s="230"/>
      <c r="I95" s="271">
        <f t="shared" si="29"/>
        <v>20000</v>
      </c>
      <c r="J95" s="305"/>
      <c r="K95" s="7"/>
      <c r="L95" s="271">
        <f t="shared" si="30"/>
        <v>20000</v>
      </c>
      <c r="M95" s="21"/>
      <c r="N95" s="7"/>
      <c r="O95" s="22"/>
      <c r="P95" s="75"/>
      <c r="Q95" s="73"/>
      <c r="R95" s="87"/>
    </row>
    <row r="96" spans="1:18" ht="12.75" hidden="1">
      <c r="A96" s="32" t="s">
        <v>55</v>
      </c>
      <c r="B96" s="92"/>
      <c r="C96" s="135"/>
      <c r="D96" s="108"/>
      <c r="E96" s="136"/>
      <c r="F96" s="188">
        <f t="shared" si="28"/>
        <v>0</v>
      </c>
      <c r="G96" s="229"/>
      <c r="H96" s="230"/>
      <c r="I96" s="271">
        <f t="shared" si="29"/>
        <v>0</v>
      </c>
      <c r="J96" s="305"/>
      <c r="K96" s="7"/>
      <c r="L96" s="271">
        <f t="shared" si="30"/>
        <v>0</v>
      </c>
      <c r="M96" s="21"/>
      <c r="N96" s="7"/>
      <c r="O96" s="22"/>
      <c r="P96" s="75"/>
      <c r="Q96" s="73"/>
      <c r="R96" s="87"/>
    </row>
    <row r="97" spans="1:18" ht="12.75" hidden="1">
      <c r="A97" s="33" t="s">
        <v>200</v>
      </c>
      <c r="B97" s="92"/>
      <c r="C97" s="135"/>
      <c r="D97" s="108"/>
      <c r="E97" s="136"/>
      <c r="F97" s="188">
        <f t="shared" si="28"/>
        <v>0</v>
      </c>
      <c r="G97" s="229"/>
      <c r="H97" s="230"/>
      <c r="I97" s="271">
        <f t="shared" si="29"/>
        <v>0</v>
      </c>
      <c r="J97" s="305"/>
      <c r="K97" s="7"/>
      <c r="L97" s="271">
        <f t="shared" si="30"/>
        <v>0</v>
      </c>
      <c r="M97" s="21"/>
      <c r="N97" s="7"/>
      <c r="O97" s="22"/>
      <c r="P97" s="75"/>
      <c r="Q97" s="73"/>
      <c r="R97" s="87"/>
    </row>
    <row r="98" spans="1:18" ht="12.75" hidden="1">
      <c r="A98" s="33" t="s">
        <v>76</v>
      </c>
      <c r="B98" s="92"/>
      <c r="C98" s="135"/>
      <c r="D98" s="108"/>
      <c r="E98" s="136"/>
      <c r="F98" s="188">
        <f t="shared" si="28"/>
        <v>0</v>
      </c>
      <c r="G98" s="229"/>
      <c r="H98" s="230"/>
      <c r="I98" s="271">
        <f t="shared" si="29"/>
        <v>0</v>
      </c>
      <c r="J98" s="305"/>
      <c r="K98" s="7"/>
      <c r="L98" s="271">
        <f t="shared" si="30"/>
        <v>0</v>
      </c>
      <c r="M98" s="21"/>
      <c r="N98" s="7"/>
      <c r="O98" s="22">
        <f>L98+M98+N98</f>
        <v>0</v>
      </c>
      <c r="P98" s="75"/>
      <c r="Q98" s="73">
        <f t="shared" si="26"/>
        <v>0</v>
      </c>
      <c r="R98" s="87"/>
    </row>
    <row r="99" spans="1:18" ht="12.75">
      <c r="A99" s="33" t="s">
        <v>242</v>
      </c>
      <c r="B99" s="92"/>
      <c r="C99" s="135">
        <v>2000</v>
      </c>
      <c r="D99" s="108"/>
      <c r="E99" s="136"/>
      <c r="F99" s="188">
        <f t="shared" si="28"/>
        <v>2000</v>
      </c>
      <c r="G99" s="229"/>
      <c r="H99" s="230"/>
      <c r="I99" s="271">
        <f t="shared" si="29"/>
        <v>2000</v>
      </c>
      <c r="J99" s="305"/>
      <c r="K99" s="7"/>
      <c r="L99" s="271">
        <f t="shared" si="30"/>
        <v>2000</v>
      </c>
      <c r="M99" s="21"/>
      <c r="N99" s="7"/>
      <c r="O99" s="22"/>
      <c r="P99" s="75"/>
      <c r="Q99" s="73"/>
      <c r="R99" s="87"/>
    </row>
    <row r="100" spans="1:18" ht="12.75">
      <c r="A100" s="41" t="s">
        <v>67</v>
      </c>
      <c r="B100" s="95"/>
      <c r="C100" s="157">
        <v>30000</v>
      </c>
      <c r="D100" s="116">
        <f>15200.42</f>
        <v>15200.42</v>
      </c>
      <c r="E100" s="214"/>
      <c r="F100" s="224">
        <f t="shared" si="28"/>
        <v>45200.42</v>
      </c>
      <c r="G100" s="241"/>
      <c r="H100" s="242"/>
      <c r="I100" s="276">
        <f t="shared" si="29"/>
        <v>45200.42</v>
      </c>
      <c r="J100" s="309"/>
      <c r="K100" s="10"/>
      <c r="L100" s="276">
        <f t="shared" si="30"/>
        <v>45200.42</v>
      </c>
      <c r="M100" s="21"/>
      <c r="N100" s="7"/>
      <c r="O100" s="22">
        <f>L100+M100+N100</f>
        <v>45200.42</v>
      </c>
      <c r="P100" s="75"/>
      <c r="Q100" s="73">
        <f t="shared" si="26"/>
        <v>45200.42</v>
      </c>
      <c r="R100" s="87"/>
    </row>
    <row r="101" spans="1:18" ht="12.75" hidden="1">
      <c r="A101" s="41" t="s">
        <v>70</v>
      </c>
      <c r="B101" s="95"/>
      <c r="C101" s="157"/>
      <c r="D101" s="116"/>
      <c r="E101" s="214"/>
      <c r="F101" s="224">
        <f t="shared" si="28"/>
        <v>0</v>
      </c>
      <c r="G101" s="241"/>
      <c r="H101" s="242"/>
      <c r="I101" s="276">
        <f t="shared" si="29"/>
        <v>0</v>
      </c>
      <c r="J101" s="310"/>
      <c r="K101" s="10"/>
      <c r="L101" s="276">
        <f t="shared" si="30"/>
        <v>0</v>
      </c>
      <c r="M101" s="25"/>
      <c r="N101" s="10"/>
      <c r="O101" s="26">
        <f>L101+M101+N101</f>
        <v>0</v>
      </c>
      <c r="P101" s="78"/>
      <c r="Q101" s="79">
        <f t="shared" si="26"/>
        <v>0</v>
      </c>
      <c r="R101" s="87"/>
    </row>
    <row r="102" spans="1:18" ht="12.75">
      <c r="A102" s="34" t="s">
        <v>71</v>
      </c>
      <c r="B102" s="96"/>
      <c r="C102" s="129">
        <f>C103+C110</f>
        <v>17757</v>
      </c>
      <c r="D102" s="111">
        <f aca="true" t="shared" si="31" ref="D102:Q102">D103+D110</f>
        <v>376</v>
      </c>
      <c r="E102" s="130">
        <f t="shared" si="31"/>
        <v>0</v>
      </c>
      <c r="F102" s="190">
        <f t="shared" si="31"/>
        <v>18133</v>
      </c>
      <c r="G102" s="233">
        <f t="shared" si="31"/>
        <v>0</v>
      </c>
      <c r="H102" s="234">
        <f t="shared" si="31"/>
        <v>0</v>
      </c>
      <c r="I102" s="272">
        <f t="shared" si="31"/>
        <v>18133</v>
      </c>
      <c r="J102" s="290">
        <f>J103+J110</f>
        <v>638.03</v>
      </c>
      <c r="K102" s="234">
        <f>K103+K110</f>
        <v>0</v>
      </c>
      <c r="L102" s="272">
        <f>L103+L110</f>
        <v>18771.03</v>
      </c>
      <c r="M102" s="110">
        <f t="shared" si="31"/>
        <v>0</v>
      </c>
      <c r="N102" s="110">
        <f t="shared" si="31"/>
        <v>0</v>
      </c>
      <c r="O102" s="110">
        <f t="shared" si="31"/>
        <v>18771.03</v>
      </c>
      <c r="P102" s="110">
        <f t="shared" si="31"/>
        <v>0</v>
      </c>
      <c r="Q102" s="190">
        <f t="shared" si="31"/>
        <v>18771.03</v>
      </c>
      <c r="R102" s="87"/>
    </row>
    <row r="103" spans="1:18" ht="12.75">
      <c r="A103" s="39" t="s">
        <v>49</v>
      </c>
      <c r="B103" s="96"/>
      <c r="C103" s="156">
        <f>SUM(C105:C109)</f>
        <v>17757</v>
      </c>
      <c r="D103" s="115">
        <f aca="true" t="shared" si="32" ref="D103:Q103">SUM(D105:D109)</f>
        <v>376</v>
      </c>
      <c r="E103" s="173">
        <f t="shared" si="32"/>
        <v>0</v>
      </c>
      <c r="F103" s="192">
        <f t="shared" si="32"/>
        <v>18133</v>
      </c>
      <c r="G103" s="237">
        <f t="shared" si="32"/>
        <v>0</v>
      </c>
      <c r="H103" s="238">
        <f t="shared" si="32"/>
        <v>0</v>
      </c>
      <c r="I103" s="274">
        <f t="shared" si="32"/>
        <v>18133</v>
      </c>
      <c r="J103" s="278">
        <f>SUM(J105:J109)</f>
        <v>638.03</v>
      </c>
      <c r="K103" s="238">
        <f>SUM(K105:K109)</f>
        <v>0</v>
      </c>
      <c r="L103" s="274">
        <f>SUM(L105:L109)</f>
        <v>18771.03</v>
      </c>
      <c r="M103" s="114">
        <f t="shared" si="32"/>
        <v>0</v>
      </c>
      <c r="N103" s="114">
        <f t="shared" si="32"/>
        <v>0</v>
      </c>
      <c r="O103" s="114">
        <f t="shared" si="32"/>
        <v>18771.03</v>
      </c>
      <c r="P103" s="114">
        <f t="shared" si="32"/>
        <v>0</v>
      </c>
      <c r="Q103" s="192">
        <f t="shared" si="32"/>
        <v>18771.03</v>
      </c>
      <c r="R103" s="87"/>
    </row>
    <row r="104" spans="1:18" ht="12.75">
      <c r="A104" s="35" t="s">
        <v>26</v>
      </c>
      <c r="B104" s="92"/>
      <c r="C104" s="135"/>
      <c r="D104" s="108"/>
      <c r="E104" s="136"/>
      <c r="F104" s="187"/>
      <c r="G104" s="229"/>
      <c r="H104" s="230"/>
      <c r="I104" s="270"/>
      <c r="J104" s="305"/>
      <c r="K104" s="7"/>
      <c r="L104" s="270"/>
      <c r="M104" s="21"/>
      <c r="N104" s="7"/>
      <c r="O104" s="20"/>
      <c r="P104" s="75"/>
      <c r="Q104" s="73"/>
      <c r="R104" s="87"/>
    </row>
    <row r="105" spans="1:18" ht="12.75">
      <c r="A105" s="33" t="s">
        <v>51</v>
      </c>
      <c r="B105" s="92"/>
      <c r="C105" s="135">
        <v>17757</v>
      </c>
      <c r="D105" s="108">
        <f>376</f>
        <v>376</v>
      </c>
      <c r="E105" s="136"/>
      <c r="F105" s="188">
        <f>C105+D105+E105</f>
        <v>18133</v>
      </c>
      <c r="G105" s="229"/>
      <c r="H105" s="230"/>
      <c r="I105" s="271">
        <f>SUM(F105:H105)</f>
        <v>18133</v>
      </c>
      <c r="J105" s="319"/>
      <c r="K105" s="7"/>
      <c r="L105" s="271">
        <f>I105+J105+K105</f>
        <v>18133</v>
      </c>
      <c r="M105" s="21"/>
      <c r="N105" s="7"/>
      <c r="O105" s="22">
        <f>L105+M105+N105</f>
        <v>18133</v>
      </c>
      <c r="P105" s="75"/>
      <c r="Q105" s="73">
        <f t="shared" si="26"/>
        <v>18133</v>
      </c>
      <c r="R105" s="87"/>
    </row>
    <row r="106" spans="1:18" ht="12.75" hidden="1">
      <c r="A106" s="210" t="s">
        <v>77</v>
      </c>
      <c r="B106" s="92">
        <v>1245</v>
      </c>
      <c r="C106" s="135"/>
      <c r="D106" s="108"/>
      <c r="E106" s="136"/>
      <c r="F106" s="188">
        <f>C106+D106+E106</f>
        <v>0</v>
      </c>
      <c r="G106" s="229"/>
      <c r="H106" s="230"/>
      <c r="I106" s="271"/>
      <c r="J106" s="305"/>
      <c r="K106" s="7"/>
      <c r="L106" s="271"/>
      <c r="M106" s="21"/>
      <c r="N106" s="7"/>
      <c r="O106" s="22"/>
      <c r="P106" s="75"/>
      <c r="Q106" s="73"/>
      <c r="R106" s="87"/>
    </row>
    <row r="107" spans="1:18" ht="12.75">
      <c r="A107" s="43" t="s">
        <v>72</v>
      </c>
      <c r="B107" s="95">
        <v>33166</v>
      </c>
      <c r="C107" s="157"/>
      <c r="D107" s="116"/>
      <c r="E107" s="214"/>
      <c r="F107" s="224">
        <f>C107+D107+E107</f>
        <v>0</v>
      </c>
      <c r="G107" s="241"/>
      <c r="H107" s="242"/>
      <c r="I107" s="276">
        <f>SUM(F107:H107)</f>
        <v>0</v>
      </c>
      <c r="J107" s="310">
        <f>638.03</f>
        <v>638.03</v>
      </c>
      <c r="K107" s="10"/>
      <c r="L107" s="276">
        <f>I107+J107+K107</f>
        <v>638.03</v>
      </c>
      <c r="M107" s="21"/>
      <c r="N107" s="7"/>
      <c r="O107" s="22">
        <f>L107+M107+N107</f>
        <v>638.03</v>
      </c>
      <c r="P107" s="75"/>
      <c r="Q107" s="73">
        <f t="shared" si="26"/>
        <v>638.03</v>
      </c>
      <c r="R107" s="87"/>
    </row>
    <row r="108" spans="1:18" ht="12.75" hidden="1">
      <c r="A108" s="43" t="s">
        <v>270</v>
      </c>
      <c r="B108" s="95">
        <v>33064</v>
      </c>
      <c r="C108" s="157"/>
      <c r="D108" s="116"/>
      <c r="E108" s="214"/>
      <c r="F108" s="224">
        <f>C108+D108+E108</f>
        <v>0</v>
      </c>
      <c r="G108" s="229"/>
      <c r="H108" s="230"/>
      <c r="I108" s="271"/>
      <c r="J108" s="305"/>
      <c r="K108" s="7"/>
      <c r="L108" s="271"/>
      <c r="M108" s="21"/>
      <c r="N108" s="7"/>
      <c r="O108" s="22"/>
      <c r="P108" s="75"/>
      <c r="Q108" s="73"/>
      <c r="R108" s="87"/>
    </row>
    <row r="109" spans="1:18" ht="12.75" hidden="1">
      <c r="A109" s="37" t="s">
        <v>65</v>
      </c>
      <c r="B109" s="92"/>
      <c r="C109" s="135"/>
      <c r="D109" s="108"/>
      <c r="E109" s="136"/>
      <c r="F109" s="188">
        <f>C109+D109+E109</f>
        <v>0</v>
      </c>
      <c r="G109" s="229"/>
      <c r="H109" s="230"/>
      <c r="I109" s="271">
        <f>SUM(F109:H109)</f>
        <v>0</v>
      </c>
      <c r="J109" s="305"/>
      <c r="K109" s="7"/>
      <c r="L109" s="271">
        <f>I109+J109+K109</f>
        <v>0</v>
      </c>
      <c r="M109" s="21"/>
      <c r="N109" s="7"/>
      <c r="O109" s="22">
        <f>L109+M109+N109</f>
        <v>0</v>
      </c>
      <c r="P109" s="75"/>
      <c r="Q109" s="73">
        <f t="shared" si="26"/>
        <v>0</v>
      </c>
      <c r="R109" s="87"/>
    </row>
    <row r="110" spans="1:18" ht="12.75" hidden="1">
      <c r="A110" s="39" t="s">
        <v>54</v>
      </c>
      <c r="B110" s="96"/>
      <c r="C110" s="156">
        <f>C112</f>
        <v>0</v>
      </c>
      <c r="D110" s="115">
        <f aca="true" t="shared" si="33" ref="D110:Q110">D112</f>
        <v>0</v>
      </c>
      <c r="E110" s="173">
        <f t="shared" si="33"/>
        <v>0</v>
      </c>
      <c r="F110" s="192">
        <f t="shared" si="33"/>
        <v>0</v>
      </c>
      <c r="G110" s="237">
        <f t="shared" si="33"/>
        <v>0</v>
      </c>
      <c r="H110" s="238">
        <f t="shared" si="33"/>
        <v>0</v>
      </c>
      <c r="I110" s="274">
        <f t="shared" si="33"/>
        <v>0</v>
      </c>
      <c r="J110" s="311">
        <f t="shared" si="33"/>
        <v>0</v>
      </c>
      <c r="K110" s="115">
        <f t="shared" si="33"/>
        <v>0</v>
      </c>
      <c r="L110" s="274">
        <f t="shared" si="33"/>
        <v>0</v>
      </c>
      <c r="M110" s="114">
        <f t="shared" si="33"/>
        <v>0</v>
      </c>
      <c r="N110" s="114">
        <f t="shared" si="33"/>
        <v>0</v>
      </c>
      <c r="O110" s="114">
        <f t="shared" si="33"/>
        <v>0</v>
      </c>
      <c r="P110" s="114">
        <f t="shared" si="33"/>
        <v>0</v>
      </c>
      <c r="Q110" s="192">
        <f t="shared" si="33"/>
        <v>0</v>
      </c>
      <c r="R110" s="87"/>
    </row>
    <row r="111" spans="1:18" ht="12.75" hidden="1">
      <c r="A111" s="35" t="s">
        <v>26</v>
      </c>
      <c r="B111" s="92"/>
      <c r="C111" s="135"/>
      <c r="D111" s="108"/>
      <c r="E111" s="136"/>
      <c r="F111" s="187"/>
      <c r="G111" s="229"/>
      <c r="H111" s="230"/>
      <c r="I111" s="270"/>
      <c r="J111" s="305"/>
      <c r="K111" s="7"/>
      <c r="L111" s="270"/>
      <c r="M111" s="21"/>
      <c r="N111" s="7"/>
      <c r="O111" s="20"/>
      <c r="P111" s="75"/>
      <c r="Q111" s="73"/>
      <c r="R111" s="87"/>
    </row>
    <row r="112" spans="1:18" ht="12.75" hidden="1">
      <c r="A112" s="36" t="s">
        <v>163</v>
      </c>
      <c r="B112" s="95"/>
      <c r="C112" s="157"/>
      <c r="D112" s="116"/>
      <c r="E112" s="214"/>
      <c r="F112" s="224">
        <f>C112+D112+E112</f>
        <v>0</v>
      </c>
      <c r="G112" s="241"/>
      <c r="H112" s="242"/>
      <c r="I112" s="277"/>
      <c r="J112" s="310"/>
      <c r="K112" s="10"/>
      <c r="L112" s="276">
        <f>I112+J112+K112</f>
        <v>0</v>
      </c>
      <c r="M112" s="25"/>
      <c r="N112" s="10"/>
      <c r="O112" s="26">
        <f>L112+M112+N112</f>
        <v>0</v>
      </c>
      <c r="P112" s="78"/>
      <c r="Q112" s="79">
        <f t="shared" si="26"/>
        <v>0</v>
      </c>
      <c r="R112" s="87"/>
    </row>
    <row r="113" spans="1:18" ht="12.75">
      <c r="A113" s="30" t="s">
        <v>73</v>
      </c>
      <c r="B113" s="96"/>
      <c r="C113" s="142">
        <f>C114+C126</f>
        <v>1502319</v>
      </c>
      <c r="D113" s="107">
        <f aca="true" t="shared" si="34" ref="D113:Q113">D114+D126</f>
        <v>92620.94</v>
      </c>
      <c r="E113" s="143">
        <f t="shared" si="34"/>
        <v>0</v>
      </c>
      <c r="F113" s="187">
        <f t="shared" si="34"/>
        <v>1594939.94</v>
      </c>
      <c r="G113" s="227">
        <f t="shared" si="34"/>
        <v>23264.87</v>
      </c>
      <c r="H113" s="228">
        <f t="shared" si="34"/>
        <v>0</v>
      </c>
      <c r="I113" s="270">
        <f t="shared" si="34"/>
        <v>1618204.81</v>
      </c>
      <c r="J113" s="288">
        <f>J114+J126</f>
        <v>324260.91</v>
      </c>
      <c r="K113" s="228">
        <f>K114+K126</f>
        <v>0</v>
      </c>
      <c r="L113" s="270">
        <f>L114+L126</f>
        <v>1942465.7199999997</v>
      </c>
      <c r="M113" s="106">
        <f t="shared" si="34"/>
        <v>0</v>
      </c>
      <c r="N113" s="106">
        <f t="shared" si="34"/>
        <v>0</v>
      </c>
      <c r="O113" s="106">
        <f t="shared" si="34"/>
        <v>1942465.7199999997</v>
      </c>
      <c r="P113" s="106">
        <f t="shared" si="34"/>
        <v>0</v>
      </c>
      <c r="Q113" s="187">
        <f t="shared" si="34"/>
        <v>1942465.7199999997</v>
      </c>
      <c r="R113" s="87"/>
    </row>
    <row r="114" spans="1:18" ht="12.75">
      <c r="A114" s="39" t="s">
        <v>49</v>
      </c>
      <c r="B114" s="96"/>
      <c r="C114" s="156">
        <f>SUM(C117:C125)</f>
        <v>1492319</v>
      </c>
      <c r="D114" s="115">
        <f aca="true" t="shared" si="35" ref="D114:Q114">SUM(D117:D125)</f>
        <v>92620.94</v>
      </c>
      <c r="E114" s="173">
        <f t="shared" si="35"/>
        <v>0</v>
      </c>
      <c r="F114" s="192">
        <f t="shared" si="35"/>
        <v>1584939.94</v>
      </c>
      <c r="G114" s="237">
        <f t="shared" si="35"/>
        <v>23264.87</v>
      </c>
      <c r="H114" s="238">
        <f t="shared" si="35"/>
        <v>0</v>
      </c>
      <c r="I114" s="274">
        <f t="shared" si="35"/>
        <v>1608204.81</v>
      </c>
      <c r="J114" s="278">
        <f>SUM(J117:J125)</f>
        <v>324260.91</v>
      </c>
      <c r="K114" s="238">
        <f>SUM(K117:K125)</f>
        <v>0</v>
      </c>
      <c r="L114" s="274">
        <f>SUM(L117:L125)</f>
        <v>1932465.7199999997</v>
      </c>
      <c r="M114" s="114">
        <f t="shared" si="35"/>
        <v>0</v>
      </c>
      <c r="N114" s="114">
        <f t="shared" si="35"/>
        <v>0</v>
      </c>
      <c r="O114" s="114">
        <f t="shared" si="35"/>
        <v>1932465.7199999997</v>
      </c>
      <c r="P114" s="114">
        <f t="shared" si="35"/>
        <v>0</v>
      </c>
      <c r="Q114" s="192">
        <f t="shared" si="35"/>
        <v>1932465.7199999997</v>
      </c>
      <c r="R114" s="87"/>
    </row>
    <row r="115" spans="1:18" ht="12.75">
      <c r="A115" s="35" t="s">
        <v>26</v>
      </c>
      <c r="B115" s="92"/>
      <c r="C115" s="135"/>
      <c r="D115" s="108"/>
      <c r="E115" s="136"/>
      <c r="F115" s="187"/>
      <c r="G115" s="229"/>
      <c r="H115" s="230"/>
      <c r="I115" s="270"/>
      <c r="J115" s="305"/>
      <c r="K115" s="7"/>
      <c r="L115" s="270"/>
      <c r="M115" s="21"/>
      <c r="N115" s="7"/>
      <c r="O115" s="20"/>
      <c r="P115" s="75"/>
      <c r="Q115" s="73"/>
      <c r="R115" s="87"/>
    </row>
    <row r="116" spans="1:18" ht="12.75">
      <c r="A116" s="37" t="s">
        <v>301</v>
      </c>
      <c r="B116" s="92"/>
      <c r="C116" s="135">
        <f>C117+C118</f>
        <v>934819</v>
      </c>
      <c r="D116" s="108">
        <f>D117+D118</f>
        <v>72371.74</v>
      </c>
      <c r="E116" s="136">
        <f>E117+E118</f>
        <v>0</v>
      </c>
      <c r="F116" s="188">
        <f>F117+F118</f>
        <v>1007190.74</v>
      </c>
      <c r="G116" s="229">
        <f>G117+G118</f>
        <v>-1807.64</v>
      </c>
      <c r="H116" s="230"/>
      <c r="I116" s="271">
        <f>I117+I118</f>
        <v>1005383.1000000001</v>
      </c>
      <c r="J116" s="289">
        <f>J117+J118</f>
        <v>60600.45</v>
      </c>
      <c r="K116" s="230">
        <f>K117+K118</f>
        <v>0</v>
      </c>
      <c r="L116" s="271">
        <f>L117+L118</f>
        <v>1065983.55</v>
      </c>
      <c r="M116" s="21"/>
      <c r="N116" s="7"/>
      <c r="O116" s="22">
        <f>O117+O118</f>
        <v>1065983.55</v>
      </c>
      <c r="P116" s="75"/>
      <c r="Q116" s="73">
        <f t="shared" si="26"/>
        <v>1065983.55</v>
      </c>
      <c r="R116" s="87"/>
    </row>
    <row r="117" spans="1:18" ht="12.75">
      <c r="A117" s="37" t="s">
        <v>302</v>
      </c>
      <c r="B117" s="92"/>
      <c r="C117" s="135">
        <v>447000</v>
      </c>
      <c r="D117" s="119">
        <f>20672.61+972.6+78.87</f>
        <v>21724.079999999998</v>
      </c>
      <c r="E117" s="136"/>
      <c r="F117" s="188">
        <f aca="true" t="shared" si="36" ref="F117:F125">C117+D117+E117</f>
        <v>468724.08</v>
      </c>
      <c r="G117" s="229">
        <f>18.43+53.89-1864.96</f>
        <v>-1792.64</v>
      </c>
      <c r="H117" s="243"/>
      <c r="I117" s="271">
        <f aca="true" t="shared" si="37" ref="I117:I125">F117+G117+H117</f>
        <v>466931.44</v>
      </c>
      <c r="J117" s="305">
        <f>1800.57+80.38+2026.94+220.7+55000</f>
        <v>59128.59</v>
      </c>
      <c r="K117" s="7"/>
      <c r="L117" s="271">
        <f aca="true" t="shared" si="38" ref="L117:L125">I117+J117+K117</f>
        <v>526060.03</v>
      </c>
      <c r="M117" s="21"/>
      <c r="N117" s="7"/>
      <c r="O117" s="22">
        <f aca="true" t="shared" si="39" ref="O117:O125">L117+M117+N117</f>
        <v>526060.03</v>
      </c>
      <c r="P117" s="75"/>
      <c r="Q117" s="73">
        <f t="shared" si="26"/>
        <v>526060.03</v>
      </c>
      <c r="R117" s="87"/>
    </row>
    <row r="118" spans="1:18" ht="12.75">
      <c r="A118" s="33" t="s">
        <v>303</v>
      </c>
      <c r="B118" s="92"/>
      <c r="C118" s="135">
        <v>487819</v>
      </c>
      <c r="D118" s="108">
        <f>13900.66+36137+610</f>
        <v>50647.66</v>
      </c>
      <c r="E118" s="136"/>
      <c r="F118" s="188">
        <f t="shared" si="36"/>
        <v>538466.66</v>
      </c>
      <c r="G118" s="229">
        <f>-15</f>
        <v>-15</v>
      </c>
      <c r="H118" s="243"/>
      <c r="I118" s="271">
        <f t="shared" si="37"/>
        <v>538451.66</v>
      </c>
      <c r="J118" s="305">
        <f>1471.86</f>
        <v>1471.86</v>
      </c>
      <c r="K118" s="7"/>
      <c r="L118" s="271">
        <f t="shared" si="38"/>
        <v>539923.52</v>
      </c>
      <c r="M118" s="21"/>
      <c r="N118" s="7"/>
      <c r="O118" s="22">
        <f t="shared" si="39"/>
        <v>539923.52</v>
      </c>
      <c r="P118" s="75"/>
      <c r="Q118" s="73">
        <f t="shared" si="26"/>
        <v>539923.52</v>
      </c>
      <c r="R118" s="87"/>
    </row>
    <row r="119" spans="1:18" ht="12.75">
      <c r="A119" s="37" t="s">
        <v>74</v>
      </c>
      <c r="B119" s="92"/>
      <c r="C119" s="135">
        <v>28000</v>
      </c>
      <c r="D119" s="108"/>
      <c r="E119" s="136"/>
      <c r="F119" s="188">
        <f t="shared" si="36"/>
        <v>28000</v>
      </c>
      <c r="G119" s="229"/>
      <c r="H119" s="230"/>
      <c r="I119" s="271">
        <f t="shared" si="37"/>
        <v>28000</v>
      </c>
      <c r="J119" s="305"/>
      <c r="K119" s="7"/>
      <c r="L119" s="271">
        <f t="shared" si="38"/>
        <v>28000</v>
      </c>
      <c r="M119" s="21"/>
      <c r="N119" s="7"/>
      <c r="O119" s="22">
        <f t="shared" si="39"/>
        <v>28000</v>
      </c>
      <c r="P119" s="75"/>
      <c r="Q119" s="73">
        <f t="shared" si="26"/>
        <v>28000</v>
      </c>
      <c r="R119" s="87"/>
    </row>
    <row r="120" spans="1:18" ht="12.75" hidden="1">
      <c r="A120" s="33" t="s">
        <v>75</v>
      </c>
      <c r="B120" s="92"/>
      <c r="C120" s="135"/>
      <c r="D120" s="108"/>
      <c r="E120" s="136"/>
      <c r="F120" s="188">
        <f t="shared" si="36"/>
        <v>0</v>
      </c>
      <c r="G120" s="229"/>
      <c r="H120" s="230"/>
      <c r="I120" s="271">
        <f t="shared" si="37"/>
        <v>0</v>
      </c>
      <c r="J120" s="305"/>
      <c r="K120" s="7"/>
      <c r="L120" s="271">
        <f t="shared" si="38"/>
        <v>0</v>
      </c>
      <c r="M120" s="21"/>
      <c r="N120" s="7"/>
      <c r="O120" s="22">
        <f t="shared" si="39"/>
        <v>0</v>
      </c>
      <c r="P120" s="75"/>
      <c r="Q120" s="73">
        <f t="shared" si="26"/>
        <v>0</v>
      </c>
      <c r="R120" s="87"/>
    </row>
    <row r="121" spans="1:18" ht="12.75">
      <c r="A121" s="33" t="s">
        <v>65</v>
      </c>
      <c r="B121" s="92"/>
      <c r="C121" s="135"/>
      <c r="D121" s="108"/>
      <c r="E121" s="136"/>
      <c r="F121" s="188">
        <f t="shared" si="36"/>
        <v>0</v>
      </c>
      <c r="G121" s="229">
        <f>1864.96</f>
        <v>1864.96</v>
      </c>
      <c r="H121" s="230"/>
      <c r="I121" s="271">
        <f t="shared" si="37"/>
        <v>1864.96</v>
      </c>
      <c r="J121" s="305"/>
      <c r="K121" s="7"/>
      <c r="L121" s="271">
        <f t="shared" si="38"/>
        <v>1864.96</v>
      </c>
      <c r="M121" s="21"/>
      <c r="N121" s="7"/>
      <c r="O121" s="22">
        <f t="shared" si="39"/>
        <v>1864.96</v>
      </c>
      <c r="P121" s="75"/>
      <c r="Q121" s="73">
        <f t="shared" si="26"/>
        <v>1864.96</v>
      </c>
      <c r="R121" s="87"/>
    </row>
    <row r="122" spans="1:18" ht="12.75">
      <c r="A122" s="37" t="s">
        <v>327</v>
      </c>
      <c r="B122" s="92">
        <v>91252</v>
      </c>
      <c r="C122" s="135"/>
      <c r="D122" s="108">
        <f>20000</f>
        <v>20000</v>
      </c>
      <c r="E122" s="136"/>
      <c r="F122" s="188">
        <f t="shared" si="36"/>
        <v>20000</v>
      </c>
      <c r="G122" s="229">
        <f>17735.87</f>
        <v>17735.87</v>
      </c>
      <c r="H122" s="230"/>
      <c r="I122" s="271">
        <f t="shared" si="37"/>
        <v>37735.869999999995</v>
      </c>
      <c r="J122" s="305">
        <f>28130</f>
        <v>28130</v>
      </c>
      <c r="K122" s="7"/>
      <c r="L122" s="271">
        <f t="shared" si="38"/>
        <v>65865.87</v>
      </c>
      <c r="M122" s="21"/>
      <c r="N122" s="7"/>
      <c r="O122" s="22">
        <f t="shared" si="39"/>
        <v>65865.87</v>
      </c>
      <c r="P122" s="75"/>
      <c r="Q122" s="73">
        <f t="shared" si="26"/>
        <v>65865.87</v>
      </c>
      <c r="R122" s="87"/>
    </row>
    <row r="123" spans="1:18" ht="12.75">
      <c r="A123" s="33" t="s">
        <v>140</v>
      </c>
      <c r="B123" s="92">
        <v>27355</v>
      </c>
      <c r="C123" s="135"/>
      <c r="D123" s="108"/>
      <c r="E123" s="136"/>
      <c r="F123" s="188">
        <f t="shared" si="36"/>
        <v>0</v>
      </c>
      <c r="G123" s="229"/>
      <c r="H123" s="230"/>
      <c r="I123" s="271">
        <f t="shared" si="37"/>
        <v>0</v>
      </c>
      <c r="J123" s="305">
        <f>225997.46</f>
        <v>225997.46</v>
      </c>
      <c r="K123" s="7"/>
      <c r="L123" s="271">
        <f t="shared" si="38"/>
        <v>225997.46</v>
      </c>
      <c r="M123" s="21"/>
      <c r="N123" s="7"/>
      <c r="O123" s="22">
        <f t="shared" si="39"/>
        <v>225997.46</v>
      </c>
      <c r="P123" s="75"/>
      <c r="Q123" s="73">
        <f t="shared" si="26"/>
        <v>225997.46</v>
      </c>
      <c r="R123" s="87"/>
    </row>
    <row r="124" spans="1:18" ht="12.75">
      <c r="A124" s="33" t="s">
        <v>51</v>
      </c>
      <c r="B124" s="92"/>
      <c r="C124" s="135">
        <v>529500</v>
      </c>
      <c r="D124" s="108">
        <f>249.2</f>
        <v>249.2</v>
      </c>
      <c r="E124" s="136"/>
      <c r="F124" s="188">
        <f t="shared" si="36"/>
        <v>529749.2</v>
      </c>
      <c r="G124" s="229">
        <f>471.68+5000</f>
        <v>5471.68</v>
      </c>
      <c r="H124" s="230"/>
      <c r="I124" s="271">
        <f t="shared" si="37"/>
        <v>535220.88</v>
      </c>
      <c r="J124" s="305">
        <f>533+9000</f>
        <v>9533</v>
      </c>
      <c r="K124" s="7"/>
      <c r="L124" s="271">
        <f t="shared" si="38"/>
        <v>544753.88</v>
      </c>
      <c r="M124" s="21"/>
      <c r="N124" s="7"/>
      <c r="O124" s="22">
        <f t="shared" si="39"/>
        <v>544753.88</v>
      </c>
      <c r="P124" s="75"/>
      <c r="Q124" s="73">
        <f t="shared" si="26"/>
        <v>544753.88</v>
      </c>
      <c r="R124" s="87"/>
    </row>
    <row r="125" spans="1:18" ht="12" customHeight="1" hidden="1">
      <c r="A125" s="33" t="s">
        <v>76</v>
      </c>
      <c r="B125" s="92"/>
      <c r="C125" s="135"/>
      <c r="D125" s="108"/>
      <c r="E125" s="136"/>
      <c r="F125" s="188">
        <f t="shared" si="36"/>
        <v>0</v>
      </c>
      <c r="G125" s="229"/>
      <c r="H125" s="230"/>
      <c r="I125" s="271">
        <f t="shared" si="37"/>
        <v>0</v>
      </c>
      <c r="J125" s="305"/>
      <c r="K125" s="7"/>
      <c r="L125" s="271">
        <f t="shared" si="38"/>
        <v>0</v>
      </c>
      <c r="M125" s="21"/>
      <c r="N125" s="7"/>
      <c r="O125" s="22">
        <f t="shared" si="39"/>
        <v>0</v>
      </c>
      <c r="P125" s="75"/>
      <c r="Q125" s="73">
        <f t="shared" si="26"/>
        <v>0</v>
      </c>
      <c r="R125" s="87"/>
    </row>
    <row r="126" spans="1:18" ht="12.75">
      <c r="A126" s="40" t="s">
        <v>54</v>
      </c>
      <c r="B126" s="96"/>
      <c r="C126" s="158">
        <f>SUM(C128:C130)</f>
        <v>10000</v>
      </c>
      <c r="D126" s="118">
        <f aca="true" t="shared" si="40" ref="D126:Q126">SUM(D128:D130)</f>
        <v>0</v>
      </c>
      <c r="E126" s="174">
        <f t="shared" si="40"/>
        <v>0</v>
      </c>
      <c r="F126" s="193">
        <f t="shared" si="40"/>
        <v>10000</v>
      </c>
      <c r="G126" s="239">
        <f t="shared" si="40"/>
        <v>0</v>
      </c>
      <c r="H126" s="240">
        <f t="shared" si="40"/>
        <v>0</v>
      </c>
      <c r="I126" s="275">
        <f t="shared" si="40"/>
        <v>10000</v>
      </c>
      <c r="J126" s="292">
        <f t="shared" si="40"/>
        <v>0</v>
      </c>
      <c r="K126" s="240">
        <f t="shared" si="40"/>
        <v>0</v>
      </c>
      <c r="L126" s="275">
        <f t="shared" si="40"/>
        <v>10000</v>
      </c>
      <c r="M126" s="117">
        <f t="shared" si="40"/>
        <v>0</v>
      </c>
      <c r="N126" s="117">
        <f t="shared" si="40"/>
        <v>0</v>
      </c>
      <c r="O126" s="117">
        <f t="shared" si="40"/>
        <v>10000</v>
      </c>
      <c r="P126" s="117">
        <f t="shared" si="40"/>
        <v>0</v>
      </c>
      <c r="Q126" s="193">
        <f t="shared" si="40"/>
        <v>10000</v>
      </c>
      <c r="R126" s="87"/>
    </row>
    <row r="127" spans="1:18" ht="12.75">
      <c r="A127" s="31" t="s">
        <v>26</v>
      </c>
      <c r="B127" s="92"/>
      <c r="C127" s="129"/>
      <c r="D127" s="111"/>
      <c r="E127" s="130"/>
      <c r="F127" s="190"/>
      <c r="G127" s="233"/>
      <c r="H127" s="234"/>
      <c r="I127" s="272"/>
      <c r="J127" s="308"/>
      <c r="K127" s="8"/>
      <c r="L127" s="272"/>
      <c r="M127" s="23"/>
      <c r="N127" s="8"/>
      <c r="O127" s="24"/>
      <c r="P127" s="75"/>
      <c r="Q127" s="73"/>
      <c r="R127" s="87"/>
    </row>
    <row r="128" spans="1:18" ht="12.75" hidden="1">
      <c r="A128" s="41" t="s">
        <v>55</v>
      </c>
      <c r="B128" s="95"/>
      <c r="C128" s="157"/>
      <c r="D128" s="116"/>
      <c r="E128" s="214"/>
      <c r="F128" s="224">
        <f>C128+D128+E128</f>
        <v>0</v>
      </c>
      <c r="G128" s="229"/>
      <c r="H128" s="230"/>
      <c r="I128" s="271">
        <f>F128+G128+H128</f>
        <v>0</v>
      </c>
      <c r="J128" s="305"/>
      <c r="K128" s="7"/>
      <c r="L128" s="271">
        <f>I128+J128+K128</f>
        <v>0</v>
      </c>
      <c r="M128" s="21"/>
      <c r="N128" s="7"/>
      <c r="O128" s="22">
        <f>L128+M128+N128</f>
        <v>0</v>
      </c>
      <c r="P128" s="75"/>
      <c r="Q128" s="73">
        <f t="shared" si="26"/>
        <v>0</v>
      </c>
      <c r="R128" s="87"/>
    </row>
    <row r="129" spans="1:18" ht="12.75">
      <c r="A129" s="36" t="s">
        <v>86</v>
      </c>
      <c r="B129" s="95"/>
      <c r="C129" s="157">
        <v>10000</v>
      </c>
      <c r="D129" s="116"/>
      <c r="E129" s="214"/>
      <c r="F129" s="224">
        <f>C129+D129+E129</f>
        <v>10000</v>
      </c>
      <c r="G129" s="241"/>
      <c r="H129" s="242"/>
      <c r="I129" s="276">
        <f>F129+G129+H129</f>
        <v>10000</v>
      </c>
      <c r="J129" s="309"/>
      <c r="K129" s="10"/>
      <c r="L129" s="276">
        <f>I129+J129+K129</f>
        <v>10000</v>
      </c>
      <c r="M129" s="21"/>
      <c r="N129" s="7"/>
      <c r="O129" s="22">
        <f>L129+M129+N129</f>
        <v>10000</v>
      </c>
      <c r="P129" s="75"/>
      <c r="Q129" s="73">
        <f t="shared" si="26"/>
        <v>10000</v>
      </c>
      <c r="R129" s="87"/>
    </row>
    <row r="130" spans="1:18" ht="12.75" hidden="1">
      <c r="A130" s="36" t="s">
        <v>77</v>
      </c>
      <c r="B130" s="95"/>
      <c r="C130" s="157"/>
      <c r="D130" s="116"/>
      <c r="E130" s="214"/>
      <c r="F130" s="224">
        <f>C130+D130+E130</f>
        <v>0</v>
      </c>
      <c r="G130" s="241"/>
      <c r="H130" s="242"/>
      <c r="I130" s="276">
        <f>F130+G130+H130</f>
        <v>0</v>
      </c>
      <c r="J130" s="310"/>
      <c r="K130" s="10"/>
      <c r="L130" s="276">
        <f>I130+J130+K130</f>
        <v>0</v>
      </c>
      <c r="M130" s="25"/>
      <c r="N130" s="10"/>
      <c r="O130" s="26">
        <f>L130+M130+N130</f>
        <v>0</v>
      </c>
      <c r="P130" s="78"/>
      <c r="Q130" s="79">
        <f t="shared" si="26"/>
        <v>0</v>
      </c>
      <c r="R130" s="87"/>
    </row>
    <row r="131" spans="1:18" ht="12.75">
      <c r="A131" s="34" t="s">
        <v>78</v>
      </c>
      <c r="B131" s="96"/>
      <c r="C131" s="129">
        <f>C132+C137</f>
        <v>64210</v>
      </c>
      <c r="D131" s="111">
        <f aca="true" t="shared" si="41" ref="D131:Q131">D132+D137</f>
        <v>9301</v>
      </c>
      <c r="E131" s="130">
        <f t="shared" si="41"/>
        <v>0</v>
      </c>
      <c r="F131" s="190">
        <f t="shared" si="41"/>
        <v>73511</v>
      </c>
      <c r="G131" s="233">
        <f t="shared" si="41"/>
        <v>29161.44</v>
      </c>
      <c r="H131" s="234">
        <f t="shared" si="41"/>
        <v>0</v>
      </c>
      <c r="I131" s="272">
        <f t="shared" si="41"/>
        <v>102672.44</v>
      </c>
      <c r="J131" s="290">
        <f>J132+J137</f>
        <v>16654.16</v>
      </c>
      <c r="K131" s="234">
        <f>K132+K137</f>
        <v>0</v>
      </c>
      <c r="L131" s="272">
        <f>L132+L137</f>
        <v>119326.6</v>
      </c>
      <c r="M131" s="110">
        <f t="shared" si="41"/>
        <v>0</v>
      </c>
      <c r="N131" s="110">
        <f t="shared" si="41"/>
        <v>0</v>
      </c>
      <c r="O131" s="110">
        <f t="shared" si="41"/>
        <v>119326.6</v>
      </c>
      <c r="P131" s="110">
        <f t="shared" si="41"/>
        <v>0</v>
      </c>
      <c r="Q131" s="190">
        <f t="shared" si="41"/>
        <v>119326.6</v>
      </c>
      <c r="R131" s="87"/>
    </row>
    <row r="132" spans="1:18" ht="12.75">
      <c r="A132" s="39" t="s">
        <v>49</v>
      </c>
      <c r="B132" s="96"/>
      <c r="C132" s="156">
        <f>SUM(C134:C136)</f>
        <v>46210</v>
      </c>
      <c r="D132" s="115">
        <f aca="true" t="shared" si="42" ref="D132:Q132">SUM(D134:D136)</f>
        <v>2000</v>
      </c>
      <c r="E132" s="173">
        <f t="shared" si="42"/>
        <v>0</v>
      </c>
      <c r="F132" s="192">
        <f t="shared" si="42"/>
        <v>48210</v>
      </c>
      <c r="G132" s="237">
        <f t="shared" si="42"/>
        <v>20161.44</v>
      </c>
      <c r="H132" s="238">
        <f t="shared" si="42"/>
        <v>0</v>
      </c>
      <c r="I132" s="274">
        <f t="shared" si="42"/>
        <v>68371.44</v>
      </c>
      <c r="J132" s="278">
        <f>SUM(J134:J136)</f>
        <v>1654.16</v>
      </c>
      <c r="K132" s="238">
        <f>SUM(K134:K136)</f>
        <v>0</v>
      </c>
      <c r="L132" s="274">
        <f>SUM(L134:L136)</f>
        <v>70025.6</v>
      </c>
      <c r="M132" s="114">
        <f t="shared" si="42"/>
        <v>0</v>
      </c>
      <c r="N132" s="114">
        <f t="shared" si="42"/>
        <v>0</v>
      </c>
      <c r="O132" s="114">
        <f t="shared" si="42"/>
        <v>70025.6</v>
      </c>
      <c r="P132" s="114">
        <f t="shared" si="42"/>
        <v>0</v>
      </c>
      <c r="Q132" s="192">
        <f t="shared" si="42"/>
        <v>70025.6</v>
      </c>
      <c r="R132" s="87"/>
    </row>
    <row r="133" spans="1:18" ht="12.75">
      <c r="A133" s="35" t="s">
        <v>26</v>
      </c>
      <c r="B133" s="92"/>
      <c r="C133" s="135"/>
      <c r="D133" s="108"/>
      <c r="E133" s="136"/>
      <c r="F133" s="187"/>
      <c r="G133" s="229"/>
      <c r="H133" s="230"/>
      <c r="I133" s="270"/>
      <c r="J133" s="305"/>
      <c r="K133" s="7"/>
      <c r="L133" s="270"/>
      <c r="M133" s="21"/>
      <c r="N133" s="7"/>
      <c r="O133" s="20"/>
      <c r="P133" s="75"/>
      <c r="Q133" s="73"/>
      <c r="R133" s="87"/>
    </row>
    <row r="134" spans="1:18" ht="12.75">
      <c r="A134" s="33" t="s">
        <v>51</v>
      </c>
      <c r="B134" s="92"/>
      <c r="C134" s="135">
        <v>22210</v>
      </c>
      <c r="D134" s="108">
        <f>1000</f>
        <v>1000</v>
      </c>
      <c r="E134" s="136"/>
      <c r="F134" s="188">
        <f>C134+D134+E134</f>
        <v>23210</v>
      </c>
      <c r="G134" s="229">
        <f>-48.56+20210</f>
        <v>20161.44</v>
      </c>
      <c r="H134" s="230"/>
      <c r="I134" s="271">
        <f>F134+G134+H134</f>
        <v>43371.44</v>
      </c>
      <c r="J134" s="305">
        <f>1654.16</f>
        <v>1654.16</v>
      </c>
      <c r="K134" s="7"/>
      <c r="L134" s="271">
        <f>I134+J134+K134</f>
        <v>45025.600000000006</v>
      </c>
      <c r="M134" s="21"/>
      <c r="N134" s="7"/>
      <c r="O134" s="22">
        <f>L134+M134+N134</f>
        <v>45025.600000000006</v>
      </c>
      <c r="P134" s="75"/>
      <c r="Q134" s="73">
        <f t="shared" si="26"/>
        <v>45025.600000000006</v>
      </c>
      <c r="R134" s="87"/>
    </row>
    <row r="135" spans="1:18" ht="12.75" hidden="1">
      <c r="A135" s="33" t="s">
        <v>77</v>
      </c>
      <c r="B135" s="92"/>
      <c r="C135" s="135"/>
      <c r="D135" s="108"/>
      <c r="E135" s="136"/>
      <c r="F135" s="188">
        <f>C135+D135+E135</f>
        <v>0</v>
      </c>
      <c r="G135" s="229"/>
      <c r="H135" s="230"/>
      <c r="I135" s="271"/>
      <c r="J135" s="305"/>
      <c r="K135" s="7"/>
      <c r="L135" s="271"/>
      <c r="M135" s="21"/>
      <c r="N135" s="7"/>
      <c r="O135" s="22">
        <f>L135+M135+N135</f>
        <v>0</v>
      </c>
      <c r="P135" s="75"/>
      <c r="Q135" s="73">
        <f t="shared" si="26"/>
        <v>0</v>
      </c>
      <c r="R135" s="87"/>
    </row>
    <row r="136" spans="1:18" ht="12.75">
      <c r="A136" s="33" t="s">
        <v>79</v>
      </c>
      <c r="B136" s="92"/>
      <c r="C136" s="135">
        <v>24000</v>
      </c>
      <c r="D136" s="108">
        <f>1000</f>
        <v>1000</v>
      </c>
      <c r="E136" s="136"/>
      <c r="F136" s="188">
        <f>C136+D136+E136</f>
        <v>25000</v>
      </c>
      <c r="G136" s="229"/>
      <c r="H136" s="230"/>
      <c r="I136" s="271">
        <f>F136+G136+H136</f>
        <v>25000</v>
      </c>
      <c r="J136" s="305"/>
      <c r="K136" s="7"/>
      <c r="L136" s="271">
        <f>I136+J136+K136</f>
        <v>25000</v>
      </c>
      <c r="M136" s="21"/>
      <c r="N136" s="7"/>
      <c r="O136" s="22">
        <f>L136+M136+N136</f>
        <v>25000</v>
      </c>
      <c r="P136" s="75"/>
      <c r="Q136" s="73">
        <f>O136+P136</f>
        <v>25000</v>
      </c>
      <c r="R136" s="87"/>
    </row>
    <row r="137" spans="1:18" ht="12.75">
      <c r="A137" s="40" t="s">
        <v>54</v>
      </c>
      <c r="B137" s="96"/>
      <c r="C137" s="158">
        <f>SUM(C139:C142)</f>
        <v>18000</v>
      </c>
      <c r="D137" s="118">
        <f aca="true" t="shared" si="43" ref="D137:Q137">SUM(D139:D142)</f>
        <v>7301</v>
      </c>
      <c r="E137" s="174">
        <f t="shared" si="43"/>
        <v>0</v>
      </c>
      <c r="F137" s="193">
        <f t="shared" si="43"/>
        <v>25301</v>
      </c>
      <c r="G137" s="239">
        <f t="shared" si="43"/>
        <v>9000</v>
      </c>
      <c r="H137" s="240">
        <f t="shared" si="43"/>
        <v>0</v>
      </c>
      <c r="I137" s="275">
        <f t="shared" si="43"/>
        <v>34301</v>
      </c>
      <c r="J137" s="292">
        <f t="shared" si="43"/>
        <v>15000</v>
      </c>
      <c r="K137" s="240">
        <f t="shared" si="43"/>
        <v>0</v>
      </c>
      <c r="L137" s="275">
        <f t="shared" si="43"/>
        <v>49301</v>
      </c>
      <c r="M137" s="117">
        <f t="shared" si="43"/>
        <v>0</v>
      </c>
      <c r="N137" s="117">
        <f t="shared" si="43"/>
        <v>0</v>
      </c>
      <c r="O137" s="117">
        <f t="shared" si="43"/>
        <v>49301</v>
      </c>
      <c r="P137" s="117">
        <f t="shared" si="43"/>
        <v>0</v>
      </c>
      <c r="Q137" s="193">
        <f t="shared" si="43"/>
        <v>49301</v>
      </c>
      <c r="R137" s="87"/>
    </row>
    <row r="138" spans="1:18" ht="12.75">
      <c r="A138" s="31" t="s">
        <v>26</v>
      </c>
      <c r="B138" s="92"/>
      <c r="C138" s="129"/>
      <c r="D138" s="111"/>
      <c r="E138" s="130"/>
      <c r="F138" s="190"/>
      <c r="G138" s="233"/>
      <c r="H138" s="234"/>
      <c r="I138" s="272"/>
      <c r="J138" s="308"/>
      <c r="K138" s="8"/>
      <c r="L138" s="272"/>
      <c r="M138" s="23"/>
      <c r="N138" s="8"/>
      <c r="O138" s="24"/>
      <c r="P138" s="75"/>
      <c r="Q138" s="73"/>
      <c r="R138" s="87"/>
    </row>
    <row r="139" spans="1:18" ht="12.75" hidden="1">
      <c r="A139" s="33" t="s">
        <v>161</v>
      </c>
      <c r="B139" s="92">
        <v>98861</v>
      </c>
      <c r="C139" s="135"/>
      <c r="D139" s="108"/>
      <c r="E139" s="136"/>
      <c r="F139" s="188">
        <f>C139+D139+E139</f>
        <v>0</v>
      </c>
      <c r="G139" s="233"/>
      <c r="H139" s="234"/>
      <c r="I139" s="271"/>
      <c r="J139" s="308"/>
      <c r="K139" s="8"/>
      <c r="L139" s="271"/>
      <c r="M139" s="23"/>
      <c r="N139" s="8"/>
      <c r="O139" s="22">
        <f>L139+M139+N139</f>
        <v>0</v>
      </c>
      <c r="P139" s="75"/>
      <c r="Q139" s="73">
        <f>O139+P139</f>
        <v>0</v>
      </c>
      <c r="R139" s="87"/>
    </row>
    <row r="140" spans="1:18" ht="12.75" hidden="1">
      <c r="A140" s="33" t="s">
        <v>213</v>
      </c>
      <c r="B140" s="92">
        <v>7938</v>
      </c>
      <c r="C140" s="135"/>
      <c r="D140" s="108"/>
      <c r="E140" s="136"/>
      <c r="F140" s="188">
        <f>C140+D140+E140</f>
        <v>0</v>
      </c>
      <c r="G140" s="233"/>
      <c r="H140" s="234"/>
      <c r="I140" s="271"/>
      <c r="J140" s="308"/>
      <c r="K140" s="8"/>
      <c r="L140" s="271"/>
      <c r="M140" s="23"/>
      <c r="N140" s="8"/>
      <c r="O140" s="22"/>
      <c r="P140" s="75"/>
      <c r="Q140" s="73"/>
      <c r="R140" s="87"/>
    </row>
    <row r="141" spans="1:18" ht="12.75" hidden="1">
      <c r="A141" s="33" t="s">
        <v>238</v>
      </c>
      <c r="B141" s="92"/>
      <c r="C141" s="135"/>
      <c r="D141" s="108"/>
      <c r="E141" s="136"/>
      <c r="F141" s="188">
        <f>C141+D141+E141</f>
        <v>0</v>
      </c>
      <c r="G141" s="233"/>
      <c r="H141" s="234"/>
      <c r="I141" s="271"/>
      <c r="J141" s="308"/>
      <c r="K141" s="8"/>
      <c r="L141" s="271"/>
      <c r="M141" s="23"/>
      <c r="N141" s="8"/>
      <c r="O141" s="22"/>
      <c r="P141" s="75"/>
      <c r="Q141" s="73"/>
      <c r="R141" s="87"/>
    </row>
    <row r="142" spans="1:18" ht="12.75">
      <c r="A142" s="43" t="s">
        <v>55</v>
      </c>
      <c r="B142" s="95"/>
      <c r="C142" s="157">
        <v>18000</v>
      </c>
      <c r="D142" s="116">
        <f>5000+801+1500</f>
        <v>7301</v>
      </c>
      <c r="E142" s="214"/>
      <c r="F142" s="224">
        <f>C142+D142+E142</f>
        <v>25301</v>
      </c>
      <c r="G142" s="241">
        <f>9000</f>
        <v>9000</v>
      </c>
      <c r="H142" s="242"/>
      <c r="I142" s="276">
        <f>F142+G142+H142</f>
        <v>34301</v>
      </c>
      <c r="J142" s="310">
        <f>15000</f>
        <v>15000</v>
      </c>
      <c r="K142" s="10"/>
      <c r="L142" s="276">
        <f>I142+J142+K142</f>
        <v>49301</v>
      </c>
      <c r="M142" s="25"/>
      <c r="N142" s="10"/>
      <c r="O142" s="26">
        <f>L142+M142+N142</f>
        <v>49301</v>
      </c>
      <c r="P142" s="78"/>
      <c r="Q142" s="79">
        <f>O142+P142</f>
        <v>49301</v>
      </c>
      <c r="R142" s="87"/>
    </row>
    <row r="143" spans="1:18" ht="12.75">
      <c r="A143" s="30" t="s">
        <v>257</v>
      </c>
      <c r="B143" s="96"/>
      <c r="C143" s="142">
        <f aca="true" t="shared" si="44" ref="C143:Q143">C144+C166</f>
        <v>4400.7</v>
      </c>
      <c r="D143" s="107">
        <f t="shared" si="44"/>
        <v>79010.25</v>
      </c>
      <c r="E143" s="143">
        <f t="shared" si="44"/>
        <v>0</v>
      </c>
      <c r="F143" s="187">
        <f t="shared" si="44"/>
        <v>83410.95</v>
      </c>
      <c r="G143" s="227">
        <f t="shared" si="44"/>
        <v>70027.97</v>
      </c>
      <c r="H143" s="228">
        <f t="shared" si="44"/>
        <v>0</v>
      </c>
      <c r="I143" s="270">
        <f t="shared" si="44"/>
        <v>153438.92</v>
      </c>
      <c r="J143" s="288">
        <f t="shared" si="44"/>
        <v>23955.449999999997</v>
      </c>
      <c r="K143" s="228">
        <f t="shared" si="44"/>
        <v>0</v>
      </c>
      <c r="L143" s="270">
        <f t="shared" si="44"/>
        <v>177394.37</v>
      </c>
      <c r="M143" s="106">
        <f t="shared" si="44"/>
        <v>0</v>
      </c>
      <c r="N143" s="106">
        <f t="shared" si="44"/>
        <v>0</v>
      </c>
      <c r="O143" s="106">
        <f t="shared" si="44"/>
        <v>4261.03</v>
      </c>
      <c r="P143" s="106">
        <f t="shared" si="44"/>
        <v>0</v>
      </c>
      <c r="Q143" s="187">
        <f t="shared" si="44"/>
        <v>4261.03</v>
      </c>
      <c r="R143" s="87"/>
    </row>
    <row r="144" spans="1:18" ht="12.75">
      <c r="A144" s="39" t="s">
        <v>49</v>
      </c>
      <c r="B144" s="96"/>
      <c r="C144" s="156">
        <f aca="true" t="shared" si="45" ref="C144:Q144">SUM(C146:C165)</f>
        <v>4400.7</v>
      </c>
      <c r="D144" s="115">
        <f t="shared" si="45"/>
        <v>18161.93</v>
      </c>
      <c r="E144" s="173">
        <f t="shared" si="45"/>
        <v>0</v>
      </c>
      <c r="F144" s="192">
        <f t="shared" si="45"/>
        <v>22562.629999999997</v>
      </c>
      <c r="G144" s="237">
        <f t="shared" si="45"/>
        <v>9332.07</v>
      </c>
      <c r="H144" s="238">
        <f t="shared" si="45"/>
        <v>0</v>
      </c>
      <c r="I144" s="274">
        <f t="shared" si="45"/>
        <v>31894.700000000008</v>
      </c>
      <c r="J144" s="278">
        <f t="shared" si="45"/>
        <v>1604.83</v>
      </c>
      <c r="K144" s="238">
        <f t="shared" si="45"/>
        <v>0</v>
      </c>
      <c r="L144" s="274">
        <f t="shared" si="45"/>
        <v>33499.530000000006</v>
      </c>
      <c r="M144" s="114">
        <f t="shared" si="45"/>
        <v>0</v>
      </c>
      <c r="N144" s="114">
        <f t="shared" si="45"/>
        <v>0</v>
      </c>
      <c r="O144" s="114">
        <f t="shared" si="45"/>
        <v>4150.7</v>
      </c>
      <c r="P144" s="114">
        <f t="shared" si="45"/>
        <v>0</v>
      </c>
      <c r="Q144" s="192">
        <f t="shared" si="45"/>
        <v>4150.7</v>
      </c>
      <c r="R144" s="87"/>
    </row>
    <row r="145" spans="1:18" ht="12.75">
      <c r="A145" s="31" t="s">
        <v>26</v>
      </c>
      <c r="B145" s="92"/>
      <c r="C145" s="129"/>
      <c r="D145" s="111"/>
      <c r="E145" s="130"/>
      <c r="F145" s="190"/>
      <c r="G145" s="233"/>
      <c r="H145" s="234"/>
      <c r="I145" s="272"/>
      <c r="J145" s="308"/>
      <c r="K145" s="8"/>
      <c r="L145" s="272"/>
      <c r="M145" s="23"/>
      <c r="N145" s="8"/>
      <c r="O145" s="24"/>
      <c r="P145" s="75"/>
      <c r="Q145" s="73"/>
      <c r="R145" s="87"/>
    </row>
    <row r="146" spans="1:18" ht="12.75">
      <c r="A146" s="33" t="s">
        <v>51</v>
      </c>
      <c r="B146" s="92"/>
      <c r="C146" s="135">
        <v>3350.7</v>
      </c>
      <c r="D146" s="108">
        <f>-100</f>
        <v>-100</v>
      </c>
      <c r="E146" s="136"/>
      <c r="F146" s="188">
        <f aca="true" t="shared" si="46" ref="F146:F165">C146+D146+E146</f>
        <v>3250.7</v>
      </c>
      <c r="G146" s="229">
        <f>-100</f>
        <v>-100</v>
      </c>
      <c r="H146" s="230"/>
      <c r="I146" s="271">
        <f>F146+G146+H146</f>
        <v>3150.7</v>
      </c>
      <c r="J146" s="307">
        <f>1000</f>
        <v>1000</v>
      </c>
      <c r="K146" s="7"/>
      <c r="L146" s="271">
        <f>I146+J146+K146</f>
        <v>4150.7</v>
      </c>
      <c r="M146" s="29"/>
      <c r="N146" s="7"/>
      <c r="O146" s="22">
        <f>L146+M146+N146</f>
        <v>4150.7</v>
      </c>
      <c r="P146" s="75"/>
      <c r="Q146" s="73">
        <f>O146+P146</f>
        <v>4150.7</v>
      </c>
      <c r="R146" s="87"/>
    </row>
    <row r="147" spans="1:18" ht="12.75" hidden="1">
      <c r="A147" s="93" t="s">
        <v>288</v>
      </c>
      <c r="B147" s="92">
        <v>2042</v>
      </c>
      <c r="C147" s="135"/>
      <c r="D147" s="108"/>
      <c r="E147" s="136"/>
      <c r="F147" s="188">
        <f t="shared" si="46"/>
        <v>0</v>
      </c>
      <c r="G147" s="229"/>
      <c r="H147" s="230"/>
      <c r="I147" s="271">
        <f aca="true" t="shared" si="47" ref="I147:I165">F147+G147+H147</f>
        <v>0</v>
      </c>
      <c r="J147" s="305"/>
      <c r="K147" s="7"/>
      <c r="L147" s="271">
        <f aca="true" t="shared" si="48" ref="L147:L165">I147+J147+K147</f>
        <v>0</v>
      </c>
      <c r="M147" s="21"/>
      <c r="N147" s="7"/>
      <c r="O147" s="22">
        <f>L147+M147+N147</f>
        <v>0</v>
      </c>
      <c r="P147" s="75"/>
      <c r="Q147" s="73">
        <f>O147+P147</f>
        <v>0</v>
      </c>
      <c r="R147" s="87"/>
    </row>
    <row r="148" spans="1:18" ht="12.75" hidden="1">
      <c r="A148" s="93" t="s">
        <v>289</v>
      </c>
      <c r="B148" s="92">
        <v>2045</v>
      </c>
      <c r="C148" s="135"/>
      <c r="D148" s="108"/>
      <c r="E148" s="136"/>
      <c r="F148" s="188">
        <f t="shared" si="46"/>
        <v>0</v>
      </c>
      <c r="G148" s="229"/>
      <c r="H148" s="230"/>
      <c r="I148" s="271">
        <f t="shared" si="47"/>
        <v>0</v>
      </c>
      <c r="J148" s="305"/>
      <c r="K148" s="7"/>
      <c r="L148" s="271">
        <f t="shared" si="48"/>
        <v>0</v>
      </c>
      <c r="M148" s="21"/>
      <c r="N148" s="7"/>
      <c r="O148" s="22"/>
      <c r="P148" s="75"/>
      <c r="Q148" s="73"/>
      <c r="R148" s="87"/>
    </row>
    <row r="149" spans="1:18" ht="12" customHeight="1">
      <c r="A149" s="93" t="s">
        <v>336</v>
      </c>
      <c r="B149" s="92">
        <v>2046</v>
      </c>
      <c r="C149" s="135"/>
      <c r="D149" s="108">
        <f>2168.58</f>
        <v>2168.58</v>
      </c>
      <c r="E149" s="136"/>
      <c r="F149" s="188">
        <f t="shared" si="46"/>
        <v>2168.58</v>
      </c>
      <c r="G149" s="229"/>
      <c r="H149" s="230"/>
      <c r="I149" s="271">
        <f t="shared" si="47"/>
        <v>2168.58</v>
      </c>
      <c r="J149" s="305"/>
      <c r="K149" s="7"/>
      <c r="L149" s="271">
        <f t="shared" si="48"/>
        <v>2168.58</v>
      </c>
      <c r="M149" s="21"/>
      <c r="N149" s="7"/>
      <c r="O149" s="22"/>
      <c r="P149" s="75"/>
      <c r="Q149" s="73"/>
      <c r="R149" s="87"/>
    </row>
    <row r="150" spans="1:18" ht="12" customHeight="1">
      <c r="A150" s="93" t="s">
        <v>341</v>
      </c>
      <c r="B150" s="92"/>
      <c r="C150" s="135"/>
      <c r="D150" s="108"/>
      <c r="E150" s="136"/>
      <c r="F150" s="188">
        <f t="shared" si="46"/>
        <v>0</v>
      </c>
      <c r="G150" s="229">
        <f>5884.29</f>
        <v>5884.29</v>
      </c>
      <c r="H150" s="230"/>
      <c r="I150" s="271">
        <f t="shared" si="47"/>
        <v>5884.29</v>
      </c>
      <c r="J150" s="305"/>
      <c r="K150" s="7"/>
      <c r="L150" s="271">
        <f t="shared" si="48"/>
        <v>5884.29</v>
      </c>
      <c r="M150" s="21"/>
      <c r="N150" s="7"/>
      <c r="O150" s="22"/>
      <c r="P150" s="75"/>
      <c r="Q150" s="73"/>
      <c r="R150" s="87"/>
    </row>
    <row r="151" spans="1:18" ht="12.75">
      <c r="A151" s="93" t="s">
        <v>337</v>
      </c>
      <c r="B151" s="92">
        <v>2016</v>
      </c>
      <c r="C151" s="135"/>
      <c r="D151" s="108">
        <f>1499.04</f>
        <v>1499.04</v>
      </c>
      <c r="E151" s="136"/>
      <c r="F151" s="188">
        <f t="shared" si="46"/>
        <v>1499.04</v>
      </c>
      <c r="G151" s="229"/>
      <c r="H151" s="230"/>
      <c r="I151" s="271">
        <f t="shared" si="47"/>
        <v>1499.04</v>
      </c>
      <c r="J151" s="305"/>
      <c r="K151" s="7"/>
      <c r="L151" s="271">
        <f t="shared" si="48"/>
        <v>1499.04</v>
      </c>
      <c r="M151" s="21"/>
      <c r="N151" s="7"/>
      <c r="O151" s="22"/>
      <c r="P151" s="75"/>
      <c r="Q151" s="73"/>
      <c r="R151" s="87"/>
    </row>
    <row r="152" spans="1:18" ht="12.75">
      <c r="A152" s="93" t="s">
        <v>312</v>
      </c>
      <c r="B152" s="92"/>
      <c r="C152" s="135"/>
      <c r="D152" s="108">
        <f>614.77</f>
        <v>614.77</v>
      </c>
      <c r="E152" s="136"/>
      <c r="F152" s="188">
        <f t="shared" si="46"/>
        <v>614.77</v>
      </c>
      <c r="G152" s="229"/>
      <c r="H152" s="230"/>
      <c r="I152" s="271">
        <f t="shared" si="47"/>
        <v>614.77</v>
      </c>
      <c r="J152" s="305"/>
      <c r="K152" s="7"/>
      <c r="L152" s="271">
        <f t="shared" si="48"/>
        <v>614.77</v>
      </c>
      <c r="M152" s="21"/>
      <c r="N152" s="7"/>
      <c r="O152" s="22"/>
      <c r="P152" s="75"/>
      <c r="Q152" s="73"/>
      <c r="R152" s="87"/>
    </row>
    <row r="153" spans="1:18" ht="12.75">
      <c r="A153" s="42" t="s">
        <v>330</v>
      </c>
      <c r="B153" s="92">
        <v>2064</v>
      </c>
      <c r="C153" s="135"/>
      <c r="D153" s="108">
        <f>20.96</f>
        <v>20.96</v>
      </c>
      <c r="E153" s="136"/>
      <c r="F153" s="188">
        <f t="shared" si="46"/>
        <v>20.96</v>
      </c>
      <c r="G153" s="229">
        <f>102.5</f>
        <v>102.5</v>
      </c>
      <c r="H153" s="230"/>
      <c r="I153" s="271">
        <f t="shared" si="47"/>
        <v>123.46000000000001</v>
      </c>
      <c r="J153" s="305">
        <f>-102.5-20.96</f>
        <v>-123.46000000000001</v>
      </c>
      <c r="K153" s="7"/>
      <c r="L153" s="271">
        <f t="shared" si="48"/>
        <v>0</v>
      </c>
      <c r="M153" s="21"/>
      <c r="N153" s="7"/>
      <c r="O153" s="22"/>
      <c r="P153" s="75"/>
      <c r="Q153" s="73"/>
      <c r="R153" s="87"/>
    </row>
    <row r="154" spans="1:18" ht="12.75">
      <c r="A154" s="42" t="s">
        <v>331</v>
      </c>
      <c r="B154" s="92">
        <v>2079</v>
      </c>
      <c r="C154" s="135"/>
      <c r="D154" s="108">
        <f>3750</f>
        <v>3750</v>
      </c>
      <c r="E154" s="136"/>
      <c r="F154" s="188">
        <f t="shared" si="46"/>
        <v>3750</v>
      </c>
      <c r="G154" s="229">
        <f>34.92</f>
        <v>34.92</v>
      </c>
      <c r="H154" s="230"/>
      <c r="I154" s="271">
        <f t="shared" si="47"/>
        <v>3784.92</v>
      </c>
      <c r="J154" s="305">
        <f>12.31</f>
        <v>12.31</v>
      </c>
      <c r="K154" s="7"/>
      <c r="L154" s="271">
        <f t="shared" si="48"/>
        <v>3797.23</v>
      </c>
      <c r="M154" s="21"/>
      <c r="N154" s="7"/>
      <c r="O154" s="22"/>
      <c r="P154" s="75"/>
      <c r="Q154" s="73"/>
      <c r="R154" s="87"/>
    </row>
    <row r="155" spans="1:18" ht="12.75">
      <c r="A155" s="93" t="s">
        <v>295</v>
      </c>
      <c r="B155" s="92">
        <v>2079</v>
      </c>
      <c r="C155" s="135"/>
      <c r="D155" s="108"/>
      <c r="E155" s="136"/>
      <c r="F155" s="188">
        <f t="shared" si="46"/>
        <v>0</v>
      </c>
      <c r="G155" s="229">
        <f>185.49</f>
        <v>185.49</v>
      </c>
      <c r="H155" s="230"/>
      <c r="I155" s="271">
        <f t="shared" si="47"/>
        <v>185.49</v>
      </c>
      <c r="J155" s="305">
        <f>-34.1</f>
        <v>-34.1</v>
      </c>
      <c r="K155" s="7"/>
      <c r="L155" s="271">
        <f t="shared" si="48"/>
        <v>151.39000000000001</v>
      </c>
      <c r="M155" s="21"/>
      <c r="N155" s="7"/>
      <c r="O155" s="22"/>
      <c r="P155" s="75"/>
      <c r="Q155" s="73"/>
      <c r="R155" s="87"/>
    </row>
    <row r="156" spans="1:18" ht="12.75" hidden="1">
      <c r="A156" s="42" t="s">
        <v>332</v>
      </c>
      <c r="B156" s="92">
        <v>2067</v>
      </c>
      <c r="C156" s="135"/>
      <c r="D156" s="108"/>
      <c r="E156" s="136"/>
      <c r="F156" s="188">
        <f t="shared" si="46"/>
        <v>0</v>
      </c>
      <c r="G156" s="229"/>
      <c r="H156" s="230"/>
      <c r="I156" s="271">
        <f t="shared" si="47"/>
        <v>0</v>
      </c>
      <c r="J156" s="305"/>
      <c r="K156" s="7"/>
      <c r="L156" s="271">
        <f t="shared" si="48"/>
        <v>0</v>
      </c>
      <c r="M156" s="21"/>
      <c r="N156" s="7"/>
      <c r="O156" s="22"/>
      <c r="P156" s="75"/>
      <c r="Q156" s="73"/>
      <c r="R156" s="87"/>
    </row>
    <row r="157" spans="1:18" ht="12.75" hidden="1">
      <c r="A157" s="93" t="s">
        <v>287</v>
      </c>
      <c r="B157" s="92">
        <v>2067</v>
      </c>
      <c r="C157" s="135"/>
      <c r="D157" s="108"/>
      <c r="E157" s="136"/>
      <c r="F157" s="188">
        <f t="shared" si="46"/>
        <v>0</v>
      </c>
      <c r="G157" s="229"/>
      <c r="H157" s="230"/>
      <c r="I157" s="271">
        <f t="shared" si="47"/>
        <v>0</v>
      </c>
      <c r="J157" s="305"/>
      <c r="K157" s="7"/>
      <c r="L157" s="271">
        <f t="shared" si="48"/>
        <v>0</v>
      </c>
      <c r="M157" s="21"/>
      <c r="N157" s="7"/>
      <c r="O157" s="22"/>
      <c r="P157" s="75"/>
      <c r="Q157" s="73"/>
      <c r="R157" s="87"/>
    </row>
    <row r="158" spans="1:18" ht="12.75">
      <c r="A158" s="93" t="s">
        <v>333</v>
      </c>
      <c r="B158" s="92">
        <v>2074</v>
      </c>
      <c r="C158" s="135"/>
      <c r="D158" s="108">
        <f>1621.81</f>
        <v>1621.81</v>
      </c>
      <c r="E158" s="136"/>
      <c r="F158" s="188">
        <f t="shared" si="46"/>
        <v>1621.81</v>
      </c>
      <c r="G158" s="229"/>
      <c r="H158" s="230"/>
      <c r="I158" s="271">
        <f t="shared" si="47"/>
        <v>1621.81</v>
      </c>
      <c r="J158" s="305"/>
      <c r="K158" s="7"/>
      <c r="L158" s="271">
        <f t="shared" si="48"/>
        <v>1621.81</v>
      </c>
      <c r="M158" s="21"/>
      <c r="N158" s="7"/>
      <c r="O158" s="22"/>
      <c r="P158" s="75"/>
      <c r="Q158" s="73"/>
      <c r="R158" s="87"/>
    </row>
    <row r="159" spans="1:18" ht="12.75">
      <c r="A159" s="93" t="s">
        <v>297</v>
      </c>
      <c r="B159" s="92">
        <v>2074</v>
      </c>
      <c r="C159" s="135"/>
      <c r="D159" s="108"/>
      <c r="E159" s="136"/>
      <c r="F159" s="188">
        <f t="shared" si="46"/>
        <v>0</v>
      </c>
      <c r="G159" s="229">
        <f>1340.02</f>
        <v>1340.02</v>
      </c>
      <c r="H159" s="230"/>
      <c r="I159" s="271">
        <f t="shared" si="47"/>
        <v>1340.02</v>
      </c>
      <c r="J159" s="305"/>
      <c r="K159" s="7"/>
      <c r="L159" s="271">
        <f t="shared" si="48"/>
        <v>1340.02</v>
      </c>
      <c r="M159" s="21"/>
      <c r="N159" s="7"/>
      <c r="O159" s="22"/>
      <c r="P159" s="75"/>
      <c r="Q159" s="73"/>
      <c r="R159" s="87"/>
    </row>
    <row r="160" spans="1:18" ht="12.75" hidden="1">
      <c r="A160" s="93" t="s">
        <v>366</v>
      </c>
      <c r="B160" s="92">
        <v>1501</v>
      </c>
      <c r="C160" s="135"/>
      <c r="D160" s="108"/>
      <c r="E160" s="136"/>
      <c r="F160" s="188"/>
      <c r="G160" s="229"/>
      <c r="H160" s="230"/>
      <c r="I160" s="271">
        <f t="shared" si="47"/>
        <v>0</v>
      </c>
      <c r="J160" s="305"/>
      <c r="K160" s="7"/>
      <c r="L160" s="271">
        <f t="shared" si="48"/>
        <v>0</v>
      </c>
      <c r="M160" s="21"/>
      <c r="N160" s="7"/>
      <c r="O160" s="22"/>
      <c r="P160" s="75"/>
      <c r="Q160" s="73"/>
      <c r="R160" s="87"/>
    </row>
    <row r="161" spans="1:18" ht="12.75" hidden="1">
      <c r="A161" s="93" t="s">
        <v>334</v>
      </c>
      <c r="B161" s="92">
        <v>2068</v>
      </c>
      <c r="C161" s="135"/>
      <c r="D161" s="108"/>
      <c r="E161" s="136"/>
      <c r="F161" s="188">
        <f t="shared" si="46"/>
        <v>0</v>
      </c>
      <c r="G161" s="229"/>
      <c r="H161" s="230"/>
      <c r="I161" s="271">
        <f t="shared" si="47"/>
        <v>0</v>
      </c>
      <c r="J161" s="305"/>
      <c r="K161" s="7"/>
      <c r="L161" s="271">
        <f t="shared" si="48"/>
        <v>0</v>
      </c>
      <c r="M161" s="21"/>
      <c r="N161" s="7"/>
      <c r="O161" s="22"/>
      <c r="P161" s="75"/>
      <c r="Q161" s="73"/>
      <c r="R161" s="87"/>
    </row>
    <row r="162" spans="1:18" ht="12.75" hidden="1">
      <c r="A162" s="93" t="s">
        <v>335</v>
      </c>
      <c r="B162" s="92">
        <v>2242</v>
      </c>
      <c r="C162" s="135"/>
      <c r="D162" s="108"/>
      <c r="E162" s="136"/>
      <c r="F162" s="188">
        <f t="shared" si="46"/>
        <v>0</v>
      </c>
      <c r="G162" s="229"/>
      <c r="H162" s="230"/>
      <c r="I162" s="271">
        <f t="shared" si="47"/>
        <v>0</v>
      </c>
      <c r="J162" s="305"/>
      <c r="K162" s="7"/>
      <c r="L162" s="271">
        <f t="shared" si="48"/>
        <v>0</v>
      </c>
      <c r="M162" s="21"/>
      <c r="N162" s="7"/>
      <c r="O162" s="22"/>
      <c r="P162" s="75"/>
      <c r="Q162" s="73"/>
      <c r="R162" s="87"/>
    </row>
    <row r="163" spans="1:18" ht="12.75">
      <c r="A163" s="42" t="s">
        <v>338</v>
      </c>
      <c r="B163" s="92">
        <v>2071</v>
      </c>
      <c r="C163" s="135"/>
      <c r="D163" s="108">
        <f>328.83</f>
        <v>328.83</v>
      </c>
      <c r="E163" s="136"/>
      <c r="F163" s="188">
        <f t="shared" si="46"/>
        <v>328.83</v>
      </c>
      <c r="G163" s="229"/>
      <c r="H163" s="230"/>
      <c r="I163" s="271">
        <f t="shared" si="47"/>
        <v>328.83</v>
      </c>
      <c r="J163" s="305"/>
      <c r="K163" s="7"/>
      <c r="L163" s="271">
        <f t="shared" si="48"/>
        <v>328.83</v>
      </c>
      <c r="M163" s="21"/>
      <c r="N163" s="7"/>
      <c r="O163" s="22"/>
      <c r="P163" s="75"/>
      <c r="Q163" s="73"/>
      <c r="R163" s="87"/>
    </row>
    <row r="164" spans="1:18" ht="12.75" hidden="1">
      <c r="A164" s="93" t="s">
        <v>353</v>
      </c>
      <c r="B164" s="92">
        <v>2052</v>
      </c>
      <c r="C164" s="135"/>
      <c r="D164" s="108"/>
      <c r="E164" s="136"/>
      <c r="F164" s="188">
        <f t="shared" si="46"/>
        <v>0</v>
      </c>
      <c r="G164" s="229"/>
      <c r="H164" s="230"/>
      <c r="I164" s="271">
        <f t="shared" si="47"/>
        <v>0</v>
      </c>
      <c r="J164" s="305"/>
      <c r="K164" s="7"/>
      <c r="L164" s="271">
        <f t="shared" si="48"/>
        <v>0</v>
      </c>
      <c r="M164" s="21"/>
      <c r="N164" s="7"/>
      <c r="O164" s="22"/>
      <c r="P164" s="75"/>
      <c r="Q164" s="73"/>
      <c r="R164" s="87"/>
    </row>
    <row r="165" spans="1:18" ht="12.75">
      <c r="A165" s="33" t="s">
        <v>77</v>
      </c>
      <c r="B165" s="92"/>
      <c r="C165" s="135">
        <v>1050</v>
      </c>
      <c r="D165" s="108">
        <f>914+100+5650.67+130.6+940.53+522.14</f>
        <v>8257.94</v>
      </c>
      <c r="E165" s="136"/>
      <c r="F165" s="188">
        <f t="shared" si="46"/>
        <v>9307.94</v>
      </c>
      <c r="G165" s="229">
        <f>15.83+269.02+1600</f>
        <v>1884.85</v>
      </c>
      <c r="H165" s="230"/>
      <c r="I165" s="271">
        <f t="shared" si="47"/>
        <v>11192.79</v>
      </c>
      <c r="J165" s="305">
        <f>102.5+294.23+17.31+17.5+297.58+20.96</f>
        <v>750.08</v>
      </c>
      <c r="K165" s="7"/>
      <c r="L165" s="271">
        <f t="shared" si="48"/>
        <v>11942.87</v>
      </c>
      <c r="M165" s="21"/>
      <c r="N165" s="7"/>
      <c r="O165" s="22"/>
      <c r="P165" s="75"/>
      <c r="Q165" s="73"/>
      <c r="R165" s="87"/>
    </row>
    <row r="166" spans="1:18" ht="12.75">
      <c r="A166" s="40" t="s">
        <v>54</v>
      </c>
      <c r="B166" s="96"/>
      <c r="C166" s="158">
        <f>SUM(C168:C175)</f>
        <v>0</v>
      </c>
      <c r="D166" s="118">
        <f aca="true" t="shared" si="49" ref="D166:Q166">SUM(D168:D175)</f>
        <v>60848.32</v>
      </c>
      <c r="E166" s="174">
        <f t="shared" si="49"/>
        <v>0</v>
      </c>
      <c r="F166" s="193">
        <f t="shared" si="49"/>
        <v>60848.32</v>
      </c>
      <c r="G166" s="239">
        <f t="shared" si="49"/>
        <v>60695.899999999994</v>
      </c>
      <c r="H166" s="240">
        <f t="shared" si="49"/>
        <v>0</v>
      </c>
      <c r="I166" s="275">
        <f t="shared" si="49"/>
        <v>121544.22</v>
      </c>
      <c r="J166" s="292">
        <f t="shared" si="49"/>
        <v>22350.62</v>
      </c>
      <c r="K166" s="240">
        <f t="shared" si="49"/>
        <v>0</v>
      </c>
      <c r="L166" s="275">
        <f t="shared" si="49"/>
        <v>143894.84</v>
      </c>
      <c r="M166" s="117">
        <f t="shared" si="49"/>
        <v>0</v>
      </c>
      <c r="N166" s="117">
        <f t="shared" si="49"/>
        <v>0</v>
      </c>
      <c r="O166" s="117">
        <f t="shared" si="49"/>
        <v>110.33</v>
      </c>
      <c r="P166" s="117">
        <f t="shared" si="49"/>
        <v>0</v>
      </c>
      <c r="Q166" s="193">
        <f t="shared" si="49"/>
        <v>110.33</v>
      </c>
      <c r="R166" s="87"/>
    </row>
    <row r="167" spans="1:18" ht="12.75">
      <c r="A167" s="42" t="s">
        <v>26</v>
      </c>
      <c r="B167" s="92"/>
      <c r="C167" s="135"/>
      <c r="D167" s="108"/>
      <c r="E167" s="136"/>
      <c r="F167" s="188"/>
      <c r="G167" s="229"/>
      <c r="H167" s="230"/>
      <c r="I167" s="271"/>
      <c r="J167" s="305"/>
      <c r="K167" s="7"/>
      <c r="L167" s="271"/>
      <c r="M167" s="21"/>
      <c r="N167" s="7"/>
      <c r="O167" s="22"/>
      <c r="P167" s="75"/>
      <c r="Q167" s="73"/>
      <c r="R167" s="87"/>
    </row>
    <row r="168" spans="1:18" ht="12.75" hidden="1">
      <c r="A168" s="42" t="s">
        <v>296</v>
      </c>
      <c r="B168" s="92">
        <v>2057</v>
      </c>
      <c r="C168" s="135"/>
      <c r="D168" s="108"/>
      <c r="E168" s="136"/>
      <c r="F168" s="188">
        <f aca="true" t="shared" si="50" ref="F168:F175">C168+D168+E168</f>
        <v>0</v>
      </c>
      <c r="G168" s="229"/>
      <c r="H168" s="230"/>
      <c r="I168" s="271">
        <f aca="true" t="shared" si="51" ref="I168:I175">F168+G168+H168</f>
        <v>0</v>
      </c>
      <c r="J168" s="305"/>
      <c r="K168" s="7"/>
      <c r="L168" s="271">
        <f>I168+J168+K168</f>
        <v>0</v>
      </c>
      <c r="M168" s="21"/>
      <c r="N168" s="7"/>
      <c r="O168" s="22">
        <f>L168+M168+N168</f>
        <v>0</v>
      </c>
      <c r="P168" s="75"/>
      <c r="Q168" s="73">
        <f aca="true" t="shared" si="52" ref="Q168:Q232">O168+P168</f>
        <v>0</v>
      </c>
      <c r="R168" s="87"/>
    </row>
    <row r="169" spans="1:18" ht="12.75" hidden="1">
      <c r="A169" s="42" t="s">
        <v>290</v>
      </c>
      <c r="B169" s="92">
        <v>2064</v>
      </c>
      <c r="C169" s="135"/>
      <c r="D169" s="108"/>
      <c r="E169" s="136"/>
      <c r="F169" s="188">
        <f t="shared" si="50"/>
        <v>0</v>
      </c>
      <c r="G169" s="229"/>
      <c r="H169" s="230"/>
      <c r="I169" s="271">
        <f t="shared" si="51"/>
        <v>0</v>
      </c>
      <c r="J169" s="305"/>
      <c r="K169" s="7"/>
      <c r="L169" s="271"/>
      <c r="M169" s="21"/>
      <c r="N169" s="7"/>
      <c r="O169" s="22"/>
      <c r="P169" s="75"/>
      <c r="Q169" s="73"/>
      <c r="R169" s="87"/>
    </row>
    <row r="170" spans="1:18" ht="12.75">
      <c r="A170" s="42" t="s">
        <v>331</v>
      </c>
      <c r="B170" s="92">
        <v>2079</v>
      </c>
      <c r="C170" s="135"/>
      <c r="D170" s="108">
        <f>60848.32</f>
        <v>60848.32</v>
      </c>
      <c r="E170" s="136"/>
      <c r="F170" s="188">
        <f t="shared" si="50"/>
        <v>60848.32</v>
      </c>
      <c r="G170" s="229"/>
      <c r="H170" s="230"/>
      <c r="I170" s="271">
        <f t="shared" si="51"/>
        <v>60848.32</v>
      </c>
      <c r="J170" s="305"/>
      <c r="K170" s="7"/>
      <c r="L170" s="271">
        <f aca="true" t="shared" si="53" ref="L170:L175">I170+J170+K170</f>
        <v>60848.32</v>
      </c>
      <c r="M170" s="21"/>
      <c r="N170" s="7"/>
      <c r="O170" s="22"/>
      <c r="P170" s="75"/>
      <c r="Q170" s="73"/>
      <c r="R170" s="87"/>
    </row>
    <row r="171" spans="1:18" ht="12.75">
      <c r="A171" s="93" t="s">
        <v>295</v>
      </c>
      <c r="B171" s="92">
        <v>2079</v>
      </c>
      <c r="C171" s="135"/>
      <c r="D171" s="108"/>
      <c r="E171" s="136"/>
      <c r="F171" s="188">
        <f t="shared" si="50"/>
        <v>0</v>
      </c>
      <c r="G171" s="229">
        <f>3826.81</f>
        <v>3826.81</v>
      </c>
      <c r="H171" s="230"/>
      <c r="I171" s="271">
        <f t="shared" si="51"/>
        <v>3826.81</v>
      </c>
      <c r="J171" s="305">
        <f>34.1</f>
        <v>34.1</v>
      </c>
      <c r="K171" s="7"/>
      <c r="L171" s="271">
        <f t="shared" si="53"/>
        <v>3860.91</v>
      </c>
      <c r="M171" s="21"/>
      <c r="N171" s="7"/>
      <c r="O171" s="22"/>
      <c r="P171" s="75"/>
      <c r="Q171" s="73"/>
      <c r="R171" s="87"/>
    </row>
    <row r="172" spans="1:18" ht="12.75">
      <c r="A172" s="93" t="s">
        <v>352</v>
      </c>
      <c r="B172" s="92">
        <v>2084</v>
      </c>
      <c r="C172" s="135"/>
      <c r="D172" s="108"/>
      <c r="E172" s="136"/>
      <c r="F172" s="188">
        <f t="shared" si="50"/>
        <v>0</v>
      </c>
      <c r="G172" s="229">
        <f>56769.09</f>
        <v>56769.09</v>
      </c>
      <c r="H172" s="230"/>
      <c r="I172" s="271">
        <f t="shared" si="51"/>
        <v>56769.09</v>
      </c>
      <c r="J172" s="305">
        <f>22306.19</f>
        <v>22306.19</v>
      </c>
      <c r="K172" s="7"/>
      <c r="L172" s="271">
        <f t="shared" si="53"/>
        <v>79075.28</v>
      </c>
      <c r="M172" s="21"/>
      <c r="N172" s="7"/>
      <c r="O172" s="22"/>
      <c r="P172" s="75"/>
      <c r="Q172" s="73"/>
      <c r="R172" s="87"/>
    </row>
    <row r="173" spans="1:18" ht="12.75" hidden="1">
      <c r="A173" s="33" t="s">
        <v>69</v>
      </c>
      <c r="B173" s="92"/>
      <c r="C173" s="135"/>
      <c r="D173" s="108"/>
      <c r="E173" s="136"/>
      <c r="F173" s="188">
        <f t="shared" si="50"/>
        <v>0</v>
      </c>
      <c r="G173" s="229"/>
      <c r="H173" s="230"/>
      <c r="I173" s="271">
        <f t="shared" si="51"/>
        <v>0</v>
      </c>
      <c r="J173" s="305"/>
      <c r="K173" s="7"/>
      <c r="L173" s="271">
        <f t="shared" si="53"/>
        <v>0</v>
      </c>
      <c r="M173" s="21"/>
      <c r="N173" s="7"/>
      <c r="O173" s="22">
        <f>L173+M173+N173</f>
        <v>0</v>
      </c>
      <c r="P173" s="75"/>
      <c r="Q173" s="73">
        <f t="shared" si="52"/>
        <v>0</v>
      </c>
      <c r="R173" s="87"/>
    </row>
    <row r="174" spans="1:18" ht="12.75" hidden="1">
      <c r="A174" s="36" t="s">
        <v>55</v>
      </c>
      <c r="B174" s="95"/>
      <c r="C174" s="157"/>
      <c r="D174" s="116"/>
      <c r="E174" s="214"/>
      <c r="F174" s="224">
        <f t="shared" si="50"/>
        <v>0</v>
      </c>
      <c r="G174" s="229"/>
      <c r="H174" s="230"/>
      <c r="I174" s="271">
        <f t="shared" si="51"/>
        <v>0</v>
      </c>
      <c r="J174" s="305"/>
      <c r="K174" s="7"/>
      <c r="L174" s="271">
        <f t="shared" si="53"/>
        <v>0</v>
      </c>
      <c r="M174" s="21"/>
      <c r="N174" s="7"/>
      <c r="O174" s="22">
        <f>L174+M174+N174</f>
        <v>0</v>
      </c>
      <c r="P174" s="75"/>
      <c r="Q174" s="73">
        <f t="shared" si="52"/>
        <v>0</v>
      </c>
      <c r="R174" s="87"/>
    </row>
    <row r="175" spans="1:18" ht="12.75">
      <c r="A175" s="36" t="s">
        <v>77</v>
      </c>
      <c r="B175" s="95"/>
      <c r="C175" s="157"/>
      <c r="D175" s="116"/>
      <c r="E175" s="214"/>
      <c r="F175" s="224">
        <f t="shared" si="50"/>
        <v>0</v>
      </c>
      <c r="G175" s="241">
        <f>100</f>
        <v>100</v>
      </c>
      <c r="H175" s="242"/>
      <c r="I175" s="276">
        <f t="shared" si="51"/>
        <v>100</v>
      </c>
      <c r="J175" s="310">
        <f>10.33</f>
        <v>10.33</v>
      </c>
      <c r="K175" s="10"/>
      <c r="L175" s="276">
        <f t="shared" si="53"/>
        <v>110.33</v>
      </c>
      <c r="M175" s="25"/>
      <c r="N175" s="10"/>
      <c r="O175" s="26">
        <f>L175+M175+N175</f>
        <v>110.33</v>
      </c>
      <c r="P175" s="78"/>
      <c r="Q175" s="79">
        <f t="shared" si="52"/>
        <v>110.33</v>
      </c>
      <c r="R175" s="87"/>
    </row>
    <row r="176" spans="1:18" ht="12.75">
      <c r="A176" s="30" t="s">
        <v>81</v>
      </c>
      <c r="B176" s="96"/>
      <c r="C176" s="142">
        <f aca="true" t="shared" si="54" ref="C176:Q176">C177+C221</f>
        <v>408411.32</v>
      </c>
      <c r="D176" s="107">
        <f t="shared" si="54"/>
        <v>9143252.959999997</v>
      </c>
      <c r="E176" s="143">
        <f t="shared" si="54"/>
        <v>0</v>
      </c>
      <c r="F176" s="187">
        <f t="shared" si="54"/>
        <v>9551664.279999997</v>
      </c>
      <c r="G176" s="227">
        <f t="shared" si="54"/>
        <v>129997.79</v>
      </c>
      <c r="H176" s="228">
        <f t="shared" si="54"/>
        <v>0</v>
      </c>
      <c r="I176" s="270">
        <f t="shared" si="54"/>
        <v>9681662.07</v>
      </c>
      <c r="J176" s="288">
        <f>J177+J221</f>
        <v>219844.96</v>
      </c>
      <c r="K176" s="228">
        <f>K177+K221</f>
        <v>0</v>
      </c>
      <c r="L176" s="270">
        <f>L177+L221</f>
        <v>9901507.029999997</v>
      </c>
      <c r="M176" s="106">
        <f t="shared" si="54"/>
        <v>0</v>
      </c>
      <c r="N176" s="106">
        <f t="shared" si="54"/>
        <v>0</v>
      </c>
      <c r="O176" s="106">
        <f t="shared" si="54"/>
        <v>830889.1499999999</v>
      </c>
      <c r="P176" s="106">
        <f t="shared" si="54"/>
        <v>0</v>
      </c>
      <c r="Q176" s="187">
        <f t="shared" si="54"/>
        <v>830889.1499999999</v>
      </c>
      <c r="R176" s="87"/>
    </row>
    <row r="177" spans="1:18" ht="12.75">
      <c r="A177" s="39" t="s">
        <v>49</v>
      </c>
      <c r="B177" s="96"/>
      <c r="C177" s="156">
        <f aca="true" t="shared" si="55" ref="C177:Q177">SUM(C179:C220)</f>
        <v>407671.32</v>
      </c>
      <c r="D177" s="115">
        <f t="shared" si="55"/>
        <v>9133182.859999998</v>
      </c>
      <c r="E177" s="173">
        <f t="shared" si="55"/>
        <v>0</v>
      </c>
      <c r="F177" s="192">
        <f t="shared" si="55"/>
        <v>9540854.179999998</v>
      </c>
      <c r="G177" s="237">
        <f t="shared" si="55"/>
        <v>122970.28</v>
      </c>
      <c r="H177" s="238">
        <f t="shared" si="55"/>
        <v>0</v>
      </c>
      <c r="I177" s="274">
        <f t="shared" si="55"/>
        <v>9663824.46</v>
      </c>
      <c r="J177" s="278">
        <f>SUM(J179:J220)</f>
        <v>210106.09</v>
      </c>
      <c r="K177" s="238">
        <f>SUM(K179:K220)</f>
        <v>0</v>
      </c>
      <c r="L177" s="274">
        <f>SUM(L179:L220)</f>
        <v>9873930.549999997</v>
      </c>
      <c r="M177" s="114">
        <f t="shared" si="55"/>
        <v>0</v>
      </c>
      <c r="N177" s="114">
        <f t="shared" si="55"/>
        <v>0</v>
      </c>
      <c r="O177" s="114">
        <f t="shared" si="55"/>
        <v>812298.21</v>
      </c>
      <c r="P177" s="114">
        <f t="shared" si="55"/>
        <v>0</v>
      </c>
      <c r="Q177" s="192">
        <f t="shared" si="55"/>
        <v>812298.21</v>
      </c>
      <c r="R177" s="87"/>
    </row>
    <row r="178" spans="1:18" ht="12.75">
      <c r="A178" s="31" t="s">
        <v>26</v>
      </c>
      <c r="B178" s="92"/>
      <c r="C178" s="135"/>
      <c r="D178" s="108"/>
      <c r="E178" s="136"/>
      <c r="F178" s="188"/>
      <c r="G178" s="229"/>
      <c r="H178" s="230"/>
      <c r="I178" s="271"/>
      <c r="J178" s="305"/>
      <c r="K178" s="7"/>
      <c r="L178" s="271"/>
      <c r="M178" s="21"/>
      <c r="N178" s="7"/>
      <c r="O178" s="22"/>
      <c r="P178" s="75"/>
      <c r="Q178" s="73"/>
      <c r="R178" s="87"/>
    </row>
    <row r="179" spans="1:18" ht="12.75">
      <c r="A179" s="37" t="s">
        <v>74</v>
      </c>
      <c r="B179" s="92"/>
      <c r="C179" s="135">
        <v>363888.25</v>
      </c>
      <c r="D179" s="108">
        <f>3679.9+16091.19+696</f>
        <v>20467.09</v>
      </c>
      <c r="E179" s="136"/>
      <c r="F179" s="188">
        <f aca="true" t="shared" si="56" ref="F179:F220">C179+D179+E179</f>
        <v>384355.34</v>
      </c>
      <c r="G179" s="229">
        <f>6051.24</f>
        <v>6051.24</v>
      </c>
      <c r="H179" s="230"/>
      <c r="I179" s="271">
        <f>F179+G179+H179</f>
        <v>390406.58</v>
      </c>
      <c r="J179" s="305">
        <f>6705.1+5000</f>
        <v>11705.1</v>
      </c>
      <c r="K179" s="7"/>
      <c r="L179" s="271">
        <f>I179+J179+K179</f>
        <v>402111.68</v>
      </c>
      <c r="M179" s="21"/>
      <c r="N179" s="7"/>
      <c r="O179" s="22">
        <f>L179+M179+N179</f>
        <v>402111.68</v>
      </c>
      <c r="P179" s="75"/>
      <c r="Q179" s="73">
        <f t="shared" si="52"/>
        <v>402111.68</v>
      </c>
      <c r="R179" s="87"/>
    </row>
    <row r="180" spans="1:18" ht="12.75">
      <c r="A180" s="37" t="s">
        <v>281</v>
      </c>
      <c r="B180" s="92">
        <v>33353</v>
      </c>
      <c r="C180" s="135"/>
      <c r="D180" s="108">
        <f>8955820.02</f>
        <v>8955820.02</v>
      </c>
      <c r="E180" s="136"/>
      <c r="F180" s="188">
        <f t="shared" si="56"/>
        <v>8955820.02</v>
      </c>
      <c r="G180" s="229"/>
      <c r="H180" s="230"/>
      <c r="I180" s="271">
        <f aca="true" t="shared" si="57" ref="I180:I215">F180+G180+H180</f>
        <v>8955820.02</v>
      </c>
      <c r="J180" s="305">
        <f>12692.03</f>
        <v>12692.03</v>
      </c>
      <c r="K180" s="7"/>
      <c r="L180" s="271">
        <f aca="true" t="shared" si="58" ref="L180:L219">I180+J180+K180</f>
        <v>8968512.049999999</v>
      </c>
      <c r="M180" s="21"/>
      <c r="N180" s="7"/>
      <c r="O180" s="22"/>
      <c r="P180" s="75"/>
      <c r="Q180" s="73"/>
      <c r="R180" s="87"/>
    </row>
    <row r="181" spans="1:18" ht="12.75" hidden="1">
      <c r="A181" s="37" t="s">
        <v>82</v>
      </c>
      <c r="B181" s="92">
        <v>33353</v>
      </c>
      <c r="C181" s="135"/>
      <c r="D181" s="119"/>
      <c r="E181" s="136"/>
      <c r="F181" s="188">
        <f t="shared" si="56"/>
        <v>0</v>
      </c>
      <c r="G181" s="229"/>
      <c r="H181" s="230"/>
      <c r="I181" s="271">
        <f t="shared" si="57"/>
        <v>0</v>
      </c>
      <c r="J181" s="305"/>
      <c r="K181" s="7"/>
      <c r="L181" s="271">
        <f t="shared" si="58"/>
        <v>0</v>
      </c>
      <c r="M181" s="21"/>
      <c r="N181" s="7"/>
      <c r="O181" s="22">
        <f aca="true" t="shared" si="59" ref="O181:O220">L181+M181+N181</f>
        <v>0</v>
      </c>
      <c r="P181" s="75"/>
      <c r="Q181" s="73">
        <f t="shared" si="52"/>
        <v>0</v>
      </c>
      <c r="R181" s="87"/>
    </row>
    <row r="182" spans="1:18" ht="13.5" hidden="1" thickBot="1">
      <c r="A182" s="202" t="s">
        <v>83</v>
      </c>
      <c r="B182" s="133">
        <v>33353</v>
      </c>
      <c r="C182" s="159"/>
      <c r="D182" s="134"/>
      <c r="E182" s="213"/>
      <c r="F182" s="223">
        <f t="shared" si="56"/>
        <v>0</v>
      </c>
      <c r="G182" s="229"/>
      <c r="H182" s="230"/>
      <c r="I182" s="271">
        <f t="shared" si="57"/>
        <v>0</v>
      </c>
      <c r="J182" s="305"/>
      <c r="K182" s="7"/>
      <c r="L182" s="271">
        <f t="shared" si="58"/>
        <v>0</v>
      </c>
      <c r="M182" s="21"/>
      <c r="N182" s="7"/>
      <c r="O182" s="22">
        <f t="shared" si="59"/>
        <v>0</v>
      </c>
      <c r="P182" s="75"/>
      <c r="Q182" s="73">
        <f t="shared" si="52"/>
        <v>0</v>
      </c>
      <c r="R182" s="87"/>
    </row>
    <row r="183" spans="1:18" ht="12.75">
      <c r="A183" s="37" t="s">
        <v>282</v>
      </c>
      <c r="B183" s="92">
        <v>33155</v>
      </c>
      <c r="C183" s="135"/>
      <c r="D183" s="119">
        <f>115949.1</f>
        <v>115949.1</v>
      </c>
      <c r="E183" s="136"/>
      <c r="F183" s="188">
        <f t="shared" si="56"/>
        <v>115949.1</v>
      </c>
      <c r="G183" s="229">
        <f>111324.54</f>
        <v>111324.54</v>
      </c>
      <c r="H183" s="230"/>
      <c r="I183" s="271">
        <f t="shared" si="57"/>
        <v>227273.64</v>
      </c>
      <c r="J183" s="305">
        <f>116717.2</f>
        <v>116717.2</v>
      </c>
      <c r="K183" s="7"/>
      <c r="L183" s="271">
        <f t="shared" si="58"/>
        <v>343990.84</v>
      </c>
      <c r="M183" s="21"/>
      <c r="N183" s="7"/>
      <c r="O183" s="22">
        <f t="shared" si="59"/>
        <v>343990.84</v>
      </c>
      <c r="P183" s="75"/>
      <c r="Q183" s="73">
        <f t="shared" si="52"/>
        <v>343990.84</v>
      </c>
      <c r="R183" s="87"/>
    </row>
    <row r="184" spans="1:18" ht="12.75" hidden="1">
      <c r="A184" s="37" t="s">
        <v>84</v>
      </c>
      <c r="B184" s="92" t="s">
        <v>211</v>
      </c>
      <c r="C184" s="135"/>
      <c r="D184" s="108"/>
      <c r="E184" s="136"/>
      <c r="F184" s="188">
        <f t="shared" si="56"/>
        <v>0</v>
      </c>
      <c r="G184" s="229"/>
      <c r="H184" s="230"/>
      <c r="I184" s="271">
        <f t="shared" si="57"/>
        <v>0</v>
      </c>
      <c r="J184" s="305"/>
      <c r="K184" s="7"/>
      <c r="L184" s="271">
        <f t="shared" si="58"/>
        <v>0</v>
      </c>
      <c r="M184" s="21"/>
      <c r="N184" s="7"/>
      <c r="O184" s="22">
        <f t="shared" si="59"/>
        <v>0</v>
      </c>
      <c r="P184" s="75"/>
      <c r="Q184" s="73">
        <f t="shared" si="52"/>
        <v>0</v>
      </c>
      <c r="R184" s="87"/>
    </row>
    <row r="185" spans="1:18" ht="12.75" hidden="1">
      <c r="A185" s="37" t="s">
        <v>138</v>
      </c>
      <c r="B185" s="92"/>
      <c r="C185" s="135"/>
      <c r="D185" s="108"/>
      <c r="E185" s="136"/>
      <c r="F185" s="188">
        <f t="shared" si="56"/>
        <v>0</v>
      </c>
      <c r="G185" s="229"/>
      <c r="H185" s="230"/>
      <c r="I185" s="271">
        <f t="shared" si="57"/>
        <v>0</v>
      </c>
      <c r="J185" s="305"/>
      <c r="K185" s="7"/>
      <c r="L185" s="271">
        <f t="shared" si="58"/>
        <v>0</v>
      </c>
      <c r="M185" s="21"/>
      <c r="N185" s="7"/>
      <c r="O185" s="22">
        <f t="shared" si="59"/>
        <v>0</v>
      </c>
      <c r="P185" s="75"/>
      <c r="Q185" s="73">
        <f t="shared" si="52"/>
        <v>0</v>
      </c>
      <c r="R185" s="87"/>
    </row>
    <row r="186" spans="1:18" ht="12.75" hidden="1">
      <c r="A186" s="37" t="s">
        <v>208</v>
      </c>
      <c r="B186" s="92">
        <v>33215</v>
      </c>
      <c r="C186" s="135"/>
      <c r="D186" s="108"/>
      <c r="E186" s="136"/>
      <c r="F186" s="188">
        <f t="shared" si="56"/>
        <v>0</v>
      </c>
      <c r="G186" s="229"/>
      <c r="H186" s="230"/>
      <c r="I186" s="271">
        <f t="shared" si="57"/>
        <v>0</v>
      </c>
      <c r="J186" s="305"/>
      <c r="K186" s="7"/>
      <c r="L186" s="271">
        <f t="shared" si="58"/>
        <v>0</v>
      </c>
      <c r="M186" s="21"/>
      <c r="N186" s="7"/>
      <c r="O186" s="22">
        <f t="shared" si="59"/>
        <v>0</v>
      </c>
      <c r="P186" s="75"/>
      <c r="Q186" s="73">
        <f t="shared" si="52"/>
        <v>0</v>
      </c>
      <c r="R186" s="87"/>
    </row>
    <row r="187" spans="1:18" ht="12.75" hidden="1">
      <c r="A187" s="37" t="s">
        <v>209</v>
      </c>
      <c r="B187" s="92">
        <v>33457</v>
      </c>
      <c r="C187" s="135"/>
      <c r="D187" s="108"/>
      <c r="E187" s="136"/>
      <c r="F187" s="188">
        <f t="shared" si="56"/>
        <v>0</v>
      </c>
      <c r="G187" s="229"/>
      <c r="H187" s="230"/>
      <c r="I187" s="271">
        <f t="shared" si="57"/>
        <v>0</v>
      </c>
      <c r="J187" s="305"/>
      <c r="K187" s="7"/>
      <c r="L187" s="271">
        <f t="shared" si="58"/>
        <v>0</v>
      </c>
      <c r="M187" s="21"/>
      <c r="N187" s="7"/>
      <c r="O187" s="22">
        <f t="shared" si="59"/>
        <v>0</v>
      </c>
      <c r="P187" s="75"/>
      <c r="Q187" s="73">
        <f t="shared" si="52"/>
        <v>0</v>
      </c>
      <c r="R187" s="87"/>
    </row>
    <row r="188" spans="1:18" ht="12.75" hidden="1">
      <c r="A188" s="53" t="s">
        <v>191</v>
      </c>
      <c r="B188" s="92">
        <v>33052</v>
      </c>
      <c r="C188" s="135"/>
      <c r="D188" s="108"/>
      <c r="E188" s="136"/>
      <c r="F188" s="188">
        <f t="shared" si="56"/>
        <v>0</v>
      </c>
      <c r="G188" s="229"/>
      <c r="H188" s="230"/>
      <c r="I188" s="271">
        <f t="shared" si="57"/>
        <v>0</v>
      </c>
      <c r="J188" s="305"/>
      <c r="K188" s="7"/>
      <c r="L188" s="271">
        <f t="shared" si="58"/>
        <v>0</v>
      </c>
      <c r="M188" s="21"/>
      <c r="N188" s="7"/>
      <c r="O188" s="22">
        <f t="shared" si="59"/>
        <v>0</v>
      </c>
      <c r="P188" s="75"/>
      <c r="Q188" s="73">
        <f t="shared" si="52"/>
        <v>0</v>
      </c>
      <c r="R188" s="87"/>
    </row>
    <row r="189" spans="1:18" ht="12.75" hidden="1">
      <c r="A189" s="53" t="s">
        <v>266</v>
      </c>
      <c r="B189" s="92">
        <v>33076</v>
      </c>
      <c r="C189" s="135"/>
      <c r="D189" s="108"/>
      <c r="E189" s="136"/>
      <c r="F189" s="188">
        <f t="shared" si="56"/>
        <v>0</v>
      </c>
      <c r="G189" s="229"/>
      <c r="H189" s="230"/>
      <c r="I189" s="271">
        <f t="shared" si="57"/>
        <v>0</v>
      </c>
      <c r="J189" s="305"/>
      <c r="K189" s="7"/>
      <c r="L189" s="271">
        <f t="shared" si="58"/>
        <v>0</v>
      </c>
      <c r="M189" s="21"/>
      <c r="N189" s="7"/>
      <c r="O189" s="22"/>
      <c r="P189" s="75"/>
      <c r="Q189" s="73"/>
      <c r="R189" s="87"/>
    </row>
    <row r="190" spans="1:18" ht="12.75" hidden="1">
      <c r="A190" s="53" t="s">
        <v>226</v>
      </c>
      <c r="B190" s="92">
        <v>33069</v>
      </c>
      <c r="C190" s="135"/>
      <c r="D190" s="108"/>
      <c r="E190" s="136"/>
      <c r="F190" s="188">
        <f t="shared" si="56"/>
        <v>0</v>
      </c>
      <c r="G190" s="229"/>
      <c r="H190" s="230"/>
      <c r="I190" s="271">
        <f t="shared" si="57"/>
        <v>0</v>
      </c>
      <c r="J190" s="305"/>
      <c r="K190" s="7"/>
      <c r="L190" s="271">
        <f t="shared" si="58"/>
        <v>0</v>
      </c>
      <c r="M190" s="21"/>
      <c r="N190" s="7"/>
      <c r="O190" s="22"/>
      <c r="P190" s="75"/>
      <c r="Q190" s="73"/>
      <c r="R190" s="87"/>
    </row>
    <row r="191" spans="1:18" ht="12.75" hidden="1">
      <c r="A191" s="53" t="s">
        <v>256</v>
      </c>
      <c r="B191" s="92">
        <v>33070</v>
      </c>
      <c r="C191" s="135"/>
      <c r="D191" s="108"/>
      <c r="E191" s="136"/>
      <c r="F191" s="188">
        <f t="shared" si="56"/>
        <v>0</v>
      </c>
      <c r="G191" s="229"/>
      <c r="H191" s="230"/>
      <c r="I191" s="271">
        <f t="shared" si="57"/>
        <v>0</v>
      </c>
      <c r="J191" s="305"/>
      <c r="K191" s="7"/>
      <c r="L191" s="271">
        <f t="shared" si="58"/>
        <v>0</v>
      </c>
      <c r="M191" s="21"/>
      <c r="N191" s="7"/>
      <c r="O191" s="22"/>
      <c r="P191" s="75"/>
      <c r="Q191" s="73"/>
      <c r="R191" s="87"/>
    </row>
    <row r="192" spans="1:18" ht="12.75" hidden="1">
      <c r="A192" s="37" t="s">
        <v>249</v>
      </c>
      <c r="B192" s="92">
        <v>33071</v>
      </c>
      <c r="C192" s="135"/>
      <c r="D192" s="108"/>
      <c r="E192" s="136"/>
      <c r="F192" s="188">
        <f t="shared" si="56"/>
        <v>0</v>
      </c>
      <c r="G192" s="229"/>
      <c r="H192" s="230"/>
      <c r="I192" s="271">
        <f t="shared" si="57"/>
        <v>0</v>
      </c>
      <c r="J192" s="305"/>
      <c r="K192" s="7"/>
      <c r="L192" s="271">
        <f t="shared" si="58"/>
        <v>0</v>
      </c>
      <c r="M192" s="21"/>
      <c r="N192" s="7"/>
      <c r="O192" s="22">
        <f t="shared" si="59"/>
        <v>0</v>
      </c>
      <c r="P192" s="75"/>
      <c r="Q192" s="73">
        <f t="shared" si="52"/>
        <v>0</v>
      </c>
      <c r="R192" s="87"/>
    </row>
    <row r="193" spans="1:18" ht="12.75" hidden="1">
      <c r="A193" s="37" t="s">
        <v>192</v>
      </c>
      <c r="B193" s="92">
        <v>33050</v>
      </c>
      <c r="C193" s="135"/>
      <c r="D193" s="108"/>
      <c r="E193" s="136"/>
      <c r="F193" s="188">
        <f t="shared" si="56"/>
        <v>0</v>
      </c>
      <c r="G193" s="229"/>
      <c r="H193" s="230"/>
      <c r="I193" s="271">
        <f t="shared" si="57"/>
        <v>0</v>
      </c>
      <c r="J193" s="305"/>
      <c r="K193" s="7"/>
      <c r="L193" s="271">
        <f t="shared" si="58"/>
        <v>0</v>
      </c>
      <c r="M193" s="21"/>
      <c r="N193" s="7"/>
      <c r="O193" s="22">
        <f t="shared" si="59"/>
        <v>0</v>
      </c>
      <c r="P193" s="75"/>
      <c r="Q193" s="73">
        <f t="shared" si="52"/>
        <v>0</v>
      </c>
      <c r="R193" s="87"/>
    </row>
    <row r="194" spans="1:18" ht="12.75" hidden="1">
      <c r="A194" s="37" t="s">
        <v>150</v>
      </c>
      <c r="B194" s="92">
        <v>33435</v>
      </c>
      <c r="C194" s="135"/>
      <c r="D194" s="108"/>
      <c r="E194" s="136"/>
      <c r="F194" s="188">
        <f t="shared" si="56"/>
        <v>0</v>
      </c>
      <c r="G194" s="229"/>
      <c r="H194" s="230"/>
      <c r="I194" s="271">
        <f t="shared" si="57"/>
        <v>0</v>
      </c>
      <c r="J194" s="305"/>
      <c r="K194" s="7"/>
      <c r="L194" s="271">
        <f t="shared" si="58"/>
        <v>0</v>
      </c>
      <c r="M194" s="21"/>
      <c r="N194" s="7"/>
      <c r="O194" s="22">
        <f t="shared" si="59"/>
        <v>0</v>
      </c>
      <c r="P194" s="75"/>
      <c r="Q194" s="73">
        <f t="shared" si="52"/>
        <v>0</v>
      </c>
      <c r="R194" s="87"/>
    </row>
    <row r="195" spans="1:18" ht="12.75" hidden="1">
      <c r="A195" s="37" t="s">
        <v>214</v>
      </c>
      <c r="B195" s="92">
        <v>33049</v>
      </c>
      <c r="C195" s="135"/>
      <c r="D195" s="108"/>
      <c r="E195" s="136"/>
      <c r="F195" s="188">
        <f t="shared" si="56"/>
        <v>0</v>
      </c>
      <c r="G195" s="229"/>
      <c r="H195" s="230"/>
      <c r="I195" s="271">
        <f t="shared" si="57"/>
        <v>0</v>
      </c>
      <c r="J195" s="305"/>
      <c r="K195" s="7"/>
      <c r="L195" s="271">
        <f t="shared" si="58"/>
        <v>0</v>
      </c>
      <c r="M195" s="21"/>
      <c r="N195" s="7"/>
      <c r="O195" s="22"/>
      <c r="P195" s="75"/>
      <c r="Q195" s="73"/>
      <c r="R195" s="87"/>
    </row>
    <row r="196" spans="1:18" ht="12.75" hidden="1">
      <c r="A196" s="37" t="s">
        <v>193</v>
      </c>
      <c r="B196" s="92">
        <v>33044</v>
      </c>
      <c r="C196" s="135"/>
      <c r="D196" s="108"/>
      <c r="E196" s="136"/>
      <c r="F196" s="188">
        <f t="shared" si="56"/>
        <v>0</v>
      </c>
      <c r="G196" s="229"/>
      <c r="H196" s="230"/>
      <c r="I196" s="271">
        <f t="shared" si="57"/>
        <v>0</v>
      </c>
      <c r="J196" s="305"/>
      <c r="K196" s="7"/>
      <c r="L196" s="271">
        <f t="shared" si="58"/>
        <v>0</v>
      </c>
      <c r="M196" s="21"/>
      <c r="N196" s="7"/>
      <c r="O196" s="22">
        <f t="shared" si="59"/>
        <v>0</v>
      </c>
      <c r="P196" s="75"/>
      <c r="Q196" s="73">
        <f t="shared" si="52"/>
        <v>0</v>
      </c>
      <c r="R196" s="87"/>
    </row>
    <row r="197" spans="1:18" ht="12.75" hidden="1">
      <c r="A197" s="37" t="s">
        <v>197</v>
      </c>
      <c r="B197" s="92">
        <v>33024</v>
      </c>
      <c r="C197" s="135"/>
      <c r="D197" s="108"/>
      <c r="E197" s="136"/>
      <c r="F197" s="188">
        <f t="shared" si="56"/>
        <v>0</v>
      </c>
      <c r="G197" s="229"/>
      <c r="H197" s="230"/>
      <c r="I197" s="271">
        <f t="shared" si="57"/>
        <v>0</v>
      </c>
      <c r="J197" s="305"/>
      <c r="K197" s="7"/>
      <c r="L197" s="271">
        <f t="shared" si="58"/>
        <v>0</v>
      </c>
      <c r="M197" s="21"/>
      <c r="N197" s="7"/>
      <c r="O197" s="22"/>
      <c r="P197" s="75"/>
      <c r="Q197" s="73"/>
      <c r="R197" s="87"/>
    </row>
    <row r="198" spans="1:18" ht="12.75" hidden="1">
      <c r="A198" s="53" t="s">
        <v>155</v>
      </c>
      <c r="B198" s="92">
        <v>33018</v>
      </c>
      <c r="C198" s="135"/>
      <c r="D198" s="108"/>
      <c r="E198" s="136"/>
      <c r="F198" s="188">
        <f t="shared" si="56"/>
        <v>0</v>
      </c>
      <c r="G198" s="229"/>
      <c r="H198" s="230"/>
      <c r="I198" s="271">
        <f t="shared" si="57"/>
        <v>0</v>
      </c>
      <c r="J198" s="305"/>
      <c r="K198" s="7"/>
      <c r="L198" s="271">
        <f t="shared" si="58"/>
        <v>0</v>
      </c>
      <c r="M198" s="21"/>
      <c r="N198" s="7"/>
      <c r="O198" s="22">
        <f t="shared" si="59"/>
        <v>0</v>
      </c>
      <c r="P198" s="75"/>
      <c r="Q198" s="73">
        <f t="shared" si="52"/>
        <v>0</v>
      </c>
      <c r="R198" s="87"/>
    </row>
    <row r="199" spans="1:18" ht="12.75" hidden="1">
      <c r="A199" s="35" t="s">
        <v>156</v>
      </c>
      <c r="B199" s="92"/>
      <c r="C199" s="135"/>
      <c r="D199" s="108"/>
      <c r="E199" s="136"/>
      <c r="F199" s="188">
        <f t="shared" si="56"/>
        <v>0</v>
      </c>
      <c r="G199" s="229"/>
      <c r="H199" s="230"/>
      <c r="I199" s="271">
        <f t="shared" si="57"/>
        <v>0</v>
      </c>
      <c r="J199" s="305"/>
      <c r="K199" s="7"/>
      <c r="L199" s="271">
        <f t="shared" si="58"/>
        <v>0</v>
      </c>
      <c r="M199" s="21"/>
      <c r="N199" s="7"/>
      <c r="O199" s="22">
        <f t="shared" si="59"/>
        <v>0</v>
      </c>
      <c r="P199" s="75"/>
      <c r="Q199" s="73">
        <f t="shared" si="52"/>
        <v>0</v>
      </c>
      <c r="R199" s="87"/>
    </row>
    <row r="200" spans="1:18" ht="12.75">
      <c r="A200" s="53" t="s">
        <v>175</v>
      </c>
      <c r="B200" s="92">
        <v>33160</v>
      </c>
      <c r="C200" s="135"/>
      <c r="D200" s="108"/>
      <c r="E200" s="136"/>
      <c r="F200" s="188">
        <f t="shared" si="56"/>
        <v>0</v>
      </c>
      <c r="G200" s="229">
        <f>96.9</f>
        <v>96.9</v>
      </c>
      <c r="H200" s="230"/>
      <c r="I200" s="271">
        <f t="shared" si="57"/>
        <v>96.9</v>
      </c>
      <c r="J200" s="305">
        <f>-59.89</f>
        <v>-59.89</v>
      </c>
      <c r="K200" s="7"/>
      <c r="L200" s="271">
        <f t="shared" si="58"/>
        <v>37.010000000000005</v>
      </c>
      <c r="M200" s="21"/>
      <c r="N200" s="7"/>
      <c r="O200" s="22">
        <f t="shared" si="59"/>
        <v>37.010000000000005</v>
      </c>
      <c r="P200" s="75"/>
      <c r="Q200" s="73">
        <f t="shared" si="52"/>
        <v>37.010000000000005</v>
      </c>
      <c r="R200" s="87"/>
    </row>
    <row r="201" spans="1:18" ht="13.5" thickBot="1">
      <c r="A201" s="202" t="s">
        <v>375</v>
      </c>
      <c r="B201" s="133">
        <v>33083</v>
      </c>
      <c r="C201" s="159"/>
      <c r="D201" s="134"/>
      <c r="E201" s="213"/>
      <c r="F201" s="223"/>
      <c r="G201" s="325"/>
      <c r="H201" s="326"/>
      <c r="I201" s="327">
        <f t="shared" si="57"/>
        <v>0</v>
      </c>
      <c r="J201" s="328">
        <f>696.2</f>
        <v>696.2</v>
      </c>
      <c r="K201" s="329"/>
      <c r="L201" s="327">
        <f t="shared" si="58"/>
        <v>696.2</v>
      </c>
      <c r="M201" s="21"/>
      <c r="N201" s="7"/>
      <c r="O201" s="22"/>
      <c r="P201" s="75"/>
      <c r="Q201" s="73"/>
      <c r="R201" s="87"/>
    </row>
    <row r="202" spans="1:18" ht="12.75" hidden="1">
      <c r="A202" s="37" t="s">
        <v>143</v>
      </c>
      <c r="B202" s="92"/>
      <c r="C202" s="135"/>
      <c r="D202" s="108"/>
      <c r="E202" s="136"/>
      <c r="F202" s="188">
        <f t="shared" si="56"/>
        <v>0</v>
      </c>
      <c r="G202" s="229"/>
      <c r="H202" s="230"/>
      <c r="I202" s="271">
        <f t="shared" si="57"/>
        <v>0</v>
      </c>
      <c r="J202" s="305"/>
      <c r="K202" s="7"/>
      <c r="L202" s="271">
        <f t="shared" si="58"/>
        <v>0</v>
      </c>
      <c r="M202" s="21"/>
      <c r="N202" s="7"/>
      <c r="O202" s="22">
        <f t="shared" si="59"/>
        <v>0</v>
      </c>
      <c r="P202" s="75"/>
      <c r="Q202" s="73">
        <f t="shared" si="52"/>
        <v>0</v>
      </c>
      <c r="R202" s="87"/>
    </row>
    <row r="203" spans="1:18" ht="12.75" hidden="1">
      <c r="A203" s="53" t="s">
        <v>133</v>
      </c>
      <c r="B203" s="92"/>
      <c r="C203" s="135"/>
      <c r="D203" s="108"/>
      <c r="E203" s="136"/>
      <c r="F203" s="188">
        <f t="shared" si="56"/>
        <v>0</v>
      </c>
      <c r="G203" s="229"/>
      <c r="H203" s="230"/>
      <c r="I203" s="271">
        <f t="shared" si="57"/>
        <v>0</v>
      </c>
      <c r="J203" s="305"/>
      <c r="K203" s="7"/>
      <c r="L203" s="271">
        <f t="shared" si="58"/>
        <v>0</v>
      </c>
      <c r="M203" s="21"/>
      <c r="N203" s="7"/>
      <c r="O203" s="22">
        <f t="shared" si="59"/>
        <v>0</v>
      </c>
      <c r="P203" s="75"/>
      <c r="Q203" s="73">
        <f t="shared" si="52"/>
        <v>0</v>
      </c>
      <c r="R203" s="87"/>
    </row>
    <row r="204" spans="1:18" ht="12.75" hidden="1">
      <c r="A204" s="53" t="s">
        <v>142</v>
      </c>
      <c r="B204" s="92"/>
      <c r="C204" s="135"/>
      <c r="D204" s="108"/>
      <c r="E204" s="136"/>
      <c r="F204" s="188">
        <f t="shared" si="56"/>
        <v>0</v>
      </c>
      <c r="G204" s="229"/>
      <c r="H204" s="230"/>
      <c r="I204" s="271">
        <f t="shared" si="57"/>
        <v>0</v>
      </c>
      <c r="J204" s="305"/>
      <c r="K204" s="7"/>
      <c r="L204" s="271">
        <f t="shared" si="58"/>
        <v>0</v>
      </c>
      <c r="M204" s="21"/>
      <c r="N204" s="7"/>
      <c r="O204" s="22">
        <f t="shared" si="59"/>
        <v>0</v>
      </c>
      <c r="P204" s="75"/>
      <c r="Q204" s="73">
        <f t="shared" si="52"/>
        <v>0</v>
      </c>
      <c r="R204" s="87"/>
    </row>
    <row r="205" spans="1:18" ht="12.75" hidden="1">
      <c r="A205" s="37" t="s">
        <v>85</v>
      </c>
      <c r="B205" s="92">
        <v>33025</v>
      </c>
      <c r="C205" s="135"/>
      <c r="D205" s="108"/>
      <c r="E205" s="136"/>
      <c r="F205" s="188">
        <f t="shared" si="56"/>
        <v>0</v>
      </c>
      <c r="G205" s="229"/>
      <c r="H205" s="230"/>
      <c r="I205" s="271">
        <f t="shared" si="57"/>
        <v>0</v>
      </c>
      <c r="J205" s="305"/>
      <c r="K205" s="7"/>
      <c r="L205" s="271">
        <f t="shared" si="58"/>
        <v>0</v>
      </c>
      <c r="M205" s="21"/>
      <c r="N205" s="7"/>
      <c r="O205" s="22">
        <f t="shared" si="59"/>
        <v>0</v>
      </c>
      <c r="P205" s="75"/>
      <c r="Q205" s="73">
        <f t="shared" si="52"/>
        <v>0</v>
      </c>
      <c r="R205" s="87"/>
    </row>
    <row r="206" spans="1:18" ht="12.75" hidden="1">
      <c r="A206" s="37" t="s">
        <v>164</v>
      </c>
      <c r="B206" s="92">
        <v>33038</v>
      </c>
      <c r="C206" s="135"/>
      <c r="D206" s="108"/>
      <c r="E206" s="136"/>
      <c r="F206" s="188">
        <f t="shared" si="56"/>
        <v>0</v>
      </c>
      <c r="G206" s="229"/>
      <c r="H206" s="230"/>
      <c r="I206" s="271">
        <f t="shared" si="57"/>
        <v>0</v>
      </c>
      <c r="J206" s="305"/>
      <c r="K206" s="7"/>
      <c r="L206" s="271">
        <f t="shared" si="58"/>
        <v>0</v>
      </c>
      <c r="M206" s="21"/>
      <c r="N206" s="7"/>
      <c r="O206" s="22">
        <f t="shared" si="59"/>
        <v>0</v>
      </c>
      <c r="P206" s="75"/>
      <c r="Q206" s="73">
        <f t="shared" si="52"/>
        <v>0</v>
      </c>
      <c r="R206" s="87"/>
    </row>
    <row r="207" spans="1:18" ht="12.75">
      <c r="A207" s="37" t="s">
        <v>377</v>
      </c>
      <c r="B207" s="92">
        <v>33082</v>
      </c>
      <c r="C207" s="135"/>
      <c r="D207" s="108"/>
      <c r="E207" s="136"/>
      <c r="F207" s="188"/>
      <c r="G207" s="229"/>
      <c r="H207" s="230"/>
      <c r="I207" s="271">
        <f t="shared" si="57"/>
        <v>0</v>
      </c>
      <c r="J207" s="305">
        <f>195.75</f>
        <v>195.75</v>
      </c>
      <c r="K207" s="7"/>
      <c r="L207" s="271">
        <f t="shared" si="58"/>
        <v>195.75</v>
      </c>
      <c r="M207" s="21"/>
      <c r="N207" s="7"/>
      <c r="O207" s="22"/>
      <c r="P207" s="75"/>
      <c r="Q207" s="73"/>
      <c r="R207" s="87"/>
    </row>
    <row r="208" spans="1:18" ht="12.75">
      <c r="A208" s="37" t="s">
        <v>267</v>
      </c>
      <c r="B208" s="92">
        <v>33063</v>
      </c>
      <c r="C208" s="135"/>
      <c r="D208" s="108"/>
      <c r="E208" s="136"/>
      <c r="F208" s="188">
        <f t="shared" si="56"/>
        <v>0</v>
      </c>
      <c r="G208" s="229">
        <f>1500</f>
        <v>1500</v>
      </c>
      <c r="H208" s="230"/>
      <c r="I208" s="271">
        <f t="shared" si="57"/>
        <v>1500</v>
      </c>
      <c r="J208" s="305">
        <f>1286.51+1301.72+301.89</f>
        <v>2890.12</v>
      </c>
      <c r="K208" s="7"/>
      <c r="L208" s="271">
        <f t="shared" si="58"/>
        <v>4390.12</v>
      </c>
      <c r="M208" s="21"/>
      <c r="N208" s="7"/>
      <c r="O208" s="22"/>
      <c r="P208" s="75"/>
      <c r="Q208" s="73"/>
      <c r="R208" s="87"/>
    </row>
    <row r="209" spans="1:18" ht="12.75">
      <c r="A209" s="37" t="s">
        <v>343</v>
      </c>
      <c r="B209" s="92">
        <v>13305</v>
      </c>
      <c r="C209" s="135"/>
      <c r="D209" s="108"/>
      <c r="E209" s="136"/>
      <c r="F209" s="188">
        <f t="shared" si="56"/>
        <v>0</v>
      </c>
      <c r="G209" s="229">
        <f>4424.26</f>
        <v>4424.26</v>
      </c>
      <c r="H209" s="230"/>
      <c r="I209" s="271">
        <f t="shared" si="57"/>
        <v>4424.26</v>
      </c>
      <c r="J209" s="305">
        <f>2949.51</f>
        <v>2949.51</v>
      </c>
      <c r="K209" s="7"/>
      <c r="L209" s="271">
        <f t="shared" si="58"/>
        <v>7373.77</v>
      </c>
      <c r="M209" s="21"/>
      <c r="N209" s="7"/>
      <c r="O209" s="22"/>
      <c r="P209" s="75"/>
      <c r="Q209" s="73"/>
      <c r="R209" s="87"/>
    </row>
    <row r="210" spans="1:18" ht="12.75" hidden="1">
      <c r="A210" s="37" t="s">
        <v>260</v>
      </c>
      <c r="B210" s="320" t="s">
        <v>261</v>
      </c>
      <c r="C210" s="135"/>
      <c r="D210" s="108"/>
      <c r="E210" s="136"/>
      <c r="F210" s="188">
        <f t="shared" si="56"/>
        <v>0</v>
      </c>
      <c r="G210" s="229"/>
      <c r="H210" s="230"/>
      <c r="I210" s="271">
        <f t="shared" si="57"/>
        <v>0</v>
      </c>
      <c r="J210" s="305"/>
      <c r="K210" s="7"/>
      <c r="L210" s="271">
        <f t="shared" si="58"/>
        <v>0</v>
      </c>
      <c r="M210" s="21"/>
      <c r="N210" s="7"/>
      <c r="O210" s="22"/>
      <c r="P210" s="75"/>
      <c r="Q210" s="73"/>
      <c r="R210" s="87"/>
    </row>
    <row r="211" spans="1:18" ht="12.75">
      <c r="A211" s="37" t="s">
        <v>355</v>
      </c>
      <c r="B211" s="320"/>
      <c r="C211" s="135"/>
      <c r="D211" s="108"/>
      <c r="E211" s="136"/>
      <c r="F211" s="188">
        <f t="shared" si="56"/>
        <v>0</v>
      </c>
      <c r="G211" s="229">
        <f>242.53</f>
        <v>242.53</v>
      </c>
      <c r="H211" s="230"/>
      <c r="I211" s="271">
        <f t="shared" si="57"/>
        <v>242.53</v>
      </c>
      <c r="J211" s="305">
        <f>22.22</f>
        <v>22.22</v>
      </c>
      <c r="K211" s="7"/>
      <c r="L211" s="271">
        <f t="shared" si="58"/>
        <v>264.75</v>
      </c>
      <c r="M211" s="21"/>
      <c r="N211" s="7"/>
      <c r="O211" s="22"/>
      <c r="P211" s="75"/>
      <c r="Q211" s="73"/>
      <c r="R211" s="87"/>
    </row>
    <row r="212" spans="1:18" ht="12.75">
      <c r="A212" s="37" t="s">
        <v>373</v>
      </c>
      <c r="B212" s="320" t="s">
        <v>374</v>
      </c>
      <c r="C212" s="135"/>
      <c r="D212" s="108"/>
      <c r="E212" s="136"/>
      <c r="F212" s="188"/>
      <c r="G212" s="229"/>
      <c r="H212" s="230"/>
      <c r="I212" s="271">
        <f t="shared" si="57"/>
        <v>0</v>
      </c>
      <c r="J212" s="305">
        <f>1119.76</f>
        <v>1119.76</v>
      </c>
      <c r="K212" s="7"/>
      <c r="L212" s="271">
        <f t="shared" si="58"/>
        <v>1119.76</v>
      </c>
      <c r="M212" s="21"/>
      <c r="N212" s="7"/>
      <c r="O212" s="22"/>
      <c r="P212" s="75"/>
      <c r="Q212" s="73"/>
      <c r="R212" s="87"/>
    </row>
    <row r="213" spans="1:18" ht="12.75">
      <c r="A213" s="53" t="s">
        <v>370</v>
      </c>
      <c r="B213" s="320" t="s">
        <v>371</v>
      </c>
      <c r="C213" s="135"/>
      <c r="D213" s="108"/>
      <c r="E213" s="136"/>
      <c r="F213" s="188"/>
      <c r="G213" s="229"/>
      <c r="H213" s="230"/>
      <c r="I213" s="271">
        <f t="shared" si="57"/>
        <v>0</v>
      </c>
      <c r="J213" s="305">
        <f>600+3400</f>
        <v>4000</v>
      </c>
      <c r="K213" s="7"/>
      <c r="L213" s="271">
        <f t="shared" si="58"/>
        <v>4000</v>
      </c>
      <c r="M213" s="21"/>
      <c r="N213" s="7"/>
      <c r="O213" s="22"/>
      <c r="P213" s="75"/>
      <c r="Q213" s="73"/>
      <c r="R213" s="87"/>
    </row>
    <row r="214" spans="1:18" ht="12.75">
      <c r="A214" s="37" t="s">
        <v>314</v>
      </c>
      <c r="B214" s="92">
        <v>2054</v>
      </c>
      <c r="C214" s="135"/>
      <c r="D214" s="108">
        <f>2734.5-379.25</f>
        <v>2355.25</v>
      </c>
      <c r="E214" s="136"/>
      <c r="F214" s="188">
        <f t="shared" si="56"/>
        <v>2355.25</v>
      </c>
      <c r="G214" s="229"/>
      <c r="H214" s="230"/>
      <c r="I214" s="271">
        <f t="shared" si="57"/>
        <v>2355.25</v>
      </c>
      <c r="J214" s="305"/>
      <c r="K214" s="7"/>
      <c r="L214" s="271">
        <f t="shared" si="58"/>
        <v>2355.25</v>
      </c>
      <c r="M214" s="21"/>
      <c r="N214" s="7"/>
      <c r="O214" s="22"/>
      <c r="P214" s="75"/>
      <c r="Q214" s="73"/>
      <c r="R214" s="87"/>
    </row>
    <row r="215" spans="1:18" ht="12.75">
      <c r="A215" s="37" t="s">
        <v>294</v>
      </c>
      <c r="B215" s="92">
        <v>2054</v>
      </c>
      <c r="C215" s="135"/>
      <c r="D215" s="108">
        <f>1443.45</f>
        <v>1443.45</v>
      </c>
      <c r="E215" s="136"/>
      <c r="F215" s="188">
        <f t="shared" si="56"/>
        <v>1443.45</v>
      </c>
      <c r="G215" s="229"/>
      <c r="H215" s="230"/>
      <c r="I215" s="271">
        <f t="shared" si="57"/>
        <v>1443.45</v>
      </c>
      <c r="J215" s="305"/>
      <c r="K215" s="7"/>
      <c r="L215" s="271">
        <f t="shared" si="58"/>
        <v>1443.45</v>
      </c>
      <c r="M215" s="21"/>
      <c r="N215" s="7"/>
      <c r="O215" s="22"/>
      <c r="P215" s="75"/>
      <c r="Q215" s="73"/>
      <c r="R215" s="87"/>
    </row>
    <row r="216" spans="1:18" ht="12.75">
      <c r="A216" s="37" t="s">
        <v>315</v>
      </c>
      <c r="B216" s="92">
        <v>2066</v>
      </c>
      <c r="C216" s="135"/>
      <c r="D216" s="108">
        <f>1602.74</f>
        <v>1602.74</v>
      </c>
      <c r="E216" s="136"/>
      <c r="F216" s="188">
        <f t="shared" si="56"/>
        <v>1602.74</v>
      </c>
      <c r="G216" s="229">
        <f>4357.97</f>
        <v>4357.97</v>
      </c>
      <c r="H216" s="230"/>
      <c r="I216" s="271">
        <f>F216+G216+H216</f>
        <v>5960.71</v>
      </c>
      <c r="J216" s="305"/>
      <c r="K216" s="7"/>
      <c r="L216" s="271">
        <f t="shared" si="58"/>
        <v>5960.71</v>
      </c>
      <c r="M216" s="21"/>
      <c r="N216" s="7"/>
      <c r="O216" s="22">
        <f t="shared" si="59"/>
        <v>5960.71</v>
      </c>
      <c r="P216" s="75"/>
      <c r="Q216" s="73">
        <f t="shared" si="52"/>
        <v>5960.71</v>
      </c>
      <c r="R216" s="87"/>
    </row>
    <row r="217" spans="1:18" ht="12.75">
      <c r="A217" s="37" t="s">
        <v>272</v>
      </c>
      <c r="B217" s="92">
        <v>2066</v>
      </c>
      <c r="C217" s="135"/>
      <c r="D217" s="108"/>
      <c r="E217" s="136"/>
      <c r="F217" s="188">
        <f t="shared" si="56"/>
        <v>0</v>
      </c>
      <c r="G217" s="229">
        <f>7600</f>
        <v>7600</v>
      </c>
      <c r="H217" s="230"/>
      <c r="I217" s="271">
        <f>F217+G217+H217</f>
        <v>7600</v>
      </c>
      <c r="J217" s="305"/>
      <c r="K217" s="7"/>
      <c r="L217" s="271">
        <f t="shared" si="58"/>
        <v>7600</v>
      </c>
      <c r="M217" s="21"/>
      <c r="N217" s="7"/>
      <c r="O217" s="22"/>
      <c r="P217" s="75"/>
      <c r="Q217" s="73"/>
      <c r="R217" s="87"/>
    </row>
    <row r="218" spans="1:18" ht="12.75">
      <c r="A218" s="37" t="s">
        <v>365</v>
      </c>
      <c r="B218" s="92">
        <v>2081</v>
      </c>
      <c r="C218" s="135"/>
      <c r="D218" s="108"/>
      <c r="E218" s="136"/>
      <c r="F218" s="188"/>
      <c r="G218" s="229"/>
      <c r="H218" s="230"/>
      <c r="I218" s="271">
        <f>F218+G218+H218</f>
        <v>0</v>
      </c>
      <c r="J218" s="305">
        <f>63681.24</f>
        <v>63681.24</v>
      </c>
      <c r="K218" s="7"/>
      <c r="L218" s="271">
        <f t="shared" si="58"/>
        <v>63681.24</v>
      </c>
      <c r="M218" s="21"/>
      <c r="N218" s="7"/>
      <c r="O218" s="22"/>
      <c r="P218" s="75"/>
      <c r="Q218" s="73"/>
      <c r="R218" s="87"/>
    </row>
    <row r="219" spans="1:18" ht="12.75">
      <c r="A219" s="37" t="s">
        <v>76</v>
      </c>
      <c r="B219" s="183" t="s">
        <v>258</v>
      </c>
      <c r="C219" s="135">
        <v>250</v>
      </c>
      <c r="D219" s="108">
        <f>30750+7314.21+278.95+15106.37+167.06</f>
        <v>53616.59</v>
      </c>
      <c r="E219" s="136"/>
      <c r="F219" s="188">
        <f t="shared" si="56"/>
        <v>53866.59</v>
      </c>
      <c r="G219" s="229">
        <f>-6664+185.73</f>
        <v>-6478.27</v>
      </c>
      <c r="H219" s="230"/>
      <c r="I219" s="271">
        <f>F219+G219+H219</f>
        <v>47388.31999999999</v>
      </c>
      <c r="J219" s="305"/>
      <c r="K219" s="7"/>
      <c r="L219" s="271">
        <f t="shared" si="58"/>
        <v>47388.31999999999</v>
      </c>
      <c r="M219" s="29"/>
      <c r="N219" s="7"/>
      <c r="O219" s="22">
        <f t="shared" si="59"/>
        <v>47388.31999999999</v>
      </c>
      <c r="P219" s="75"/>
      <c r="Q219" s="73">
        <f t="shared" si="52"/>
        <v>47388.31999999999</v>
      </c>
      <c r="R219" s="87"/>
    </row>
    <row r="220" spans="1:18" ht="12.75">
      <c r="A220" s="37" t="s">
        <v>51</v>
      </c>
      <c r="B220" s="92"/>
      <c r="C220" s="135">
        <v>43533.07</v>
      </c>
      <c r="D220" s="108">
        <f>-4500+1007.6-14978.98+400</f>
        <v>-18071.38</v>
      </c>
      <c r="E220" s="136"/>
      <c r="F220" s="188">
        <f t="shared" si="56"/>
        <v>25461.69</v>
      </c>
      <c r="G220" s="229">
        <f>-6148.89</f>
        <v>-6148.89</v>
      </c>
      <c r="H220" s="230"/>
      <c r="I220" s="271">
        <f>F220+G220+H220</f>
        <v>19312.8</v>
      </c>
      <c r="J220" s="305">
        <f>-200-6303.15</f>
        <v>-6503.15</v>
      </c>
      <c r="K220" s="7"/>
      <c r="L220" s="271">
        <f>I220+J220+K220</f>
        <v>12809.65</v>
      </c>
      <c r="M220" s="29"/>
      <c r="N220" s="7"/>
      <c r="O220" s="22">
        <f t="shared" si="59"/>
        <v>12809.65</v>
      </c>
      <c r="P220" s="75"/>
      <c r="Q220" s="73">
        <f t="shared" si="52"/>
        <v>12809.65</v>
      </c>
      <c r="R220" s="87"/>
    </row>
    <row r="221" spans="1:18" ht="12.75">
      <c r="A221" s="40" t="s">
        <v>54</v>
      </c>
      <c r="B221" s="96"/>
      <c r="C221" s="158">
        <f>SUM(C223:C232)</f>
        <v>740</v>
      </c>
      <c r="D221" s="118">
        <f aca="true" t="shared" si="60" ref="D221:Q221">SUM(D223:D232)</f>
        <v>10070.1</v>
      </c>
      <c r="E221" s="174">
        <f t="shared" si="60"/>
        <v>0</v>
      </c>
      <c r="F221" s="193">
        <f t="shared" si="60"/>
        <v>10810.1</v>
      </c>
      <c r="G221" s="239">
        <f t="shared" si="60"/>
        <v>7027.51</v>
      </c>
      <c r="H221" s="240">
        <f t="shared" si="60"/>
        <v>0</v>
      </c>
      <c r="I221" s="275">
        <f t="shared" si="60"/>
        <v>17837.61</v>
      </c>
      <c r="J221" s="292">
        <f t="shared" si="60"/>
        <v>9738.869999999999</v>
      </c>
      <c r="K221" s="240">
        <f t="shared" si="60"/>
        <v>0</v>
      </c>
      <c r="L221" s="275">
        <f t="shared" si="60"/>
        <v>27576.48</v>
      </c>
      <c r="M221" s="117">
        <f t="shared" si="60"/>
        <v>0</v>
      </c>
      <c r="N221" s="117">
        <f t="shared" si="60"/>
        <v>0</v>
      </c>
      <c r="O221" s="117">
        <f t="shared" si="60"/>
        <v>18590.94</v>
      </c>
      <c r="P221" s="117">
        <f t="shared" si="60"/>
        <v>0</v>
      </c>
      <c r="Q221" s="193">
        <f t="shared" si="60"/>
        <v>18590.94</v>
      </c>
      <c r="R221" s="87"/>
    </row>
    <row r="222" spans="1:18" ht="12.75">
      <c r="A222" s="35" t="s">
        <v>26</v>
      </c>
      <c r="B222" s="92"/>
      <c r="C222" s="135"/>
      <c r="D222" s="108"/>
      <c r="E222" s="136"/>
      <c r="F222" s="188"/>
      <c r="G222" s="229"/>
      <c r="H222" s="230"/>
      <c r="I222" s="270"/>
      <c r="J222" s="305"/>
      <c r="K222" s="7"/>
      <c r="L222" s="270"/>
      <c r="M222" s="21"/>
      <c r="N222" s="7"/>
      <c r="O222" s="20"/>
      <c r="P222" s="75"/>
      <c r="Q222" s="73"/>
      <c r="R222" s="87"/>
    </row>
    <row r="223" spans="1:18" ht="12.75">
      <c r="A223" s="37" t="s">
        <v>86</v>
      </c>
      <c r="B223" s="92"/>
      <c r="C223" s="135">
        <v>740</v>
      </c>
      <c r="D223" s="108">
        <f>820.1</f>
        <v>820.1</v>
      </c>
      <c r="E223" s="136"/>
      <c r="F223" s="188">
        <f aca="true" t="shared" si="61" ref="F223:F232">C223+D223+E223</f>
        <v>1560.1</v>
      </c>
      <c r="G223" s="229">
        <f>273.4</f>
        <v>273.4</v>
      </c>
      <c r="H223" s="230"/>
      <c r="I223" s="271">
        <f aca="true" t="shared" si="62" ref="I223:I232">F223+G223+H223</f>
        <v>1833.5</v>
      </c>
      <c r="J223" s="305">
        <f>842.93</f>
        <v>842.93</v>
      </c>
      <c r="K223" s="7"/>
      <c r="L223" s="271">
        <f aca="true" t="shared" si="63" ref="L223:L232">I223+J223+K223</f>
        <v>2676.43</v>
      </c>
      <c r="M223" s="21"/>
      <c r="N223" s="7"/>
      <c r="O223" s="22">
        <f>L223+M223+N223</f>
        <v>2676.43</v>
      </c>
      <c r="P223" s="75"/>
      <c r="Q223" s="73">
        <f t="shared" si="52"/>
        <v>2676.43</v>
      </c>
      <c r="R223" s="87"/>
    </row>
    <row r="224" spans="1:18" ht="12.75" hidden="1">
      <c r="A224" s="37" t="s">
        <v>260</v>
      </c>
      <c r="B224" s="92" t="s">
        <v>262</v>
      </c>
      <c r="C224" s="135"/>
      <c r="D224" s="108"/>
      <c r="E224" s="136"/>
      <c r="F224" s="188">
        <f t="shared" si="61"/>
        <v>0</v>
      </c>
      <c r="G224" s="229"/>
      <c r="H224" s="230"/>
      <c r="I224" s="271">
        <f t="shared" si="62"/>
        <v>0</v>
      </c>
      <c r="J224" s="305"/>
      <c r="K224" s="7"/>
      <c r="L224" s="271">
        <f t="shared" si="63"/>
        <v>0</v>
      </c>
      <c r="M224" s="21"/>
      <c r="N224" s="7"/>
      <c r="O224" s="22"/>
      <c r="P224" s="75"/>
      <c r="Q224" s="73"/>
      <c r="R224" s="87"/>
    </row>
    <row r="225" spans="1:18" ht="12.75">
      <c r="A225" s="37" t="s">
        <v>342</v>
      </c>
      <c r="B225" s="92">
        <v>33500</v>
      </c>
      <c r="C225" s="135"/>
      <c r="D225" s="108"/>
      <c r="E225" s="136"/>
      <c r="F225" s="188">
        <f t="shared" si="61"/>
        <v>0</v>
      </c>
      <c r="G225" s="229">
        <f>79.99</f>
        <v>79.99</v>
      </c>
      <c r="H225" s="230"/>
      <c r="I225" s="271">
        <f t="shared" si="62"/>
        <v>79.99</v>
      </c>
      <c r="J225" s="305"/>
      <c r="K225" s="7"/>
      <c r="L225" s="271">
        <f t="shared" si="63"/>
        <v>79.99</v>
      </c>
      <c r="M225" s="21"/>
      <c r="N225" s="7"/>
      <c r="O225" s="22"/>
      <c r="P225" s="75"/>
      <c r="Q225" s="73"/>
      <c r="R225" s="87"/>
    </row>
    <row r="226" spans="1:18" ht="12.75">
      <c r="A226" s="37" t="s">
        <v>373</v>
      </c>
      <c r="B226" s="320" t="s">
        <v>374</v>
      </c>
      <c r="C226" s="135"/>
      <c r="D226" s="108"/>
      <c r="E226" s="136"/>
      <c r="F226" s="188"/>
      <c r="G226" s="229"/>
      <c r="H226" s="230"/>
      <c r="I226" s="271">
        <f t="shared" si="62"/>
        <v>0</v>
      </c>
      <c r="J226" s="305">
        <f>926.7</f>
        <v>926.7</v>
      </c>
      <c r="K226" s="7"/>
      <c r="L226" s="271">
        <f t="shared" si="63"/>
        <v>926.7</v>
      </c>
      <c r="M226" s="21"/>
      <c r="N226" s="7"/>
      <c r="O226" s="22"/>
      <c r="P226" s="75"/>
      <c r="Q226" s="73"/>
      <c r="R226" s="87"/>
    </row>
    <row r="227" spans="1:18" ht="12.75">
      <c r="A227" s="37" t="s">
        <v>315</v>
      </c>
      <c r="B227" s="92">
        <v>2066</v>
      </c>
      <c r="C227" s="135"/>
      <c r="D227" s="108"/>
      <c r="E227" s="136"/>
      <c r="F227" s="188">
        <f t="shared" si="61"/>
        <v>0</v>
      </c>
      <c r="G227" s="229">
        <f>9.61</f>
        <v>9.61</v>
      </c>
      <c r="H227" s="230"/>
      <c r="I227" s="271">
        <f t="shared" si="62"/>
        <v>9.61</v>
      </c>
      <c r="J227" s="305"/>
      <c r="K227" s="7"/>
      <c r="L227" s="271">
        <f t="shared" si="63"/>
        <v>9.61</v>
      </c>
      <c r="M227" s="21"/>
      <c r="N227" s="7"/>
      <c r="O227" s="22"/>
      <c r="P227" s="75"/>
      <c r="Q227" s="73"/>
      <c r="R227" s="87"/>
    </row>
    <row r="228" spans="1:18" ht="12.75">
      <c r="A228" s="37" t="s">
        <v>365</v>
      </c>
      <c r="B228" s="92">
        <v>2081</v>
      </c>
      <c r="C228" s="135"/>
      <c r="D228" s="108"/>
      <c r="E228" s="136"/>
      <c r="F228" s="188"/>
      <c r="G228" s="229"/>
      <c r="H228" s="230"/>
      <c r="I228" s="271">
        <f t="shared" si="62"/>
        <v>0</v>
      </c>
      <c r="J228" s="305">
        <f>7969.24</f>
        <v>7969.24</v>
      </c>
      <c r="K228" s="7"/>
      <c r="L228" s="271">
        <f t="shared" si="63"/>
        <v>7969.24</v>
      </c>
      <c r="M228" s="21"/>
      <c r="N228" s="7"/>
      <c r="O228" s="22"/>
      <c r="P228" s="75"/>
      <c r="Q228" s="73"/>
      <c r="R228" s="87"/>
    </row>
    <row r="229" spans="1:18" ht="12.75" hidden="1">
      <c r="A229" s="37" t="s">
        <v>69</v>
      </c>
      <c r="B229" s="92"/>
      <c r="C229" s="135"/>
      <c r="D229" s="108"/>
      <c r="E229" s="136"/>
      <c r="F229" s="188">
        <f t="shared" si="61"/>
        <v>0</v>
      </c>
      <c r="G229" s="229"/>
      <c r="H229" s="230"/>
      <c r="I229" s="271">
        <f t="shared" si="62"/>
        <v>0</v>
      </c>
      <c r="J229" s="305"/>
      <c r="K229" s="7"/>
      <c r="L229" s="271">
        <f t="shared" si="63"/>
        <v>0</v>
      </c>
      <c r="M229" s="21"/>
      <c r="N229" s="7"/>
      <c r="O229" s="22">
        <f>L229+M229+N229</f>
        <v>0</v>
      </c>
      <c r="P229" s="75"/>
      <c r="Q229" s="73">
        <f t="shared" si="52"/>
        <v>0</v>
      </c>
      <c r="R229" s="87"/>
    </row>
    <row r="230" spans="1:18" ht="12.75" hidden="1">
      <c r="A230" s="37" t="s">
        <v>87</v>
      </c>
      <c r="B230" s="92"/>
      <c r="C230" s="135"/>
      <c r="D230" s="108"/>
      <c r="E230" s="136"/>
      <c r="F230" s="188">
        <f t="shared" si="61"/>
        <v>0</v>
      </c>
      <c r="G230" s="229"/>
      <c r="H230" s="230"/>
      <c r="I230" s="271">
        <f t="shared" si="62"/>
        <v>0</v>
      </c>
      <c r="J230" s="305"/>
      <c r="K230" s="7"/>
      <c r="L230" s="271">
        <f t="shared" si="63"/>
        <v>0</v>
      </c>
      <c r="M230" s="21"/>
      <c r="N230" s="7"/>
      <c r="O230" s="22">
        <f>L230+M230+N230</f>
        <v>0</v>
      </c>
      <c r="P230" s="75"/>
      <c r="Q230" s="73">
        <f t="shared" si="52"/>
        <v>0</v>
      </c>
      <c r="R230" s="87"/>
    </row>
    <row r="231" spans="1:18" ht="12.75" hidden="1">
      <c r="A231" s="37" t="s">
        <v>55</v>
      </c>
      <c r="B231" s="92"/>
      <c r="C231" s="135"/>
      <c r="D231" s="108"/>
      <c r="E231" s="136"/>
      <c r="F231" s="188">
        <f t="shared" si="61"/>
        <v>0</v>
      </c>
      <c r="G231" s="229"/>
      <c r="H231" s="230"/>
      <c r="I231" s="271">
        <f t="shared" si="62"/>
        <v>0</v>
      </c>
      <c r="J231" s="305"/>
      <c r="K231" s="9"/>
      <c r="L231" s="271">
        <f t="shared" si="63"/>
        <v>0</v>
      </c>
      <c r="M231" s="21"/>
      <c r="N231" s="7"/>
      <c r="O231" s="22">
        <f>L231+M231+N231</f>
        <v>0</v>
      </c>
      <c r="P231" s="75"/>
      <c r="Q231" s="73">
        <f t="shared" si="52"/>
        <v>0</v>
      </c>
      <c r="R231" s="87"/>
    </row>
    <row r="232" spans="1:18" ht="13.5" thickBot="1">
      <c r="A232" s="202" t="s">
        <v>76</v>
      </c>
      <c r="B232" s="133"/>
      <c r="C232" s="159"/>
      <c r="D232" s="134">
        <f>9250</f>
        <v>9250</v>
      </c>
      <c r="E232" s="213"/>
      <c r="F232" s="223">
        <f t="shared" si="61"/>
        <v>9250</v>
      </c>
      <c r="G232" s="241">
        <f>6664+0.51</f>
        <v>6664.51</v>
      </c>
      <c r="H232" s="242"/>
      <c r="I232" s="276">
        <f t="shared" si="62"/>
        <v>15914.51</v>
      </c>
      <c r="J232" s="310"/>
      <c r="K232" s="65"/>
      <c r="L232" s="276">
        <f t="shared" si="63"/>
        <v>15914.51</v>
      </c>
      <c r="M232" s="25"/>
      <c r="N232" s="10"/>
      <c r="O232" s="26">
        <f>L232+M232+N232</f>
        <v>15914.51</v>
      </c>
      <c r="P232" s="78"/>
      <c r="Q232" s="79">
        <f t="shared" si="52"/>
        <v>15914.51</v>
      </c>
      <c r="R232" s="87"/>
    </row>
    <row r="233" spans="1:18" ht="12.75">
      <c r="A233" s="30" t="s">
        <v>88</v>
      </c>
      <c r="B233" s="96"/>
      <c r="C233" s="142">
        <f aca="true" t="shared" si="64" ref="C233:Q233">C234+C248</f>
        <v>653095</v>
      </c>
      <c r="D233" s="107">
        <f t="shared" si="64"/>
        <v>88399.81999999999</v>
      </c>
      <c r="E233" s="143">
        <f t="shared" si="64"/>
        <v>0</v>
      </c>
      <c r="F233" s="187">
        <f t="shared" si="64"/>
        <v>741494.8200000001</v>
      </c>
      <c r="G233" s="227">
        <f t="shared" si="64"/>
        <v>34156.22</v>
      </c>
      <c r="H233" s="228">
        <f t="shared" si="64"/>
        <v>2980.5</v>
      </c>
      <c r="I233" s="270">
        <f t="shared" si="64"/>
        <v>778631.5400000002</v>
      </c>
      <c r="J233" s="288">
        <f>J234+J248</f>
        <v>11433.619999999999</v>
      </c>
      <c r="K233" s="228">
        <f>K234+K248</f>
        <v>0</v>
      </c>
      <c r="L233" s="270">
        <f>L234+L248</f>
        <v>790065.16</v>
      </c>
      <c r="M233" s="106">
        <f t="shared" si="64"/>
        <v>0</v>
      </c>
      <c r="N233" s="106">
        <f t="shared" si="64"/>
        <v>0</v>
      </c>
      <c r="O233" s="106">
        <f t="shared" si="64"/>
        <v>745314.2599999999</v>
      </c>
      <c r="P233" s="106">
        <f t="shared" si="64"/>
        <v>0</v>
      </c>
      <c r="Q233" s="187">
        <f t="shared" si="64"/>
        <v>745314.2599999999</v>
      </c>
      <c r="R233" s="87"/>
    </row>
    <row r="234" spans="1:18" ht="12.75">
      <c r="A234" s="39" t="s">
        <v>49</v>
      </c>
      <c r="B234" s="96"/>
      <c r="C234" s="156">
        <f aca="true" t="shared" si="65" ref="C234:Q234">SUM(C236:C247)</f>
        <v>653095</v>
      </c>
      <c r="D234" s="115">
        <f t="shared" si="65"/>
        <v>32624.92</v>
      </c>
      <c r="E234" s="173">
        <f t="shared" si="65"/>
        <v>0</v>
      </c>
      <c r="F234" s="192">
        <f t="shared" si="65"/>
        <v>685719.92</v>
      </c>
      <c r="G234" s="237">
        <f t="shared" si="65"/>
        <v>25888.01</v>
      </c>
      <c r="H234" s="238">
        <f t="shared" si="65"/>
        <v>2980.5</v>
      </c>
      <c r="I234" s="274">
        <f t="shared" si="65"/>
        <v>714588.4300000002</v>
      </c>
      <c r="J234" s="278">
        <f>SUM(J236:J247)</f>
        <v>-3626.220000000001</v>
      </c>
      <c r="K234" s="238">
        <f>SUM(K236:K247)</f>
        <v>0</v>
      </c>
      <c r="L234" s="274">
        <f>SUM(L236:L247)</f>
        <v>710962.2100000001</v>
      </c>
      <c r="M234" s="114">
        <f t="shared" si="65"/>
        <v>0</v>
      </c>
      <c r="N234" s="114">
        <f t="shared" si="65"/>
        <v>0</v>
      </c>
      <c r="O234" s="114">
        <f t="shared" si="65"/>
        <v>666211.3099999999</v>
      </c>
      <c r="P234" s="114">
        <f t="shared" si="65"/>
        <v>0</v>
      </c>
      <c r="Q234" s="192">
        <f t="shared" si="65"/>
        <v>666211.3099999999</v>
      </c>
      <c r="R234" s="87"/>
    </row>
    <row r="235" spans="1:18" ht="12.75">
      <c r="A235" s="35" t="s">
        <v>26</v>
      </c>
      <c r="B235" s="92"/>
      <c r="C235" s="135"/>
      <c r="D235" s="108"/>
      <c r="E235" s="136"/>
      <c r="F235" s="187"/>
      <c r="G235" s="229"/>
      <c r="H235" s="230"/>
      <c r="I235" s="270"/>
      <c r="J235" s="305"/>
      <c r="K235" s="7"/>
      <c r="L235" s="270"/>
      <c r="M235" s="21"/>
      <c r="N235" s="7"/>
      <c r="O235" s="20"/>
      <c r="P235" s="75"/>
      <c r="Q235" s="73"/>
      <c r="R235" s="87"/>
    </row>
    <row r="236" spans="1:18" ht="12.75">
      <c r="A236" s="32" t="s">
        <v>74</v>
      </c>
      <c r="B236" s="92"/>
      <c r="C236" s="135">
        <v>322770</v>
      </c>
      <c r="D236" s="108"/>
      <c r="E236" s="136"/>
      <c r="F236" s="188">
        <f aca="true" t="shared" si="66" ref="F236:F247">C236+D236+E236</f>
        <v>322770</v>
      </c>
      <c r="G236" s="229"/>
      <c r="H236" s="230">
        <f>600</f>
        <v>600</v>
      </c>
      <c r="I236" s="271">
        <f aca="true" t="shared" si="67" ref="I236:I247">F236+G236+H236</f>
        <v>323370</v>
      </c>
      <c r="J236" s="305"/>
      <c r="K236" s="7"/>
      <c r="L236" s="271">
        <f aca="true" t="shared" si="68" ref="L236:L247">I236+J236+K236</f>
        <v>323370</v>
      </c>
      <c r="M236" s="21"/>
      <c r="N236" s="7"/>
      <c r="O236" s="22">
        <f aca="true" t="shared" si="69" ref="O236:O247">L236+M236+N236</f>
        <v>323370</v>
      </c>
      <c r="P236" s="75"/>
      <c r="Q236" s="73">
        <f>O236+P236</f>
        <v>323370</v>
      </c>
      <c r="R236" s="87"/>
    </row>
    <row r="237" spans="1:18" ht="12.75">
      <c r="A237" s="93" t="s">
        <v>204</v>
      </c>
      <c r="B237" s="92"/>
      <c r="C237" s="135"/>
      <c r="D237" s="108">
        <f>21000</f>
        <v>21000</v>
      </c>
      <c r="E237" s="136"/>
      <c r="F237" s="188">
        <f t="shared" si="66"/>
        <v>21000</v>
      </c>
      <c r="G237" s="229"/>
      <c r="H237" s="230">
        <f>-600</f>
        <v>-600</v>
      </c>
      <c r="I237" s="271">
        <f t="shared" si="67"/>
        <v>20400</v>
      </c>
      <c r="J237" s="305">
        <f>-10000</f>
        <v>-10000</v>
      </c>
      <c r="K237" s="7"/>
      <c r="L237" s="271">
        <f t="shared" si="68"/>
        <v>10400</v>
      </c>
      <c r="M237" s="21"/>
      <c r="N237" s="7"/>
      <c r="O237" s="22"/>
      <c r="P237" s="75"/>
      <c r="Q237" s="73"/>
      <c r="R237" s="87"/>
    </row>
    <row r="238" spans="1:18" ht="12.75">
      <c r="A238" s="37" t="s">
        <v>64</v>
      </c>
      <c r="B238" s="92"/>
      <c r="C238" s="135">
        <v>236200</v>
      </c>
      <c r="D238" s="108"/>
      <c r="E238" s="136"/>
      <c r="F238" s="188">
        <f t="shared" si="66"/>
        <v>236200</v>
      </c>
      <c r="G238" s="229"/>
      <c r="H238" s="230">
        <f>2980.5</f>
        <v>2980.5</v>
      </c>
      <c r="I238" s="271">
        <f t="shared" si="67"/>
        <v>239180.5</v>
      </c>
      <c r="J238" s="305"/>
      <c r="K238" s="7"/>
      <c r="L238" s="271">
        <f t="shared" si="68"/>
        <v>239180.5</v>
      </c>
      <c r="M238" s="21"/>
      <c r="N238" s="7"/>
      <c r="O238" s="22">
        <f t="shared" si="69"/>
        <v>239180.5</v>
      </c>
      <c r="P238" s="75"/>
      <c r="Q238" s="73">
        <f>O238+P238</f>
        <v>239180.5</v>
      </c>
      <c r="R238" s="87"/>
    </row>
    <row r="239" spans="1:18" ht="12.75" hidden="1">
      <c r="A239" s="37" t="s">
        <v>170</v>
      </c>
      <c r="B239" s="92"/>
      <c r="C239" s="135">
        <v>0</v>
      </c>
      <c r="D239" s="119"/>
      <c r="E239" s="136"/>
      <c r="F239" s="188">
        <f t="shared" si="66"/>
        <v>0</v>
      </c>
      <c r="G239" s="229"/>
      <c r="H239" s="230"/>
      <c r="I239" s="271">
        <f t="shared" si="67"/>
        <v>0</v>
      </c>
      <c r="J239" s="305"/>
      <c r="K239" s="7"/>
      <c r="L239" s="271">
        <f t="shared" si="68"/>
        <v>0</v>
      </c>
      <c r="M239" s="21"/>
      <c r="N239" s="7"/>
      <c r="O239" s="22"/>
      <c r="P239" s="75"/>
      <c r="Q239" s="73"/>
      <c r="R239" s="87"/>
    </row>
    <row r="240" spans="1:18" ht="12.75">
      <c r="A240" s="37" t="s">
        <v>51</v>
      </c>
      <c r="B240" s="92"/>
      <c r="C240" s="137">
        <v>94125</v>
      </c>
      <c r="D240" s="108">
        <f>2170+201.67+170+322</f>
        <v>2863.67</v>
      </c>
      <c r="E240" s="136"/>
      <c r="F240" s="188">
        <f t="shared" si="66"/>
        <v>96988.67</v>
      </c>
      <c r="G240" s="229">
        <f>1092.1+12.1-170</f>
        <v>934.1999999999998</v>
      </c>
      <c r="H240" s="230"/>
      <c r="I240" s="271">
        <f t="shared" si="67"/>
        <v>97922.87</v>
      </c>
      <c r="J240" s="305">
        <f>100-5000</f>
        <v>-4900</v>
      </c>
      <c r="K240" s="7"/>
      <c r="L240" s="271">
        <f t="shared" si="68"/>
        <v>93022.87</v>
      </c>
      <c r="M240" s="21"/>
      <c r="N240" s="7"/>
      <c r="O240" s="22">
        <f t="shared" si="69"/>
        <v>93022.87</v>
      </c>
      <c r="P240" s="75"/>
      <c r="Q240" s="73">
        <f>O240+P240</f>
        <v>93022.87</v>
      </c>
      <c r="R240" s="87"/>
    </row>
    <row r="241" spans="1:18" ht="12.75">
      <c r="A241" s="37" t="s">
        <v>77</v>
      </c>
      <c r="B241" s="92"/>
      <c r="C241" s="137"/>
      <c r="D241" s="108"/>
      <c r="E241" s="136"/>
      <c r="F241" s="188">
        <f t="shared" si="66"/>
        <v>0</v>
      </c>
      <c r="G241" s="229">
        <f>29.04+29.04+58.08</f>
        <v>116.16</v>
      </c>
      <c r="H241" s="230"/>
      <c r="I241" s="271">
        <f t="shared" si="67"/>
        <v>116.16</v>
      </c>
      <c r="J241" s="305">
        <f>10373.63+148.15</f>
        <v>10521.779999999999</v>
      </c>
      <c r="K241" s="7"/>
      <c r="L241" s="271">
        <f t="shared" si="68"/>
        <v>10637.939999999999</v>
      </c>
      <c r="M241" s="21"/>
      <c r="N241" s="7"/>
      <c r="O241" s="22">
        <f t="shared" si="69"/>
        <v>10637.939999999999</v>
      </c>
      <c r="P241" s="75"/>
      <c r="Q241" s="73">
        <f>O241+P241</f>
        <v>10637.939999999999</v>
      </c>
      <c r="R241" s="87"/>
    </row>
    <row r="242" spans="1:18" ht="12.75">
      <c r="A242" s="53" t="s">
        <v>328</v>
      </c>
      <c r="B242" s="92">
        <v>35024</v>
      </c>
      <c r="C242" s="137"/>
      <c r="D242" s="108">
        <f>6112.93+648.32</f>
        <v>6761.25</v>
      </c>
      <c r="E242" s="136"/>
      <c r="F242" s="188">
        <f t="shared" si="66"/>
        <v>6761.25</v>
      </c>
      <c r="G242" s="229">
        <f>-151.44</f>
        <v>-151.44</v>
      </c>
      <c r="H242" s="230"/>
      <c r="I242" s="271">
        <f t="shared" si="67"/>
        <v>6609.81</v>
      </c>
      <c r="J242" s="305"/>
      <c r="K242" s="7"/>
      <c r="L242" s="271">
        <f t="shared" si="68"/>
        <v>6609.81</v>
      </c>
      <c r="M242" s="21"/>
      <c r="N242" s="7"/>
      <c r="O242" s="22"/>
      <c r="P242" s="75"/>
      <c r="Q242" s="73"/>
      <c r="R242" s="87"/>
    </row>
    <row r="243" spans="1:18" ht="12.75">
      <c r="A243" s="53" t="s">
        <v>351</v>
      </c>
      <c r="B243" s="92">
        <v>35025</v>
      </c>
      <c r="C243" s="137"/>
      <c r="D243" s="108"/>
      <c r="E243" s="136"/>
      <c r="F243" s="188">
        <f t="shared" si="66"/>
        <v>0</v>
      </c>
      <c r="G243" s="229">
        <f>21481.06</f>
        <v>21481.06</v>
      </c>
      <c r="H243" s="230"/>
      <c r="I243" s="271">
        <f t="shared" si="67"/>
        <v>21481.06</v>
      </c>
      <c r="J243" s="305"/>
      <c r="K243" s="7"/>
      <c r="L243" s="271">
        <f t="shared" si="68"/>
        <v>21481.06</v>
      </c>
      <c r="M243" s="21"/>
      <c r="N243" s="7"/>
      <c r="O243" s="22"/>
      <c r="P243" s="75"/>
      <c r="Q243" s="73"/>
      <c r="R243" s="87"/>
    </row>
    <row r="244" spans="1:18" ht="12.75">
      <c r="A244" s="35" t="s">
        <v>378</v>
      </c>
      <c r="B244" s="92">
        <v>35026</v>
      </c>
      <c r="C244" s="137"/>
      <c r="D244" s="108"/>
      <c r="E244" s="136"/>
      <c r="F244" s="188"/>
      <c r="G244" s="229"/>
      <c r="H244" s="230"/>
      <c r="I244" s="271">
        <f t="shared" si="67"/>
        <v>0</v>
      </c>
      <c r="J244" s="305">
        <f>24+280+448</f>
        <v>752</v>
      </c>
      <c r="K244" s="7"/>
      <c r="L244" s="271">
        <f t="shared" si="68"/>
        <v>752</v>
      </c>
      <c r="M244" s="21"/>
      <c r="N244" s="7"/>
      <c r="O244" s="22"/>
      <c r="P244" s="75"/>
      <c r="Q244" s="73"/>
      <c r="R244" s="87"/>
    </row>
    <row r="245" spans="1:18" ht="12.75">
      <c r="A245" s="37" t="s">
        <v>269</v>
      </c>
      <c r="B245" s="92">
        <v>35018</v>
      </c>
      <c r="C245" s="137"/>
      <c r="D245" s="108">
        <f>2000</f>
        <v>2000</v>
      </c>
      <c r="E245" s="136"/>
      <c r="F245" s="188">
        <f t="shared" si="66"/>
        <v>2000</v>
      </c>
      <c r="G245" s="229">
        <f>3508.03</f>
        <v>3508.03</v>
      </c>
      <c r="H245" s="230"/>
      <c r="I245" s="271">
        <f t="shared" si="67"/>
        <v>5508.030000000001</v>
      </c>
      <c r="J245" s="305"/>
      <c r="K245" s="7"/>
      <c r="L245" s="271">
        <f t="shared" si="68"/>
        <v>5508.030000000001</v>
      </c>
      <c r="M245" s="21"/>
      <c r="N245" s="7"/>
      <c r="O245" s="22"/>
      <c r="P245" s="75"/>
      <c r="Q245" s="73"/>
      <c r="R245" s="87"/>
    </row>
    <row r="246" spans="1:18" ht="12.75" hidden="1">
      <c r="A246" s="37" t="s">
        <v>307</v>
      </c>
      <c r="B246" s="92"/>
      <c r="C246" s="137"/>
      <c r="D246" s="108"/>
      <c r="E246" s="136"/>
      <c r="F246" s="188">
        <f t="shared" si="66"/>
        <v>0</v>
      </c>
      <c r="G246" s="229"/>
      <c r="H246" s="230"/>
      <c r="I246" s="271">
        <f t="shared" si="67"/>
        <v>0</v>
      </c>
      <c r="J246" s="305"/>
      <c r="K246" s="7"/>
      <c r="L246" s="271">
        <f t="shared" si="68"/>
        <v>0</v>
      </c>
      <c r="M246" s="21"/>
      <c r="N246" s="7"/>
      <c r="O246" s="22">
        <f t="shared" si="69"/>
        <v>0</v>
      </c>
      <c r="P246" s="75"/>
      <c r="Q246" s="73">
        <f>O246+P246</f>
        <v>0</v>
      </c>
      <c r="R246" s="87"/>
    </row>
    <row r="247" spans="1:18" ht="12.75" hidden="1">
      <c r="A247" s="37" t="s">
        <v>89</v>
      </c>
      <c r="B247" s="92"/>
      <c r="C247" s="135"/>
      <c r="D247" s="108"/>
      <c r="E247" s="136"/>
      <c r="F247" s="188">
        <f t="shared" si="66"/>
        <v>0</v>
      </c>
      <c r="G247" s="229"/>
      <c r="H247" s="230"/>
      <c r="I247" s="271">
        <f t="shared" si="67"/>
        <v>0</v>
      </c>
      <c r="J247" s="305"/>
      <c r="K247" s="7"/>
      <c r="L247" s="271">
        <f t="shared" si="68"/>
        <v>0</v>
      </c>
      <c r="M247" s="21"/>
      <c r="N247" s="7"/>
      <c r="O247" s="22">
        <f t="shared" si="69"/>
        <v>0</v>
      </c>
      <c r="P247" s="75"/>
      <c r="Q247" s="73">
        <f>O247+P247</f>
        <v>0</v>
      </c>
      <c r="R247" s="87"/>
    </row>
    <row r="248" spans="1:18" ht="12.75">
      <c r="A248" s="39" t="s">
        <v>54</v>
      </c>
      <c r="B248" s="96"/>
      <c r="C248" s="156">
        <f>SUM(C250:C254)</f>
        <v>0</v>
      </c>
      <c r="D248" s="115">
        <f aca="true" t="shared" si="70" ref="D248:Q248">SUM(D250:D254)</f>
        <v>55774.899999999994</v>
      </c>
      <c r="E248" s="173">
        <f t="shared" si="70"/>
        <v>0</v>
      </c>
      <c r="F248" s="192">
        <f t="shared" si="70"/>
        <v>55774.899999999994</v>
      </c>
      <c r="G248" s="237">
        <f t="shared" si="70"/>
        <v>8268.210000000001</v>
      </c>
      <c r="H248" s="238">
        <f t="shared" si="70"/>
        <v>0</v>
      </c>
      <c r="I248" s="274">
        <f t="shared" si="70"/>
        <v>64043.10999999999</v>
      </c>
      <c r="J248" s="278">
        <f t="shared" si="70"/>
        <v>15059.84</v>
      </c>
      <c r="K248" s="238">
        <f t="shared" si="70"/>
        <v>0</v>
      </c>
      <c r="L248" s="274">
        <f t="shared" si="70"/>
        <v>79102.94999999998</v>
      </c>
      <c r="M248" s="114">
        <f t="shared" si="70"/>
        <v>0</v>
      </c>
      <c r="N248" s="114">
        <f t="shared" si="70"/>
        <v>0</v>
      </c>
      <c r="O248" s="114">
        <f t="shared" si="70"/>
        <v>79102.94999999998</v>
      </c>
      <c r="P248" s="114">
        <f t="shared" si="70"/>
        <v>0</v>
      </c>
      <c r="Q248" s="192">
        <f t="shared" si="70"/>
        <v>79102.94999999998</v>
      </c>
      <c r="R248" s="87"/>
    </row>
    <row r="249" spans="1:18" ht="12.75">
      <c r="A249" s="35" t="s">
        <v>26</v>
      </c>
      <c r="B249" s="92"/>
      <c r="C249" s="135"/>
      <c r="D249" s="108"/>
      <c r="E249" s="136"/>
      <c r="F249" s="188"/>
      <c r="G249" s="229"/>
      <c r="H249" s="230"/>
      <c r="I249" s="271"/>
      <c r="J249" s="305"/>
      <c r="K249" s="7"/>
      <c r="L249" s="271"/>
      <c r="M249" s="21"/>
      <c r="N249" s="7"/>
      <c r="O249" s="22"/>
      <c r="P249" s="75"/>
      <c r="Q249" s="73"/>
      <c r="R249" s="87"/>
    </row>
    <row r="250" spans="1:18" ht="12.75" hidden="1">
      <c r="A250" s="43" t="s">
        <v>55</v>
      </c>
      <c r="B250" s="95"/>
      <c r="C250" s="157">
        <v>0</v>
      </c>
      <c r="D250" s="116"/>
      <c r="E250" s="214"/>
      <c r="F250" s="224">
        <f>C250+D250+E250</f>
        <v>0</v>
      </c>
      <c r="G250" s="229"/>
      <c r="H250" s="230"/>
      <c r="I250" s="271"/>
      <c r="J250" s="305"/>
      <c r="K250" s="7"/>
      <c r="L250" s="271">
        <f>I250+J250+K250</f>
        <v>0</v>
      </c>
      <c r="M250" s="21"/>
      <c r="N250" s="7"/>
      <c r="O250" s="22"/>
      <c r="P250" s="75"/>
      <c r="Q250" s="73"/>
      <c r="R250" s="87"/>
    </row>
    <row r="251" spans="1:18" ht="12.75" hidden="1">
      <c r="A251" s="37" t="s">
        <v>235</v>
      </c>
      <c r="B251" s="92"/>
      <c r="C251" s="135"/>
      <c r="D251" s="108"/>
      <c r="E251" s="136"/>
      <c r="F251" s="188">
        <f>C251+D251+E251</f>
        <v>0</v>
      </c>
      <c r="G251" s="229"/>
      <c r="H251" s="230"/>
      <c r="I251" s="271"/>
      <c r="J251" s="305"/>
      <c r="K251" s="7"/>
      <c r="L251" s="271">
        <f>I251+J251+K251</f>
        <v>0</v>
      </c>
      <c r="M251" s="21"/>
      <c r="N251" s="7"/>
      <c r="O251" s="22"/>
      <c r="P251" s="75"/>
      <c r="Q251" s="73"/>
      <c r="R251" s="87"/>
    </row>
    <row r="252" spans="1:18" ht="12.75">
      <c r="A252" s="37" t="s">
        <v>86</v>
      </c>
      <c r="B252" s="92"/>
      <c r="C252" s="135"/>
      <c r="D252" s="108"/>
      <c r="E252" s="136"/>
      <c r="F252" s="188">
        <f>C252+D252+E252</f>
        <v>0</v>
      </c>
      <c r="G252" s="229"/>
      <c r="H252" s="230"/>
      <c r="I252" s="271">
        <f>F252+G252+H252</f>
        <v>0</v>
      </c>
      <c r="J252" s="305">
        <f>15000</f>
        <v>15000</v>
      </c>
      <c r="K252" s="7"/>
      <c r="L252" s="271">
        <f>I252+J252+K252</f>
        <v>15000</v>
      </c>
      <c r="M252" s="21"/>
      <c r="N252" s="7"/>
      <c r="O252" s="22">
        <f>L252+M252+N252</f>
        <v>15000</v>
      </c>
      <c r="P252" s="75"/>
      <c r="Q252" s="73">
        <f>O252+P252</f>
        <v>15000</v>
      </c>
      <c r="R252" s="87"/>
    </row>
    <row r="253" spans="1:18" ht="12.75" hidden="1">
      <c r="A253" s="37" t="s">
        <v>210</v>
      </c>
      <c r="B253" s="92"/>
      <c r="C253" s="135"/>
      <c r="D253" s="108"/>
      <c r="E253" s="136"/>
      <c r="F253" s="188">
        <f>C253+D253+E253</f>
        <v>0</v>
      </c>
      <c r="G253" s="241"/>
      <c r="H253" s="242"/>
      <c r="I253" s="276">
        <f>F253+G253+H253</f>
        <v>0</v>
      </c>
      <c r="J253" s="310"/>
      <c r="K253" s="10"/>
      <c r="L253" s="276">
        <f>I253+J253+K253</f>
        <v>0</v>
      </c>
      <c r="M253" s="25"/>
      <c r="N253" s="10"/>
      <c r="O253" s="26">
        <f>L253+M253+N253</f>
        <v>0</v>
      </c>
      <c r="P253" s="78"/>
      <c r="Q253" s="79">
        <f>O253+P253</f>
        <v>0</v>
      </c>
      <c r="R253" s="87"/>
    </row>
    <row r="254" spans="1:18" ht="12.75">
      <c r="A254" s="36" t="s">
        <v>77</v>
      </c>
      <c r="B254" s="95"/>
      <c r="C254" s="157"/>
      <c r="D254" s="116">
        <f>32303.48+23471.42</f>
        <v>55774.899999999994</v>
      </c>
      <c r="E254" s="214"/>
      <c r="F254" s="224">
        <f>C254+D254+E254</f>
        <v>55774.899999999994</v>
      </c>
      <c r="G254" s="241">
        <f>3475.66+3267.34+1583.29-58.08</f>
        <v>8268.210000000001</v>
      </c>
      <c r="H254" s="242"/>
      <c r="I254" s="276">
        <f>F254+G254+H254</f>
        <v>64043.10999999999</v>
      </c>
      <c r="J254" s="310">
        <f>207.99-148.15</f>
        <v>59.84</v>
      </c>
      <c r="K254" s="10"/>
      <c r="L254" s="276">
        <f>I254+J254+K254</f>
        <v>64102.94999999999</v>
      </c>
      <c r="M254" s="25"/>
      <c r="N254" s="10"/>
      <c r="O254" s="26">
        <f>L254+M254+N254</f>
        <v>64102.94999999999</v>
      </c>
      <c r="P254" s="78"/>
      <c r="Q254" s="79">
        <f>O254+P254</f>
        <v>64102.94999999999</v>
      </c>
      <c r="R254" s="87"/>
    </row>
    <row r="255" spans="1:18" ht="12.75">
      <c r="A255" s="44" t="s">
        <v>317</v>
      </c>
      <c r="B255" s="97"/>
      <c r="C255" s="129">
        <f aca="true" t="shared" si="71" ref="C255:Q255">C256+C271</f>
        <v>256495.47000000003</v>
      </c>
      <c r="D255" s="111">
        <f t="shared" si="71"/>
        <v>20526.07</v>
      </c>
      <c r="E255" s="130">
        <f t="shared" si="71"/>
        <v>0</v>
      </c>
      <c r="F255" s="190">
        <f t="shared" si="71"/>
        <v>277021.54000000004</v>
      </c>
      <c r="G255" s="233">
        <f t="shared" si="71"/>
        <v>12492.12</v>
      </c>
      <c r="H255" s="234">
        <f t="shared" si="71"/>
        <v>0</v>
      </c>
      <c r="I255" s="272">
        <f t="shared" si="71"/>
        <v>289513.66000000003</v>
      </c>
      <c r="J255" s="290">
        <f t="shared" si="71"/>
        <v>5989.08</v>
      </c>
      <c r="K255" s="234">
        <f t="shared" si="71"/>
        <v>0</v>
      </c>
      <c r="L255" s="272">
        <f t="shared" si="71"/>
        <v>295502.74000000005</v>
      </c>
      <c r="M255" s="110">
        <f t="shared" si="71"/>
        <v>0</v>
      </c>
      <c r="N255" s="110">
        <f t="shared" si="71"/>
        <v>0</v>
      </c>
      <c r="O255" s="110">
        <f t="shared" si="71"/>
        <v>289763.80000000005</v>
      </c>
      <c r="P255" s="110">
        <f t="shared" si="71"/>
        <v>0</v>
      </c>
      <c r="Q255" s="190">
        <f t="shared" si="71"/>
        <v>289763.80000000005</v>
      </c>
      <c r="R255" s="87"/>
    </row>
    <row r="256" spans="1:18" ht="12.75">
      <c r="A256" s="39" t="s">
        <v>49</v>
      </c>
      <c r="B256" s="96"/>
      <c r="C256" s="156">
        <f aca="true" t="shared" si="72" ref="C256:Q256">SUM(C258:C270)</f>
        <v>253645.47000000003</v>
      </c>
      <c r="D256" s="115">
        <f t="shared" si="72"/>
        <v>11084.07</v>
      </c>
      <c r="E256" s="173">
        <f t="shared" si="72"/>
        <v>0</v>
      </c>
      <c r="F256" s="192">
        <f t="shared" si="72"/>
        <v>264729.54000000004</v>
      </c>
      <c r="G256" s="237">
        <f t="shared" si="72"/>
        <v>11013.12</v>
      </c>
      <c r="H256" s="238">
        <f t="shared" si="72"/>
        <v>0</v>
      </c>
      <c r="I256" s="274">
        <f t="shared" si="72"/>
        <v>275742.66000000003</v>
      </c>
      <c r="J256" s="278">
        <f t="shared" si="72"/>
        <v>5257.74</v>
      </c>
      <c r="K256" s="238">
        <f t="shared" si="72"/>
        <v>0</v>
      </c>
      <c r="L256" s="274">
        <f t="shared" si="72"/>
        <v>281000.4</v>
      </c>
      <c r="M256" s="114">
        <f t="shared" si="72"/>
        <v>0</v>
      </c>
      <c r="N256" s="114">
        <f t="shared" si="72"/>
        <v>0</v>
      </c>
      <c r="O256" s="114">
        <f t="shared" si="72"/>
        <v>275892.80000000005</v>
      </c>
      <c r="P256" s="114">
        <f t="shared" si="72"/>
        <v>0</v>
      </c>
      <c r="Q256" s="192">
        <f t="shared" si="72"/>
        <v>275892.80000000005</v>
      </c>
      <c r="R256" s="87"/>
    </row>
    <row r="257" spans="1:18" ht="12.75">
      <c r="A257" s="35" t="s">
        <v>26</v>
      </c>
      <c r="B257" s="92"/>
      <c r="C257" s="135"/>
      <c r="D257" s="108"/>
      <c r="E257" s="136"/>
      <c r="F257" s="188"/>
      <c r="G257" s="229"/>
      <c r="H257" s="230"/>
      <c r="I257" s="271"/>
      <c r="J257" s="305"/>
      <c r="K257" s="7"/>
      <c r="L257" s="271"/>
      <c r="M257" s="21"/>
      <c r="N257" s="7"/>
      <c r="O257" s="22"/>
      <c r="P257" s="75"/>
      <c r="Q257" s="73"/>
      <c r="R257" s="87"/>
    </row>
    <row r="258" spans="1:18" ht="12.75">
      <c r="A258" s="37" t="s">
        <v>74</v>
      </c>
      <c r="B258" s="92"/>
      <c r="C258" s="135">
        <v>203580.2</v>
      </c>
      <c r="D258" s="108">
        <f>510+2680</f>
        <v>3190</v>
      </c>
      <c r="E258" s="136"/>
      <c r="F258" s="188">
        <f aca="true" t="shared" si="73" ref="F258:F270">C258+D258+E258</f>
        <v>206770.2</v>
      </c>
      <c r="G258" s="229">
        <f>4840+572.7+700+2284.5</f>
        <v>8397.2</v>
      </c>
      <c r="H258" s="230"/>
      <c r="I258" s="271">
        <f>F258+G258+H258</f>
        <v>215167.40000000002</v>
      </c>
      <c r="J258" s="305">
        <f>1060+200.7</f>
        <v>1260.7</v>
      </c>
      <c r="K258" s="7"/>
      <c r="L258" s="271">
        <f>I258+J258+K258</f>
        <v>216428.10000000003</v>
      </c>
      <c r="M258" s="21"/>
      <c r="N258" s="7"/>
      <c r="O258" s="22">
        <f>L258+M258+N258</f>
        <v>216428.10000000003</v>
      </c>
      <c r="P258" s="75"/>
      <c r="Q258" s="73">
        <f aca="true" t="shared" si="74" ref="Q258:Q270">O258+P258</f>
        <v>216428.10000000003</v>
      </c>
      <c r="R258" s="87"/>
    </row>
    <row r="259" spans="1:18" ht="12.75">
      <c r="A259" s="37" t="s">
        <v>51</v>
      </c>
      <c r="B259" s="92"/>
      <c r="C259" s="135">
        <v>31008.2</v>
      </c>
      <c r="D259" s="108">
        <f>103-6509.6+1270.24-400-30-111+230+25</f>
        <v>-5422.360000000001</v>
      </c>
      <c r="E259" s="136"/>
      <c r="F259" s="188">
        <f t="shared" si="73"/>
        <v>25585.84</v>
      </c>
      <c r="G259" s="229">
        <f>16375.07-1850-25+715.5</f>
        <v>15215.57</v>
      </c>
      <c r="H259" s="230"/>
      <c r="I259" s="271">
        <f aca="true" t="shared" si="75" ref="I259:I270">F259+G259+H259</f>
        <v>40801.41</v>
      </c>
      <c r="J259" s="305">
        <f>150+600</f>
        <v>750</v>
      </c>
      <c r="K259" s="7"/>
      <c r="L259" s="271">
        <f aca="true" t="shared" si="76" ref="L259:L269">I259+J259+K259</f>
        <v>41551.41</v>
      </c>
      <c r="M259" s="21"/>
      <c r="N259" s="7"/>
      <c r="O259" s="22">
        <f aca="true" t="shared" si="77" ref="O259:O270">L259+M259+N259</f>
        <v>41551.41</v>
      </c>
      <c r="P259" s="75"/>
      <c r="Q259" s="73">
        <f t="shared" si="74"/>
        <v>41551.41</v>
      </c>
      <c r="R259" s="87"/>
    </row>
    <row r="260" spans="1:18" ht="12.75">
      <c r="A260" s="37" t="s">
        <v>310</v>
      </c>
      <c r="B260" s="92"/>
      <c r="C260" s="135">
        <v>15375.07</v>
      </c>
      <c r="D260" s="108">
        <f>1000</f>
        <v>1000</v>
      </c>
      <c r="E260" s="136"/>
      <c r="F260" s="188">
        <f t="shared" si="73"/>
        <v>16375.07</v>
      </c>
      <c r="G260" s="229">
        <f>-16375.07</f>
        <v>-16375.07</v>
      </c>
      <c r="H260" s="230"/>
      <c r="I260" s="271">
        <f t="shared" si="75"/>
        <v>0</v>
      </c>
      <c r="J260" s="305"/>
      <c r="K260" s="7"/>
      <c r="L260" s="271">
        <f t="shared" si="76"/>
        <v>0</v>
      </c>
      <c r="M260" s="21"/>
      <c r="N260" s="7"/>
      <c r="O260" s="22"/>
      <c r="P260" s="75"/>
      <c r="Q260" s="73"/>
      <c r="R260" s="87"/>
    </row>
    <row r="261" spans="1:18" ht="12.75">
      <c r="A261" s="37" t="s">
        <v>131</v>
      </c>
      <c r="B261" s="92"/>
      <c r="C261" s="135">
        <v>3482</v>
      </c>
      <c r="D261" s="108">
        <f>111</f>
        <v>111</v>
      </c>
      <c r="E261" s="136"/>
      <c r="F261" s="188">
        <f t="shared" si="73"/>
        <v>3593</v>
      </c>
      <c r="G261" s="229"/>
      <c r="H261" s="230"/>
      <c r="I261" s="271">
        <f t="shared" si="75"/>
        <v>3593</v>
      </c>
      <c r="J261" s="305"/>
      <c r="K261" s="7"/>
      <c r="L261" s="271">
        <f t="shared" si="76"/>
        <v>3593</v>
      </c>
      <c r="M261" s="21"/>
      <c r="N261" s="7"/>
      <c r="O261" s="22">
        <f t="shared" si="77"/>
        <v>3593</v>
      </c>
      <c r="P261" s="75"/>
      <c r="Q261" s="73">
        <f t="shared" si="74"/>
        <v>3593</v>
      </c>
      <c r="R261" s="87"/>
    </row>
    <row r="262" spans="1:18" ht="12.75">
      <c r="A262" s="37" t="s">
        <v>65</v>
      </c>
      <c r="B262" s="92"/>
      <c r="C262" s="135"/>
      <c r="D262" s="108">
        <f>6509.6+400</f>
        <v>6909.6</v>
      </c>
      <c r="E262" s="136"/>
      <c r="F262" s="188">
        <f t="shared" si="73"/>
        <v>6909.6</v>
      </c>
      <c r="G262" s="229">
        <f>1850</f>
        <v>1850</v>
      </c>
      <c r="H262" s="230"/>
      <c r="I262" s="271">
        <f t="shared" si="75"/>
        <v>8759.6</v>
      </c>
      <c r="J262" s="305">
        <f>-150</f>
        <v>-150</v>
      </c>
      <c r="K262" s="7"/>
      <c r="L262" s="271">
        <f t="shared" si="76"/>
        <v>8609.6</v>
      </c>
      <c r="M262" s="21"/>
      <c r="N262" s="7"/>
      <c r="O262" s="22">
        <f t="shared" si="77"/>
        <v>8609.6</v>
      </c>
      <c r="P262" s="75"/>
      <c r="Q262" s="73">
        <f t="shared" si="74"/>
        <v>8609.6</v>
      </c>
      <c r="R262" s="87"/>
    </row>
    <row r="263" spans="1:18" ht="12.75">
      <c r="A263" s="37" t="s">
        <v>90</v>
      </c>
      <c r="B263" s="92">
        <v>34070</v>
      </c>
      <c r="C263" s="135"/>
      <c r="D263" s="108"/>
      <c r="E263" s="136"/>
      <c r="F263" s="188">
        <f t="shared" si="73"/>
        <v>0</v>
      </c>
      <c r="G263" s="229">
        <f>860</f>
        <v>860</v>
      </c>
      <c r="H263" s="230"/>
      <c r="I263" s="271">
        <f t="shared" si="75"/>
        <v>860</v>
      </c>
      <c r="J263" s="305">
        <f>25+213.86+345+160+160</f>
        <v>903.86</v>
      </c>
      <c r="K263" s="7"/>
      <c r="L263" s="271">
        <f t="shared" si="76"/>
        <v>1763.8600000000001</v>
      </c>
      <c r="M263" s="21"/>
      <c r="N263" s="7"/>
      <c r="O263" s="22">
        <f t="shared" si="77"/>
        <v>1763.8600000000001</v>
      </c>
      <c r="P263" s="75"/>
      <c r="Q263" s="73">
        <f t="shared" si="74"/>
        <v>1763.8600000000001</v>
      </c>
      <c r="R263" s="87"/>
    </row>
    <row r="264" spans="1:18" ht="12.75">
      <c r="A264" s="37" t="s">
        <v>91</v>
      </c>
      <c r="B264" s="92">
        <v>34053</v>
      </c>
      <c r="C264" s="135"/>
      <c r="D264" s="108"/>
      <c r="E264" s="136"/>
      <c r="F264" s="188">
        <f t="shared" si="73"/>
        <v>0</v>
      </c>
      <c r="G264" s="229">
        <f>334+122</f>
        <v>456</v>
      </c>
      <c r="H264" s="230"/>
      <c r="I264" s="271">
        <f t="shared" si="75"/>
        <v>456</v>
      </c>
      <c r="J264" s="305"/>
      <c r="K264" s="7"/>
      <c r="L264" s="271">
        <f t="shared" si="76"/>
        <v>456</v>
      </c>
      <c r="M264" s="21"/>
      <c r="N264" s="7"/>
      <c r="O264" s="22">
        <f t="shared" si="77"/>
        <v>456</v>
      </c>
      <c r="P264" s="75"/>
      <c r="Q264" s="73">
        <f t="shared" si="74"/>
        <v>456</v>
      </c>
      <c r="R264" s="87"/>
    </row>
    <row r="265" spans="1:18" ht="12.75">
      <c r="A265" s="37" t="s">
        <v>359</v>
      </c>
      <c r="B265" s="92">
        <v>34017</v>
      </c>
      <c r="C265" s="135"/>
      <c r="D265" s="108"/>
      <c r="E265" s="136"/>
      <c r="F265" s="188">
        <f t="shared" si="73"/>
        <v>0</v>
      </c>
      <c r="G265" s="229">
        <f>137+31.29</f>
        <v>168.29</v>
      </c>
      <c r="H265" s="230"/>
      <c r="I265" s="271">
        <f t="shared" si="75"/>
        <v>168.29</v>
      </c>
      <c r="J265" s="305"/>
      <c r="K265" s="7"/>
      <c r="L265" s="271">
        <f t="shared" si="76"/>
        <v>168.29</v>
      </c>
      <c r="M265" s="21"/>
      <c r="N265" s="7"/>
      <c r="O265" s="22"/>
      <c r="P265" s="75"/>
      <c r="Q265" s="73"/>
      <c r="R265" s="87"/>
    </row>
    <row r="266" spans="1:18" ht="12.75">
      <c r="A266" s="37" t="s">
        <v>349</v>
      </c>
      <c r="B266" s="92">
        <v>34019</v>
      </c>
      <c r="C266" s="135"/>
      <c r="D266" s="108"/>
      <c r="E266" s="136"/>
      <c r="F266" s="188">
        <f t="shared" si="73"/>
        <v>0</v>
      </c>
      <c r="G266" s="229">
        <f>41.13</f>
        <v>41.13</v>
      </c>
      <c r="H266" s="230"/>
      <c r="I266" s="271">
        <f t="shared" si="75"/>
        <v>41.13</v>
      </c>
      <c r="J266" s="305"/>
      <c r="K266" s="7"/>
      <c r="L266" s="271">
        <f t="shared" si="76"/>
        <v>41.13</v>
      </c>
      <c r="M266" s="21"/>
      <c r="N266" s="7"/>
      <c r="O266" s="22"/>
      <c r="P266" s="75"/>
      <c r="Q266" s="73"/>
      <c r="R266" s="87"/>
    </row>
    <row r="267" spans="1:18" ht="12.75">
      <c r="A267" s="37" t="s">
        <v>350</v>
      </c>
      <c r="B267" s="92">
        <v>34026</v>
      </c>
      <c r="C267" s="135"/>
      <c r="D267" s="108"/>
      <c r="E267" s="136"/>
      <c r="F267" s="188">
        <f t="shared" si="73"/>
        <v>0</v>
      </c>
      <c r="G267" s="229">
        <f>400</f>
        <v>400</v>
      </c>
      <c r="H267" s="230"/>
      <c r="I267" s="271">
        <f t="shared" si="75"/>
        <v>400</v>
      </c>
      <c r="J267" s="305"/>
      <c r="K267" s="7"/>
      <c r="L267" s="271">
        <f t="shared" si="76"/>
        <v>400</v>
      </c>
      <c r="M267" s="21"/>
      <c r="N267" s="7"/>
      <c r="O267" s="22"/>
      <c r="P267" s="75"/>
      <c r="Q267" s="73"/>
      <c r="R267" s="87"/>
    </row>
    <row r="268" spans="1:18" ht="12.75">
      <c r="A268" s="37" t="s">
        <v>367</v>
      </c>
      <c r="B268" s="92">
        <v>34031</v>
      </c>
      <c r="C268" s="135"/>
      <c r="D268" s="108"/>
      <c r="E268" s="136"/>
      <c r="F268" s="188"/>
      <c r="G268" s="229"/>
      <c r="H268" s="230"/>
      <c r="I268" s="271">
        <f t="shared" si="75"/>
        <v>0</v>
      </c>
      <c r="J268" s="305">
        <f>110+124+121+99+93+59</f>
        <v>606</v>
      </c>
      <c r="K268" s="7"/>
      <c r="L268" s="271">
        <f t="shared" si="76"/>
        <v>606</v>
      </c>
      <c r="M268" s="21"/>
      <c r="N268" s="7"/>
      <c r="O268" s="22"/>
      <c r="P268" s="75"/>
      <c r="Q268" s="73"/>
      <c r="R268" s="87"/>
    </row>
    <row r="269" spans="1:18" ht="12.75">
      <c r="A269" s="37" t="s">
        <v>267</v>
      </c>
      <c r="B269" s="92"/>
      <c r="C269" s="135"/>
      <c r="D269" s="108">
        <f>1805</f>
        <v>1805</v>
      </c>
      <c r="E269" s="136"/>
      <c r="F269" s="188">
        <f t="shared" si="73"/>
        <v>1805</v>
      </c>
      <c r="G269" s="229"/>
      <c r="H269" s="230"/>
      <c r="I269" s="271">
        <f t="shared" si="75"/>
        <v>1805</v>
      </c>
      <c r="J269" s="305">
        <f>2087.18</f>
        <v>2087.18</v>
      </c>
      <c r="K269" s="7"/>
      <c r="L269" s="271">
        <f t="shared" si="76"/>
        <v>3892.18</v>
      </c>
      <c r="M269" s="21"/>
      <c r="N269" s="7"/>
      <c r="O269" s="22"/>
      <c r="P269" s="75"/>
      <c r="Q269" s="73"/>
      <c r="R269" s="87"/>
    </row>
    <row r="270" spans="1:18" ht="12.75">
      <c r="A270" s="37" t="s">
        <v>77</v>
      </c>
      <c r="B270" s="92"/>
      <c r="C270" s="135">
        <v>200</v>
      </c>
      <c r="D270" s="108">
        <f>490.83+3000</f>
        <v>3490.83</v>
      </c>
      <c r="E270" s="136"/>
      <c r="F270" s="188">
        <f t="shared" si="73"/>
        <v>3690.83</v>
      </c>
      <c r="G270" s="229"/>
      <c r="H270" s="230"/>
      <c r="I270" s="271">
        <f t="shared" si="75"/>
        <v>3690.83</v>
      </c>
      <c r="J270" s="305">
        <f>-200</f>
        <v>-200</v>
      </c>
      <c r="K270" s="7"/>
      <c r="L270" s="271">
        <f>I270+J270+K270</f>
        <v>3490.83</v>
      </c>
      <c r="M270" s="21"/>
      <c r="N270" s="7"/>
      <c r="O270" s="22">
        <f t="shared" si="77"/>
        <v>3490.83</v>
      </c>
      <c r="P270" s="75"/>
      <c r="Q270" s="73">
        <f t="shared" si="74"/>
        <v>3490.83</v>
      </c>
      <c r="R270" s="87"/>
    </row>
    <row r="271" spans="1:18" ht="12.75">
      <c r="A271" s="39" t="s">
        <v>54</v>
      </c>
      <c r="B271" s="96"/>
      <c r="C271" s="156">
        <f>SUM(C273:C277)</f>
        <v>2850</v>
      </c>
      <c r="D271" s="115">
        <f aca="true" t="shared" si="78" ref="D271:Q271">SUM(D273:D277)</f>
        <v>9442</v>
      </c>
      <c r="E271" s="173">
        <f t="shared" si="78"/>
        <v>0</v>
      </c>
      <c r="F271" s="192">
        <f t="shared" si="78"/>
        <v>12292</v>
      </c>
      <c r="G271" s="237">
        <f t="shared" si="78"/>
        <v>1479</v>
      </c>
      <c r="H271" s="238">
        <f t="shared" si="78"/>
        <v>0</v>
      </c>
      <c r="I271" s="274">
        <f t="shared" si="78"/>
        <v>13771</v>
      </c>
      <c r="J271" s="278">
        <f t="shared" si="78"/>
        <v>731.3399999999999</v>
      </c>
      <c r="K271" s="238">
        <f t="shared" si="78"/>
        <v>0</v>
      </c>
      <c r="L271" s="274">
        <f t="shared" si="78"/>
        <v>14502.34</v>
      </c>
      <c r="M271" s="114">
        <f t="shared" si="78"/>
        <v>0</v>
      </c>
      <c r="N271" s="114">
        <f t="shared" si="78"/>
        <v>0</v>
      </c>
      <c r="O271" s="114">
        <f t="shared" si="78"/>
        <v>13871</v>
      </c>
      <c r="P271" s="114">
        <f t="shared" si="78"/>
        <v>0</v>
      </c>
      <c r="Q271" s="192">
        <f t="shared" si="78"/>
        <v>13871</v>
      </c>
      <c r="R271" s="87"/>
    </row>
    <row r="272" spans="1:18" ht="12.75">
      <c r="A272" s="35" t="s">
        <v>26</v>
      </c>
      <c r="B272" s="92"/>
      <c r="C272" s="135"/>
      <c r="D272" s="108"/>
      <c r="E272" s="136"/>
      <c r="F272" s="188"/>
      <c r="G272" s="229"/>
      <c r="H272" s="230"/>
      <c r="I272" s="271"/>
      <c r="J272" s="305"/>
      <c r="K272" s="7"/>
      <c r="L272" s="271"/>
      <c r="M272" s="21"/>
      <c r="N272" s="7"/>
      <c r="O272" s="22"/>
      <c r="P272" s="75"/>
      <c r="Q272" s="73"/>
      <c r="R272" s="87"/>
    </row>
    <row r="273" spans="1:18" ht="12.75">
      <c r="A273" s="37" t="s">
        <v>91</v>
      </c>
      <c r="B273" s="92">
        <v>34544</v>
      </c>
      <c r="C273" s="135"/>
      <c r="D273" s="108"/>
      <c r="E273" s="136"/>
      <c r="F273" s="188">
        <f>C273+D273+E273</f>
        <v>0</v>
      </c>
      <c r="G273" s="229">
        <f>79</f>
        <v>79</v>
      </c>
      <c r="H273" s="230"/>
      <c r="I273" s="271">
        <f>F273+G273+H273</f>
        <v>79</v>
      </c>
      <c r="J273" s="305"/>
      <c r="K273" s="7"/>
      <c r="L273" s="271">
        <f>I273+J273+K273</f>
        <v>79</v>
      </c>
      <c r="M273" s="21"/>
      <c r="N273" s="7"/>
      <c r="O273" s="22">
        <f>L273+M273+N273</f>
        <v>79</v>
      </c>
      <c r="P273" s="75"/>
      <c r="Q273" s="73">
        <f>O273+P273</f>
        <v>79</v>
      </c>
      <c r="R273" s="87"/>
    </row>
    <row r="274" spans="1:18" ht="12.75">
      <c r="A274" s="37" t="s">
        <v>367</v>
      </c>
      <c r="B274" s="92" t="s">
        <v>368</v>
      </c>
      <c r="C274" s="135"/>
      <c r="D274" s="108"/>
      <c r="E274" s="136"/>
      <c r="F274" s="188"/>
      <c r="G274" s="229"/>
      <c r="H274" s="230"/>
      <c r="I274" s="271">
        <f>F274+G274+H274</f>
        <v>0</v>
      </c>
      <c r="J274" s="305">
        <f>75+412.34+144</f>
        <v>631.3399999999999</v>
      </c>
      <c r="K274" s="7"/>
      <c r="L274" s="271">
        <f>I274+J274+K274</f>
        <v>631.3399999999999</v>
      </c>
      <c r="M274" s="21"/>
      <c r="N274" s="7"/>
      <c r="O274" s="22"/>
      <c r="P274" s="75"/>
      <c r="Q274" s="73"/>
      <c r="R274" s="87"/>
    </row>
    <row r="275" spans="1:18" ht="12.75">
      <c r="A275" s="186" t="s">
        <v>86</v>
      </c>
      <c r="B275" s="95"/>
      <c r="C275" s="157">
        <v>2850</v>
      </c>
      <c r="D275" s="211">
        <f>1352+8000+90</f>
        <v>9442</v>
      </c>
      <c r="E275" s="214"/>
      <c r="F275" s="224">
        <f>C275+D275+E275</f>
        <v>12292</v>
      </c>
      <c r="G275" s="241">
        <f>1000+400</f>
        <v>1400</v>
      </c>
      <c r="H275" s="242"/>
      <c r="I275" s="276">
        <f>F275+G275+H275</f>
        <v>13692</v>
      </c>
      <c r="J275" s="309">
        <f>100</f>
        <v>100</v>
      </c>
      <c r="K275" s="10"/>
      <c r="L275" s="276">
        <f>I275+J275+K275</f>
        <v>13792</v>
      </c>
      <c r="M275" s="21"/>
      <c r="N275" s="7"/>
      <c r="O275" s="22">
        <f>L275+M275+N275</f>
        <v>13792</v>
      </c>
      <c r="P275" s="75"/>
      <c r="Q275" s="73">
        <f>O275+P275</f>
        <v>13792</v>
      </c>
      <c r="R275" s="87"/>
    </row>
    <row r="276" spans="1:18" ht="12.75" hidden="1">
      <c r="A276" s="90" t="s">
        <v>55</v>
      </c>
      <c r="B276" s="92"/>
      <c r="C276" s="135"/>
      <c r="D276" s="108"/>
      <c r="E276" s="136"/>
      <c r="F276" s="188">
        <f>C276+D276+E276</f>
        <v>0</v>
      </c>
      <c r="G276" s="229"/>
      <c r="H276" s="230"/>
      <c r="I276" s="271"/>
      <c r="J276" s="305"/>
      <c r="K276" s="7"/>
      <c r="L276" s="271">
        <f>I276+J276+K276</f>
        <v>0</v>
      </c>
      <c r="M276" s="21"/>
      <c r="N276" s="7"/>
      <c r="O276" s="22">
        <f>L276+M276+N276</f>
        <v>0</v>
      </c>
      <c r="P276" s="75"/>
      <c r="Q276" s="73">
        <f>O276+P276</f>
        <v>0</v>
      </c>
      <c r="R276" s="87"/>
    </row>
    <row r="277" spans="1:18" ht="12.75" hidden="1">
      <c r="A277" s="43" t="s">
        <v>77</v>
      </c>
      <c r="B277" s="95"/>
      <c r="C277" s="157"/>
      <c r="D277" s="116"/>
      <c r="E277" s="214"/>
      <c r="F277" s="224">
        <f>C277+D277+E277</f>
        <v>0</v>
      </c>
      <c r="G277" s="241"/>
      <c r="H277" s="242"/>
      <c r="I277" s="276">
        <f>F277+G277+H277</f>
        <v>0</v>
      </c>
      <c r="J277" s="310"/>
      <c r="K277" s="10"/>
      <c r="L277" s="276">
        <f>I277+J277+K277</f>
        <v>0</v>
      </c>
      <c r="M277" s="70"/>
      <c r="N277" s="10"/>
      <c r="O277" s="26">
        <f>L277+M277+N277</f>
        <v>0</v>
      </c>
      <c r="P277" s="78"/>
      <c r="Q277" s="79">
        <f>O277+P277</f>
        <v>0</v>
      </c>
      <c r="R277" s="87"/>
    </row>
    <row r="278" spans="1:27" ht="12.75">
      <c r="A278" s="30" t="s">
        <v>273</v>
      </c>
      <c r="B278" s="96"/>
      <c r="C278" s="330">
        <f>C279+C282</f>
        <v>1365.7</v>
      </c>
      <c r="D278" s="143">
        <f aca="true" t="shared" si="79" ref="D278:L278">D279+D282</f>
        <v>195</v>
      </c>
      <c r="E278" s="142">
        <f t="shared" si="79"/>
        <v>0</v>
      </c>
      <c r="F278" s="142">
        <f t="shared" si="79"/>
        <v>1560.7</v>
      </c>
      <c r="G278" s="142">
        <f t="shared" si="79"/>
        <v>0</v>
      </c>
      <c r="H278" s="142">
        <f t="shared" si="79"/>
        <v>0</v>
      </c>
      <c r="I278" s="331">
        <f t="shared" si="79"/>
        <v>1560.7</v>
      </c>
      <c r="J278" s="312">
        <f t="shared" si="79"/>
        <v>0</v>
      </c>
      <c r="K278" s="107">
        <f t="shared" si="79"/>
        <v>0</v>
      </c>
      <c r="L278" s="270">
        <f t="shared" si="79"/>
        <v>1560.7</v>
      </c>
      <c r="M278" s="29"/>
      <c r="N278" s="127"/>
      <c r="O278" s="81"/>
      <c r="P278" s="75"/>
      <c r="Q278" s="73"/>
      <c r="R278" s="87"/>
      <c r="Z278" s="189"/>
      <c r="AA278" s="143"/>
    </row>
    <row r="279" spans="1:18" ht="12.75">
      <c r="A279" s="39" t="s">
        <v>49</v>
      </c>
      <c r="B279" s="96"/>
      <c r="C279" s="156">
        <f aca="true" t="shared" si="80" ref="C279:I279">SUM(C281:C281)</f>
        <v>1365.7</v>
      </c>
      <c r="D279" s="115">
        <f t="shared" si="80"/>
        <v>195</v>
      </c>
      <c r="E279" s="173">
        <f t="shared" si="80"/>
        <v>0</v>
      </c>
      <c r="F279" s="192">
        <f t="shared" si="80"/>
        <v>1560.7</v>
      </c>
      <c r="G279" s="237">
        <f t="shared" si="80"/>
        <v>0</v>
      </c>
      <c r="H279" s="238">
        <f t="shared" si="80"/>
        <v>0</v>
      </c>
      <c r="I279" s="274">
        <f t="shared" si="80"/>
        <v>1560.7</v>
      </c>
      <c r="J279" s="278">
        <f>SUM(J281:J281)</f>
        <v>0</v>
      </c>
      <c r="K279" s="238">
        <f>SUM(K281:K281)</f>
        <v>0</v>
      </c>
      <c r="L279" s="274">
        <f>SUM(L281:L281)</f>
        <v>1560.7</v>
      </c>
      <c r="M279" s="29"/>
      <c r="N279" s="127"/>
      <c r="O279" s="81"/>
      <c r="P279" s="75"/>
      <c r="Q279" s="73"/>
      <c r="R279" s="87"/>
    </row>
    <row r="280" spans="1:18" ht="12.75">
      <c r="A280" s="35" t="s">
        <v>26</v>
      </c>
      <c r="B280" s="92"/>
      <c r="C280" s="135"/>
      <c r="D280" s="108"/>
      <c r="E280" s="136"/>
      <c r="F280" s="188"/>
      <c r="G280" s="229"/>
      <c r="H280" s="230"/>
      <c r="I280" s="271"/>
      <c r="J280" s="305"/>
      <c r="K280" s="7"/>
      <c r="L280" s="271"/>
      <c r="M280" s="29"/>
      <c r="N280" s="127"/>
      <c r="O280" s="81"/>
      <c r="P280" s="75"/>
      <c r="Q280" s="73"/>
      <c r="R280" s="87"/>
    </row>
    <row r="281" spans="1:18" ht="12.75">
      <c r="A281" s="36" t="s">
        <v>51</v>
      </c>
      <c r="B281" s="95"/>
      <c r="C281" s="157">
        <v>1365.7</v>
      </c>
      <c r="D281" s="116">
        <f>195</f>
        <v>195</v>
      </c>
      <c r="E281" s="214"/>
      <c r="F281" s="224">
        <f>C281+D281+E281</f>
        <v>1560.7</v>
      </c>
      <c r="G281" s="241"/>
      <c r="H281" s="242"/>
      <c r="I281" s="276">
        <f>F281+G281+H281</f>
        <v>1560.7</v>
      </c>
      <c r="J281" s="309"/>
      <c r="K281" s="10"/>
      <c r="L281" s="276">
        <f>I281+J281+K281</f>
        <v>1560.7</v>
      </c>
      <c r="M281" s="29"/>
      <c r="N281" s="127"/>
      <c r="O281" s="81"/>
      <c r="P281" s="75"/>
      <c r="Q281" s="73"/>
      <c r="R281" s="87"/>
    </row>
    <row r="282" spans="1:18" ht="12.75" hidden="1">
      <c r="A282" s="39" t="s">
        <v>54</v>
      </c>
      <c r="B282" s="96"/>
      <c r="C282" s="156">
        <f>C284</f>
        <v>0</v>
      </c>
      <c r="D282" s="156">
        <f aca="true" t="shared" si="81" ref="D282:P282">D284</f>
        <v>0</v>
      </c>
      <c r="E282" s="156">
        <f t="shared" si="81"/>
        <v>0</v>
      </c>
      <c r="F282" s="156">
        <f t="shared" si="81"/>
        <v>0</v>
      </c>
      <c r="G282" s="156">
        <f t="shared" si="81"/>
        <v>0</v>
      </c>
      <c r="H282" s="156">
        <f t="shared" si="81"/>
        <v>0</v>
      </c>
      <c r="I282" s="156">
        <f t="shared" si="81"/>
        <v>0</v>
      </c>
      <c r="J282" s="313">
        <f t="shared" si="81"/>
        <v>0</v>
      </c>
      <c r="K282" s="115">
        <f t="shared" si="81"/>
        <v>0</v>
      </c>
      <c r="L282" s="274">
        <f t="shared" si="81"/>
        <v>0</v>
      </c>
      <c r="M282" s="156">
        <f t="shared" si="81"/>
        <v>0</v>
      </c>
      <c r="N282" s="156">
        <f t="shared" si="81"/>
        <v>0</v>
      </c>
      <c r="O282" s="156">
        <f t="shared" si="81"/>
        <v>0</v>
      </c>
      <c r="P282" s="156">
        <f t="shared" si="81"/>
        <v>0</v>
      </c>
      <c r="Q282" s="192">
        <f>SUM(Q284:Q286)</f>
        <v>107548.09999999999</v>
      </c>
      <c r="R282" s="87"/>
    </row>
    <row r="283" spans="1:18" ht="12.75" hidden="1">
      <c r="A283" s="35" t="s">
        <v>26</v>
      </c>
      <c r="B283" s="92"/>
      <c r="C283" s="135"/>
      <c r="D283" s="108"/>
      <c r="E283" s="136"/>
      <c r="F283" s="188"/>
      <c r="G283" s="229"/>
      <c r="H283" s="230"/>
      <c r="I283" s="271"/>
      <c r="J283" s="305"/>
      <c r="K283" s="7"/>
      <c r="L283" s="271"/>
      <c r="M283" s="21"/>
      <c r="N283" s="7"/>
      <c r="O283" s="22"/>
      <c r="P283" s="75"/>
      <c r="Q283" s="73"/>
      <c r="R283" s="87"/>
    </row>
    <row r="284" spans="1:18" ht="12.75" hidden="1">
      <c r="A284" s="186" t="s">
        <v>55</v>
      </c>
      <c r="B284" s="95"/>
      <c r="C284" s="157"/>
      <c r="D284" s="116"/>
      <c r="E284" s="214"/>
      <c r="F284" s="224">
        <f>C284+D284+E284</f>
        <v>0</v>
      </c>
      <c r="G284" s="229"/>
      <c r="H284" s="230"/>
      <c r="I284" s="271"/>
      <c r="J284" s="305"/>
      <c r="K284" s="7"/>
      <c r="L284" s="271">
        <f>I284+J284+K284</f>
        <v>0</v>
      </c>
      <c r="M284" s="21"/>
      <c r="N284" s="7"/>
      <c r="O284" s="22">
        <f>L284+M284+N284</f>
        <v>0</v>
      </c>
      <c r="P284" s="75"/>
      <c r="Q284" s="73">
        <f>O284+P284</f>
        <v>0</v>
      </c>
      <c r="R284" s="87"/>
    </row>
    <row r="285" spans="1:18" ht="12.75">
      <c r="A285" s="30" t="s">
        <v>48</v>
      </c>
      <c r="B285" s="94"/>
      <c r="C285" s="142">
        <f aca="true" t="shared" si="82" ref="C285:Q285">C286+C299</f>
        <v>62729.03999999999</v>
      </c>
      <c r="D285" s="107">
        <f t="shared" si="82"/>
        <v>21945.010000000002</v>
      </c>
      <c r="E285" s="143">
        <f t="shared" si="82"/>
        <v>0</v>
      </c>
      <c r="F285" s="187">
        <f t="shared" si="82"/>
        <v>84674.04999999999</v>
      </c>
      <c r="G285" s="227">
        <f t="shared" si="82"/>
        <v>190</v>
      </c>
      <c r="H285" s="228">
        <f t="shared" si="82"/>
        <v>0</v>
      </c>
      <c r="I285" s="270">
        <f t="shared" si="82"/>
        <v>84864.04999999999</v>
      </c>
      <c r="J285" s="288">
        <f>J286+J299</f>
        <v>4400</v>
      </c>
      <c r="K285" s="228">
        <f>K286+K299</f>
        <v>0</v>
      </c>
      <c r="L285" s="270">
        <f>L286+L299</f>
        <v>89264.04999999999</v>
      </c>
      <c r="M285" s="106">
        <f t="shared" si="82"/>
        <v>0</v>
      </c>
      <c r="N285" s="106">
        <f t="shared" si="82"/>
        <v>0</v>
      </c>
      <c r="O285" s="106">
        <f t="shared" si="82"/>
        <v>54174.049999999996</v>
      </c>
      <c r="P285" s="106">
        <f t="shared" si="82"/>
        <v>0</v>
      </c>
      <c r="Q285" s="187">
        <f t="shared" si="82"/>
        <v>54174.049999999996</v>
      </c>
      <c r="R285" s="87"/>
    </row>
    <row r="286" spans="1:18" ht="12.75">
      <c r="A286" s="39" t="s">
        <v>49</v>
      </c>
      <c r="B286" s="94"/>
      <c r="C286" s="156">
        <f aca="true" t="shared" si="83" ref="C286:Q286">SUM(C288:C298)</f>
        <v>61929.03999999999</v>
      </c>
      <c r="D286" s="115">
        <f t="shared" si="83"/>
        <v>20645.010000000002</v>
      </c>
      <c r="E286" s="173">
        <f t="shared" si="83"/>
        <v>0</v>
      </c>
      <c r="F286" s="192">
        <f t="shared" si="83"/>
        <v>82574.04999999999</v>
      </c>
      <c r="G286" s="237">
        <f t="shared" si="83"/>
        <v>0</v>
      </c>
      <c r="H286" s="238">
        <f t="shared" si="83"/>
        <v>0</v>
      </c>
      <c r="I286" s="274">
        <f t="shared" si="83"/>
        <v>82574.04999999999</v>
      </c>
      <c r="J286" s="278">
        <f>SUM(J288:J298)</f>
        <v>4400</v>
      </c>
      <c r="K286" s="238">
        <f>SUM(K288:K298)</f>
        <v>0</v>
      </c>
      <c r="L286" s="274">
        <f>SUM(L288:L298)</f>
        <v>86974.04999999999</v>
      </c>
      <c r="M286" s="114">
        <f t="shared" si="83"/>
        <v>0</v>
      </c>
      <c r="N286" s="114">
        <f t="shared" si="83"/>
        <v>0</v>
      </c>
      <c r="O286" s="114">
        <f t="shared" si="83"/>
        <v>53374.049999999996</v>
      </c>
      <c r="P286" s="114">
        <f t="shared" si="83"/>
        <v>0</v>
      </c>
      <c r="Q286" s="192">
        <f t="shared" si="83"/>
        <v>53374.049999999996</v>
      </c>
      <c r="R286" s="87"/>
    </row>
    <row r="287" spans="1:18" ht="12.75">
      <c r="A287" s="35" t="s">
        <v>26</v>
      </c>
      <c r="B287" s="67"/>
      <c r="C287" s="135"/>
      <c r="D287" s="108"/>
      <c r="E287" s="136"/>
      <c r="F287" s="188"/>
      <c r="G287" s="229"/>
      <c r="H287" s="230"/>
      <c r="I287" s="271"/>
      <c r="J287" s="305"/>
      <c r="K287" s="7"/>
      <c r="L287" s="271"/>
      <c r="M287" s="21"/>
      <c r="N287" s="7"/>
      <c r="O287" s="22"/>
      <c r="P287" s="75"/>
      <c r="Q287" s="73"/>
      <c r="R287" s="87"/>
    </row>
    <row r="288" spans="1:18" ht="12.75">
      <c r="A288" s="33" t="s">
        <v>135</v>
      </c>
      <c r="B288" s="92"/>
      <c r="C288" s="135">
        <v>28272.67</v>
      </c>
      <c r="D288" s="108"/>
      <c r="E288" s="136"/>
      <c r="F288" s="188">
        <f aca="true" t="shared" si="84" ref="F288:F298">C288+D288+E288</f>
        <v>28272.67</v>
      </c>
      <c r="G288" s="229"/>
      <c r="H288" s="230"/>
      <c r="I288" s="271">
        <f>F288+G288+H288</f>
        <v>28272.67</v>
      </c>
      <c r="J288" s="305"/>
      <c r="K288" s="7"/>
      <c r="L288" s="271">
        <f>I288+J288+K288</f>
        <v>28272.67</v>
      </c>
      <c r="M288" s="21"/>
      <c r="N288" s="7"/>
      <c r="O288" s="22">
        <f>L288+M288+N288</f>
        <v>28272.67</v>
      </c>
      <c r="P288" s="75"/>
      <c r="Q288" s="73">
        <f>O288+P288</f>
        <v>28272.67</v>
      </c>
      <c r="R288" s="87"/>
    </row>
    <row r="289" spans="1:18" ht="12.75">
      <c r="A289" s="33" t="s">
        <v>50</v>
      </c>
      <c r="B289" s="92"/>
      <c r="C289" s="135">
        <v>7192.59</v>
      </c>
      <c r="D289" s="108"/>
      <c r="E289" s="136"/>
      <c r="F289" s="188">
        <f t="shared" si="84"/>
        <v>7192.59</v>
      </c>
      <c r="G289" s="229"/>
      <c r="H289" s="230"/>
      <c r="I289" s="271">
        <f>F289+G289+H289</f>
        <v>7192.59</v>
      </c>
      <c r="J289" s="305"/>
      <c r="K289" s="7"/>
      <c r="L289" s="271">
        <f>I289+J289+K289</f>
        <v>7192.59</v>
      </c>
      <c r="M289" s="21"/>
      <c r="N289" s="7"/>
      <c r="O289" s="22">
        <f>L289+M289+N289</f>
        <v>7192.59</v>
      </c>
      <c r="P289" s="75"/>
      <c r="Q289" s="73">
        <f>O289+P289</f>
        <v>7192.59</v>
      </c>
      <c r="R289" s="87"/>
    </row>
    <row r="290" spans="1:18" ht="12.75">
      <c r="A290" s="33" t="s">
        <v>243</v>
      </c>
      <c r="B290" s="92"/>
      <c r="C290" s="135">
        <v>1450</v>
      </c>
      <c r="D290" s="108"/>
      <c r="E290" s="136"/>
      <c r="F290" s="188">
        <f t="shared" si="84"/>
        <v>1450</v>
      </c>
      <c r="G290" s="229"/>
      <c r="H290" s="230"/>
      <c r="I290" s="271">
        <f>F290+G290+H290</f>
        <v>1450</v>
      </c>
      <c r="J290" s="305"/>
      <c r="K290" s="7"/>
      <c r="L290" s="271">
        <f>I290+J290+K290</f>
        <v>1450</v>
      </c>
      <c r="M290" s="21"/>
      <c r="N290" s="7"/>
      <c r="O290" s="22">
        <f>L290+M290+N290</f>
        <v>1450</v>
      </c>
      <c r="P290" s="75"/>
      <c r="Q290" s="73">
        <f>O290+P290</f>
        <v>1450</v>
      </c>
      <c r="R290" s="87"/>
    </row>
    <row r="291" spans="1:18" ht="12.75">
      <c r="A291" s="33" t="s">
        <v>51</v>
      </c>
      <c r="B291" s="92"/>
      <c r="C291" s="135">
        <v>15713.78</v>
      </c>
      <c r="D291" s="108">
        <f>214.65+30.36</f>
        <v>245.01</v>
      </c>
      <c r="E291" s="136"/>
      <c r="F291" s="188">
        <f t="shared" si="84"/>
        <v>15958.79</v>
      </c>
      <c r="G291" s="229"/>
      <c r="H291" s="230"/>
      <c r="I291" s="271">
        <f>F291+G291+H291</f>
        <v>15958.79</v>
      </c>
      <c r="J291" s="305"/>
      <c r="K291" s="7"/>
      <c r="L291" s="271">
        <f>I291+J291+K291</f>
        <v>15958.79</v>
      </c>
      <c r="M291" s="21"/>
      <c r="N291" s="7"/>
      <c r="O291" s="22">
        <f>L291+M291+N291</f>
        <v>15958.79</v>
      </c>
      <c r="P291" s="75"/>
      <c r="Q291" s="73">
        <f>O291+P291</f>
        <v>15958.79</v>
      </c>
      <c r="R291" s="87"/>
    </row>
    <row r="292" spans="1:18" ht="12.75" hidden="1">
      <c r="A292" s="33" t="s">
        <v>77</v>
      </c>
      <c r="B292" s="92"/>
      <c r="C292" s="135"/>
      <c r="D292" s="108"/>
      <c r="E292" s="136"/>
      <c r="F292" s="188">
        <f t="shared" si="84"/>
        <v>0</v>
      </c>
      <c r="G292" s="229"/>
      <c r="H292" s="230"/>
      <c r="I292" s="271"/>
      <c r="J292" s="305"/>
      <c r="K292" s="7"/>
      <c r="L292" s="271">
        <f aca="true" t="shared" si="85" ref="L292:L297">I292+J292+K292</f>
        <v>0</v>
      </c>
      <c r="M292" s="21"/>
      <c r="N292" s="7"/>
      <c r="O292" s="22"/>
      <c r="P292" s="75"/>
      <c r="Q292" s="73"/>
      <c r="R292" s="87"/>
    </row>
    <row r="293" spans="1:18" ht="12.75">
      <c r="A293" s="33" t="s">
        <v>52</v>
      </c>
      <c r="B293" s="92"/>
      <c r="C293" s="135">
        <v>500</v>
      </c>
      <c r="D293" s="108"/>
      <c r="E293" s="136"/>
      <c r="F293" s="188">
        <f t="shared" si="84"/>
        <v>500</v>
      </c>
      <c r="G293" s="229"/>
      <c r="H293" s="230"/>
      <c r="I293" s="271">
        <f aca="true" t="shared" si="86" ref="I293:I298">F293+G293+H293</f>
        <v>500</v>
      </c>
      <c r="J293" s="305"/>
      <c r="K293" s="7"/>
      <c r="L293" s="271">
        <f t="shared" si="85"/>
        <v>500</v>
      </c>
      <c r="M293" s="21"/>
      <c r="N293" s="7"/>
      <c r="O293" s="22">
        <f>L293+M293+N293</f>
        <v>500</v>
      </c>
      <c r="P293" s="75"/>
      <c r="Q293" s="73">
        <f>O293+P293</f>
        <v>500</v>
      </c>
      <c r="R293" s="87"/>
    </row>
    <row r="294" spans="1:18" ht="12.75">
      <c r="A294" s="33" t="s">
        <v>313</v>
      </c>
      <c r="B294" s="92">
        <v>98032</v>
      </c>
      <c r="C294" s="135"/>
      <c r="D294" s="108">
        <f>10000</f>
        <v>10000</v>
      </c>
      <c r="E294" s="136"/>
      <c r="F294" s="188">
        <f t="shared" si="84"/>
        <v>10000</v>
      </c>
      <c r="G294" s="229"/>
      <c r="H294" s="230"/>
      <c r="I294" s="271">
        <f t="shared" si="86"/>
        <v>10000</v>
      </c>
      <c r="J294" s="305"/>
      <c r="K294" s="7"/>
      <c r="L294" s="271">
        <f t="shared" si="85"/>
        <v>10000</v>
      </c>
      <c r="M294" s="21"/>
      <c r="N294" s="7"/>
      <c r="O294" s="22"/>
      <c r="P294" s="75"/>
      <c r="Q294" s="73"/>
      <c r="R294" s="87"/>
    </row>
    <row r="295" spans="1:18" ht="12.75">
      <c r="A295" s="33" t="s">
        <v>308</v>
      </c>
      <c r="B295" s="92"/>
      <c r="C295" s="135"/>
      <c r="D295" s="108">
        <f>5000</f>
        <v>5000</v>
      </c>
      <c r="E295" s="136"/>
      <c r="F295" s="188">
        <f t="shared" si="84"/>
        <v>5000</v>
      </c>
      <c r="G295" s="229"/>
      <c r="H295" s="230"/>
      <c r="I295" s="271">
        <f t="shared" si="86"/>
        <v>5000</v>
      </c>
      <c r="J295" s="305"/>
      <c r="K295" s="7"/>
      <c r="L295" s="271">
        <f t="shared" si="85"/>
        <v>5000</v>
      </c>
      <c r="M295" s="21"/>
      <c r="N295" s="7"/>
      <c r="O295" s="22"/>
      <c r="P295" s="75"/>
      <c r="Q295" s="73"/>
      <c r="R295" s="87"/>
    </row>
    <row r="296" spans="1:18" ht="12.75">
      <c r="A296" s="33" t="s">
        <v>244</v>
      </c>
      <c r="B296" s="92"/>
      <c r="C296" s="135">
        <v>8200</v>
      </c>
      <c r="D296" s="108">
        <f>5000</f>
        <v>5000</v>
      </c>
      <c r="E296" s="136"/>
      <c r="F296" s="188">
        <f t="shared" si="84"/>
        <v>13200</v>
      </c>
      <c r="G296" s="229"/>
      <c r="H296" s="230"/>
      <c r="I296" s="271">
        <f t="shared" si="86"/>
        <v>13200</v>
      </c>
      <c r="J296" s="305">
        <f>200+3000</f>
        <v>3200</v>
      </c>
      <c r="K296" s="7"/>
      <c r="L296" s="271">
        <f t="shared" si="85"/>
        <v>16400</v>
      </c>
      <c r="M296" s="21"/>
      <c r="N296" s="7"/>
      <c r="O296" s="22"/>
      <c r="P296" s="75"/>
      <c r="Q296" s="73"/>
      <c r="R296" s="87"/>
    </row>
    <row r="297" spans="1:18" ht="13.5" thickBot="1">
      <c r="A297" s="332" t="s">
        <v>245</v>
      </c>
      <c r="B297" s="133"/>
      <c r="C297" s="159">
        <v>600</v>
      </c>
      <c r="D297" s="134">
        <f>400</f>
        <v>400</v>
      </c>
      <c r="E297" s="213"/>
      <c r="F297" s="223">
        <f t="shared" si="84"/>
        <v>1000</v>
      </c>
      <c r="G297" s="325"/>
      <c r="H297" s="326"/>
      <c r="I297" s="327">
        <f t="shared" si="86"/>
        <v>1000</v>
      </c>
      <c r="J297" s="328">
        <f>1200</f>
        <v>1200</v>
      </c>
      <c r="K297" s="329"/>
      <c r="L297" s="327">
        <f t="shared" si="85"/>
        <v>2200</v>
      </c>
      <c r="M297" s="21"/>
      <c r="N297" s="7"/>
      <c r="O297" s="22"/>
      <c r="P297" s="75"/>
      <c r="Q297" s="73"/>
      <c r="R297" s="87"/>
    </row>
    <row r="298" spans="1:18" ht="12.75" hidden="1">
      <c r="A298" s="33" t="s">
        <v>53</v>
      </c>
      <c r="B298" s="92"/>
      <c r="C298" s="135"/>
      <c r="D298" s="108"/>
      <c r="E298" s="136"/>
      <c r="F298" s="188">
        <f t="shared" si="84"/>
        <v>0</v>
      </c>
      <c r="G298" s="229"/>
      <c r="H298" s="230"/>
      <c r="I298" s="271">
        <f t="shared" si="86"/>
        <v>0</v>
      </c>
      <c r="J298" s="305"/>
      <c r="K298" s="7"/>
      <c r="L298" s="271">
        <f>I298+J298+K298</f>
        <v>0</v>
      </c>
      <c r="M298" s="21"/>
      <c r="N298" s="7"/>
      <c r="O298" s="22">
        <f>L298+M298+N298</f>
        <v>0</v>
      </c>
      <c r="P298" s="75"/>
      <c r="Q298" s="73">
        <f>O298+P298</f>
        <v>0</v>
      </c>
      <c r="R298" s="87"/>
    </row>
    <row r="299" spans="1:18" ht="12.75">
      <c r="A299" s="40" t="s">
        <v>54</v>
      </c>
      <c r="B299" s="96"/>
      <c r="C299" s="158">
        <f aca="true" t="shared" si="87" ref="C299:Q299">SUM(C301:C305)</f>
        <v>800</v>
      </c>
      <c r="D299" s="118">
        <f t="shared" si="87"/>
        <v>1300</v>
      </c>
      <c r="E299" s="174">
        <f t="shared" si="87"/>
        <v>0</v>
      </c>
      <c r="F299" s="193">
        <f t="shared" si="87"/>
        <v>2100</v>
      </c>
      <c r="G299" s="239">
        <f t="shared" si="87"/>
        <v>190</v>
      </c>
      <c r="H299" s="240">
        <f t="shared" si="87"/>
        <v>0</v>
      </c>
      <c r="I299" s="275">
        <f t="shared" si="87"/>
        <v>2290</v>
      </c>
      <c r="J299" s="292">
        <f t="shared" si="87"/>
        <v>0</v>
      </c>
      <c r="K299" s="240">
        <f t="shared" si="87"/>
        <v>0</v>
      </c>
      <c r="L299" s="275">
        <f t="shared" si="87"/>
        <v>2290</v>
      </c>
      <c r="M299" s="117">
        <f t="shared" si="87"/>
        <v>0</v>
      </c>
      <c r="N299" s="117">
        <f t="shared" si="87"/>
        <v>0</v>
      </c>
      <c r="O299" s="117">
        <f t="shared" si="87"/>
        <v>800</v>
      </c>
      <c r="P299" s="117">
        <f t="shared" si="87"/>
        <v>0</v>
      </c>
      <c r="Q299" s="193">
        <f t="shared" si="87"/>
        <v>800</v>
      </c>
      <c r="R299" s="87"/>
    </row>
    <row r="300" spans="1:18" ht="12.75">
      <c r="A300" s="31" t="s">
        <v>26</v>
      </c>
      <c r="B300" s="92"/>
      <c r="C300" s="129"/>
      <c r="D300" s="111"/>
      <c r="E300" s="130"/>
      <c r="F300" s="190"/>
      <c r="G300" s="233"/>
      <c r="H300" s="234"/>
      <c r="I300" s="272"/>
      <c r="J300" s="308"/>
      <c r="K300" s="8"/>
      <c r="L300" s="272"/>
      <c r="M300" s="23"/>
      <c r="N300" s="8"/>
      <c r="O300" s="24"/>
      <c r="P300" s="75"/>
      <c r="Q300" s="73"/>
      <c r="R300" s="87"/>
    </row>
    <row r="301" spans="1:18" ht="12.75" hidden="1">
      <c r="A301" s="33" t="s">
        <v>154</v>
      </c>
      <c r="B301" s="92"/>
      <c r="C301" s="135"/>
      <c r="D301" s="108"/>
      <c r="E301" s="136"/>
      <c r="F301" s="188">
        <f>C301+D301+E301</f>
        <v>0</v>
      </c>
      <c r="G301" s="229"/>
      <c r="H301" s="230"/>
      <c r="I301" s="271">
        <f>F301+G301+H301</f>
        <v>0</v>
      </c>
      <c r="J301" s="305"/>
      <c r="K301" s="7"/>
      <c r="L301" s="271">
        <f>I301+J301+K301</f>
        <v>0</v>
      </c>
      <c r="M301" s="21"/>
      <c r="N301" s="7"/>
      <c r="O301" s="22">
        <f>L301+M301+N301</f>
        <v>0</v>
      </c>
      <c r="P301" s="75"/>
      <c r="Q301" s="73">
        <f>O301+P301</f>
        <v>0</v>
      </c>
      <c r="R301" s="87"/>
    </row>
    <row r="302" spans="1:18" ht="12.75">
      <c r="A302" s="33" t="s">
        <v>244</v>
      </c>
      <c r="B302" s="92"/>
      <c r="C302" s="135">
        <v>800</v>
      </c>
      <c r="D302" s="108">
        <f>500</f>
        <v>500</v>
      </c>
      <c r="E302" s="136"/>
      <c r="F302" s="188">
        <f>C302+D302+E302</f>
        <v>1300</v>
      </c>
      <c r="G302" s="229">
        <f>190</f>
        <v>190</v>
      </c>
      <c r="H302" s="230"/>
      <c r="I302" s="271">
        <f>F302+G302+H302</f>
        <v>1490</v>
      </c>
      <c r="J302" s="305"/>
      <c r="K302" s="7"/>
      <c r="L302" s="271">
        <f>I302+J302+K302</f>
        <v>1490</v>
      </c>
      <c r="M302" s="21"/>
      <c r="N302" s="7"/>
      <c r="O302" s="22"/>
      <c r="P302" s="75"/>
      <c r="Q302" s="73"/>
      <c r="R302" s="87"/>
    </row>
    <row r="303" spans="1:18" ht="12.75" hidden="1">
      <c r="A303" s="36" t="s">
        <v>245</v>
      </c>
      <c r="B303" s="95"/>
      <c r="C303" s="157"/>
      <c r="D303" s="116"/>
      <c r="E303" s="214"/>
      <c r="F303" s="224">
        <f>C303+D303+E303</f>
        <v>0</v>
      </c>
      <c r="G303" s="229"/>
      <c r="H303" s="230"/>
      <c r="I303" s="271"/>
      <c r="J303" s="305"/>
      <c r="K303" s="7"/>
      <c r="L303" s="271"/>
      <c r="M303" s="21"/>
      <c r="N303" s="7"/>
      <c r="O303" s="22"/>
      <c r="P303" s="75"/>
      <c r="Q303" s="73"/>
      <c r="R303" s="87"/>
    </row>
    <row r="304" spans="1:18" ht="12.75" hidden="1">
      <c r="A304" s="33" t="s">
        <v>53</v>
      </c>
      <c r="B304" s="92"/>
      <c r="C304" s="135"/>
      <c r="D304" s="108"/>
      <c r="E304" s="136"/>
      <c r="F304" s="188">
        <f>C304+D304+E304</f>
        <v>0</v>
      </c>
      <c r="G304" s="241"/>
      <c r="H304" s="242"/>
      <c r="I304" s="276">
        <f>F304+G304+H304</f>
        <v>0</v>
      </c>
      <c r="J304" s="310"/>
      <c r="K304" s="10"/>
      <c r="L304" s="276">
        <f>I304+J304+K304</f>
        <v>0</v>
      </c>
      <c r="M304" s="25"/>
      <c r="N304" s="10"/>
      <c r="O304" s="26">
        <f>L304+M304+N304</f>
        <v>0</v>
      </c>
      <c r="P304" s="78"/>
      <c r="Q304" s="79">
        <f>O304+P304</f>
        <v>0</v>
      </c>
      <c r="R304" s="87"/>
    </row>
    <row r="305" spans="1:18" ht="12.75">
      <c r="A305" s="36" t="s">
        <v>55</v>
      </c>
      <c r="B305" s="95"/>
      <c r="C305" s="157"/>
      <c r="D305" s="116">
        <f>800</f>
        <v>800</v>
      </c>
      <c r="E305" s="214"/>
      <c r="F305" s="224">
        <f>C305+D305+E305</f>
        <v>800</v>
      </c>
      <c r="G305" s="241"/>
      <c r="H305" s="242"/>
      <c r="I305" s="276">
        <f>F305+G305+H305</f>
        <v>800</v>
      </c>
      <c r="J305" s="310"/>
      <c r="K305" s="10"/>
      <c r="L305" s="276">
        <f>I305+J305+K305</f>
        <v>800</v>
      </c>
      <c r="M305" s="25"/>
      <c r="N305" s="10"/>
      <c r="O305" s="26">
        <f>L305+M305+N305</f>
        <v>800</v>
      </c>
      <c r="P305" s="75"/>
      <c r="Q305" s="73">
        <f>O305+P305</f>
        <v>800</v>
      </c>
      <c r="R305" s="87"/>
    </row>
    <row r="306" spans="1:18" ht="12.75">
      <c r="A306" s="30" t="s">
        <v>248</v>
      </c>
      <c r="B306" s="96"/>
      <c r="C306" s="142">
        <f aca="true" t="shared" si="88" ref="C306:Q306">C307+C326</f>
        <v>457700.91</v>
      </c>
      <c r="D306" s="107">
        <f t="shared" si="88"/>
        <v>23664.519999999997</v>
      </c>
      <c r="E306" s="143">
        <f t="shared" si="88"/>
        <v>0</v>
      </c>
      <c r="F306" s="187">
        <f t="shared" si="88"/>
        <v>481365.43000000005</v>
      </c>
      <c r="G306" s="227">
        <f t="shared" si="88"/>
        <v>6601.9800000000005</v>
      </c>
      <c r="H306" s="228">
        <f t="shared" si="88"/>
        <v>0</v>
      </c>
      <c r="I306" s="270">
        <f t="shared" si="88"/>
        <v>487967.41000000003</v>
      </c>
      <c r="J306" s="288">
        <f>J307+J326</f>
        <v>1095.28</v>
      </c>
      <c r="K306" s="228">
        <f>K307+K326</f>
        <v>0</v>
      </c>
      <c r="L306" s="270">
        <f>L307+L326</f>
        <v>489062.69</v>
      </c>
      <c r="M306" s="106">
        <f t="shared" si="88"/>
        <v>0</v>
      </c>
      <c r="N306" s="106">
        <f t="shared" si="88"/>
        <v>0</v>
      </c>
      <c r="O306" s="106">
        <f t="shared" si="88"/>
        <v>486509.68000000005</v>
      </c>
      <c r="P306" s="106">
        <f t="shared" si="88"/>
        <v>0</v>
      </c>
      <c r="Q306" s="187">
        <f t="shared" si="88"/>
        <v>486509.68000000005</v>
      </c>
      <c r="R306" s="87"/>
    </row>
    <row r="307" spans="1:18" ht="12.75">
      <c r="A307" s="39" t="s">
        <v>49</v>
      </c>
      <c r="B307" s="96"/>
      <c r="C307" s="156">
        <f aca="true" t="shared" si="89" ref="C307:Q307">SUM(C309:C325)</f>
        <v>457700.91</v>
      </c>
      <c r="D307" s="115">
        <f t="shared" si="89"/>
        <v>23664.519999999997</v>
      </c>
      <c r="E307" s="173">
        <f t="shared" si="89"/>
        <v>0</v>
      </c>
      <c r="F307" s="192">
        <f t="shared" si="89"/>
        <v>481365.43000000005</v>
      </c>
      <c r="G307" s="237">
        <f t="shared" si="89"/>
        <v>6601.9800000000005</v>
      </c>
      <c r="H307" s="238">
        <f t="shared" si="89"/>
        <v>0</v>
      </c>
      <c r="I307" s="274">
        <f t="shared" si="89"/>
        <v>487967.41000000003</v>
      </c>
      <c r="J307" s="278">
        <f>SUM(J309:J325)</f>
        <v>1095.28</v>
      </c>
      <c r="K307" s="238">
        <f>SUM(K309:K325)</f>
        <v>0</v>
      </c>
      <c r="L307" s="274">
        <f>SUM(L309:L325)</f>
        <v>489062.69</v>
      </c>
      <c r="M307" s="114">
        <f t="shared" si="89"/>
        <v>0</v>
      </c>
      <c r="N307" s="114">
        <f t="shared" si="89"/>
        <v>0</v>
      </c>
      <c r="O307" s="114">
        <f t="shared" si="89"/>
        <v>486509.68000000005</v>
      </c>
      <c r="P307" s="114">
        <f t="shared" si="89"/>
        <v>0</v>
      </c>
      <c r="Q307" s="192">
        <f t="shared" si="89"/>
        <v>486509.68000000005</v>
      </c>
      <c r="R307" s="87"/>
    </row>
    <row r="308" spans="1:18" ht="12.75">
      <c r="A308" s="35" t="s">
        <v>26</v>
      </c>
      <c r="B308" s="92"/>
      <c r="C308" s="135"/>
      <c r="D308" s="108"/>
      <c r="E308" s="136"/>
      <c r="F308" s="188"/>
      <c r="G308" s="229"/>
      <c r="H308" s="230"/>
      <c r="I308" s="271"/>
      <c r="J308" s="305"/>
      <c r="K308" s="7"/>
      <c r="L308" s="271"/>
      <c r="M308" s="21"/>
      <c r="N308" s="7"/>
      <c r="O308" s="22"/>
      <c r="P308" s="75"/>
      <c r="Q308" s="73"/>
      <c r="R308" s="87"/>
    </row>
    <row r="309" spans="1:18" ht="12.75">
      <c r="A309" s="42" t="s">
        <v>136</v>
      </c>
      <c r="B309" s="92"/>
      <c r="C309" s="135">
        <v>245389.18</v>
      </c>
      <c r="D309" s="119">
        <f>10126.39+747.39+30</f>
        <v>10903.779999999999</v>
      </c>
      <c r="E309" s="136"/>
      <c r="F309" s="188">
        <f aca="true" t="shared" si="90" ref="F309:F325">C309+D309+E309</f>
        <v>256292.96</v>
      </c>
      <c r="G309" s="229">
        <f>100</f>
        <v>100</v>
      </c>
      <c r="H309" s="230"/>
      <c r="I309" s="271">
        <f>F309+G309+H309</f>
        <v>256392.96</v>
      </c>
      <c r="J309" s="305"/>
      <c r="K309" s="7"/>
      <c r="L309" s="271">
        <f>I309+J309+K309</f>
        <v>256392.96</v>
      </c>
      <c r="M309" s="21"/>
      <c r="N309" s="7"/>
      <c r="O309" s="22">
        <f>L309+M309+N309</f>
        <v>256392.96</v>
      </c>
      <c r="P309" s="75"/>
      <c r="Q309" s="73">
        <f aca="true" t="shared" si="91" ref="Q309:Q316">O309+P309</f>
        <v>256392.96</v>
      </c>
      <c r="R309" s="87"/>
    </row>
    <row r="310" spans="1:18" ht="12.75">
      <c r="A310" s="33" t="s">
        <v>50</v>
      </c>
      <c r="B310" s="92"/>
      <c r="C310" s="135">
        <v>83616.7</v>
      </c>
      <c r="D310" s="108">
        <f>1682.79+252.61</f>
        <v>1935.4</v>
      </c>
      <c r="E310" s="136"/>
      <c r="F310" s="188">
        <f t="shared" si="90"/>
        <v>85552.09999999999</v>
      </c>
      <c r="G310" s="229"/>
      <c r="H310" s="230"/>
      <c r="I310" s="271">
        <f aca="true" t="shared" si="92" ref="I310:I320">F310+G310+H310</f>
        <v>85552.09999999999</v>
      </c>
      <c r="J310" s="305"/>
      <c r="K310" s="7"/>
      <c r="L310" s="271">
        <f aca="true" t="shared" si="93" ref="L310:L324">I310+J310+K310</f>
        <v>85552.09999999999</v>
      </c>
      <c r="M310" s="21"/>
      <c r="N310" s="7"/>
      <c r="O310" s="22">
        <f aca="true" t="shared" si="94" ref="O310:O316">L310+M310+N310</f>
        <v>85552.09999999999</v>
      </c>
      <c r="P310" s="75"/>
      <c r="Q310" s="73">
        <f t="shared" si="91"/>
        <v>85552.09999999999</v>
      </c>
      <c r="R310" s="87"/>
    </row>
    <row r="311" spans="1:18" ht="12.75">
      <c r="A311" s="33" t="s">
        <v>243</v>
      </c>
      <c r="B311" s="92"/>
      <c r="C311" s="135">
        <v>200</v>
      </c>
      <c r="D311" s="108"/>
      <c r="E311" s="136"/>
      <c r="F311" s="188">
        <f t="shared" si="90"/>
        <v>200</v>
      </c>
      <c r="G311" s="229"/>
      <c r="H311" s="230"/>
      <c r="I311" s="271">
        <f t="shared" si="92"/>
        <v>200</v>
      </c>
      <c r="J311" s="305"/>
      <c r="K311" s="7"/>
      <c r="L311" s="271">
        <f t="shared" si="93"/>
        <v>200</v>
      </c>
      <c r="M311" s="21"/>
      <c r="N311" s="7"/>
      <c r="O311" s="22">
        <f t="shared" si="94"/>
        <v>200</v>
      </c>
      <c r="P311" s="75"/>
      <c r="Q311" s="73">
        <f t="shared" si="91"/>
        <v>200</v>
      </c>
      <c r="R311" s="87"/>
    </row>
    <row r="312" spans="1:18" ht="12.75">
      <c r="A312" s="33" t="s">
        <v>51</v>
      </c>
      <c r="B312" s="92"/>
      <c r="C312" s="135">
        <v>64328.3</v>
      </c>
      <c r="D312" s="132">
        <f>9273.47+270+130</f>
        <v>9673.47</v>
      </c>
      <c r="E312" s="136"/>
      <c r="F312" s="188">
        <f t="shared" si="90"/>
        <v>74001.77</v>
      </c>
      <c r="G312" s="229">
        <f>4529.25</f>
        <v>4529.25</v>
      </c>
      <c r="H312" s="230"/>
      <c r="I312" s="271">
        <f t="shared" si="92"/>
        <v>78531.02</v>
      </c>
      <c r="J312" s="305"/>
      <c r="K312" s="7"/>
      <c r="L312" s="271">
        <f t="shared" si="93"/>
        <v>78531.02</v>
      </c>
      <c r="M312" s="21"/>
      <c r="N312" s="7"/>
      <c r="O312" s="22">
        <f t="shared" si="94"/>
        <v>78531.02</v>
      </c>
      <c r="P312" s="75"/>
      <c r="Q312" s="73">
        <f t="shared" si="91"/>
        <v>78531.02</v>
      </c>
      <c r="R312" s="87"/>
    </row>
    <row r="313" spans="1:18" ht="12.75">
      <c r="A313" s="33" t="s">
        <v>56</v>
      </c>
      <c r="B313" s="92">
        <v>1115</v>
      </c>
      <c r="C313" s="135">
        <v>350</v>
      </c>
      <c r="D313" s="108">
        <f>119.51</f>
        <v>119.51</v>
      </c>
      <c r="E313" s="136"/>
      <c r="F313" s="188">
        <f t="shared" si="90"/>
        <v>469.51</v>
      </c>
      <c r="G313" s="229"/>
      <c r="H313" s="230"/>
      <c r="I313" s="271">
        <f t="shared" si="92"/>
        <v>469.51</v>
      </c>
      <c r="J313" s="305"/>
      <c r="K313" s="7"/>
      <c r="L313" s="271">
        <f t="shared" si="93"/>
        <v>469.51</v>
      </c>
      <c r="M313" s="21"/>
      <c r="N313" s="7"/>
      <c r="O313" s="22">
        <f t="shared" si="94"/>
        <v>469.51</v>
      </c>
      <c r="P313" s="75"/>
      <c r="Q313" s="73">
        <f t="shared" si="91"/>
        <v>469.51</v>
      </c>
      <c r="R313" s="87"/>
    </row>
    <row r="314" spans="1:18" ht="12.75" hidden="1">
      <c r="A314" s="33" t="s">
        <v>57</v>
      </c>
      <c r="B314" s="92"/>
      <c r="C314" s="135"/>
      <c r="D314" s="108"/>
      <c r="E314" s="136"/>
      <c r="F314" s="188">
        <f t="shared" si="90"/>
        <v>0</v>
      </c>
      <c r="G314" s="229"/>
      <c r="H314" s="230"/>
      <c r="I314" s="271">
        <f t="shared" si="92"/>
        <v>0</v>
      </c>
      <c r="J314" s="305"/>
      <c r="K314" s="7"/>
      <c r="L314" s="271">
        <f t="shared" si="93"/>
        <v>0</v>
      </c>
      <c r="M314" s="21"/>
      <c r="N314" s="7"/>
      <c r="O314" s="22">
        <f t="shared" si="94"/>
        <v>0</v>
      </c>
      <c r="P314" s="75"/>
      <c r="Q314" s="73">
        <f t="shared" si="91"/>
        <v>0</v>
      </c>
      <c r="R314" s="87"/>
    </row>
    <row r="315" spans="1:18" ht="12.75">
      <c r="A315" s="33" t="s">
        <v>58</v>
      </c>
      <c r="B315" s="92">
        <v>51</v>
      </c>
      <c r="C315" s="135">
        <v>63816.73</v>
      </c>
      <c r="D315" s="108">
        <f>1032.36</f>
        <v>1032.36</v>
      </c>
      <c r="E315" s="136"/>
      <c r="F315" s="188">
        <f t="shared" si="90"/>
        <v>64849.090000000004</v>
      </c>
      <c r="G315" s="229"/>
      <c r="H315" s="230"/>
      <c r="I315" s="271">
        <f t="shared" si="92"/>
        <v>64849.090000000004</v>
      </c>
      <c r="J315" s="305"/>
      <c r="K315" s="7"/>
      <c r="L315" s="271">
        <f t="shared" si="93"/>
        <v>64849.090000000004</v>
      </c>
      <c r="M315" s="21"/>
      <c r="N315" s="7"/>
      <c r="O315" s="22">
        <f t="shared" si="94"/>
        <v>64849.090000000004</v>
      </c>
      <c r="P315" s="75"/>
      <c r="Q315" s="73">
        <f t="shared" si="91"/>
        <v>64849.090000000004</v>
      </c>
      <c r="R315" s="87"/>
    </row>
    <row r="316" spans="1:18" ht="12.75" hidden="1">
      <c r="A316" s="33" t="s">
        <v>76</v>
      </c>
      <c r="B316" s="92"/>
      <c r="C316" s="135"/>
      <c r="D316" s="108"/>
      <c r="E316" s="136"/>
      <c r="F316" s="188">
        <f t="shared" si="90"/>
        <v>0</v>
      </c>
      <c r="G316" s="229"/>
      <c r="H316" s="230"/>
      <c r="I316" s="271">
        <f t="shared" si="92"/>
        <v>0</v>
      </c>
      <c r="J316" s="305"/>
      <c r="K316" s="7"/>
      <c r="L316" s="271">
        <f t="shared" si="93"/>
        <v>0</v>
      </c>
      <c r="M316" s="21"/>
      <c r="N316" s="7"/>
      <c r="O316" s="22">
        <f t="shared" si="94"/>
        <v>0</v>
      </c>
      <c r="P316" s="75"/>
      <c r="Q316" s="73">
        <f t="shared" si="91"/>
        <v>0</v>
      </c>
      <c r="R316" s="87"/>
    </row>
    <row r="317" spans="1:18" ht="12.75">
      <c r="A317" s="33" t="s">
        <v>344</v>
      </c>
      <c r="B317" s="92"/>
      <c r="C317" s="135"/>
      <c r="D317" s="108"/>
      <c r="E317" s="136"/>
      <c r="F317" s="188">
        <f t="shared" si="90"/>
        <v>0</v>
      </c>
      <c r="G317" s="229">
        <f>1074.6</f>
        <v>1074.6</v>
      </c>
      <c r="H317" s="230"/>
      <c r="I317" s="271">
        <f t="shared" si="92"/>
        <v>1074.6</v>
      </c>
      <c r="J317" s="305"/>
      <c r="K317" s="7"/>
      <c r="L317" s="271">
        <f t="shared" si="93"/>
        <v>1074.6</v>
      </c>
      <c r="M317" s="21"/>
      <c r="N317" s="7"/>
      <c r="O317" s="22"/>
      <c r="P317" s="75"/>
      <c r="Q317" s="73"/>
      <c r="R317" s="87"/>
    </row>
    <row r="318" spans="1:18" ht="12.75" hidden="1">
      <c r="A318" s="33" t="s">
        <v>59</v>
      </c>
      <c r="B318" s="92"/>
      <c r="C318" s="135"/>
      <c r="D318" s="108"/>
      <c r="E318" s="136"/>
      <c r="F318" s="188">
        <f t="shared" si="90"/>
        <v>0</v>
      </c>
      <c r="G318" s="229"/>
      <c r="H318" s="230"/>
      <c r="I318" s="271">
        <f t="shared" si="92"/>
        <v>0</v>
      </c>
      <c r="J318" s="305"/>
      <c r="K318" s="7"/>
      <c r="L318" s="271">
        <f t="shared" si="93"/>
        <v>0</v>
      </c>
      <c r="M318" s="21"/>
      <c r="N318" s="7"/>
      <c r="O318" s="22">
        <f>L318+M318+N318</f>
        <v>0</v>
      </c>
      <c r="P318" s="75"/>
      <c r="Q318" s="73">
        <f>O318+P318</f>
        <v>0</v>
      </c>
      <c r="R318" s="87"/>
    </row>
    <row r="319" spans="1:18" ht="12.75" hidden="1">
      <c r="A319" s="33" t="s">
        <v>251</v>
      </c>
      <c r="B319" s="92">
        <v>98008</v>
      </c>
      <c r="C319" s="135"/>
      <c r="D319" s="108"/>
      <c r="E319" s="136"/>
      <c r="F319" s="188">
        <f t="shared" si="90"/>
        <v>0</v>
      </c>
      <c r="G319" s="229"/>
      <c r="H319" s="230"/>
      <c r="I319" s="271">
        <f t="shared" si="92"/>
        <v>0</v>
      </c>
      <c r="J319" s="305"/>
      <c r="K319" s="7"/>
      <c r="L319" s="271">
        <f t="shared" si="93"/>
        <v>0</v>
      </c>
      <c r="M319" s="21"/>
      <c r="N319" s="7"/>
      <c r="O319" s="22"/>
      <c r="P319" s="75"/>
      <c r="Q319" s="73"/>
      <c r="R319" s="87"/>
    </row>
    <row r="320" spans="1:18" ht="12.75">
      <c r="A320" s="33" t="s">
        <v>376</v>
      </c>
      <c r="B320" s="92">
        <v>98071</v>
      </c>
      <c r="C320" s="135"/>
      <c r="D320" s="108"/>
      <c r="E320" s="136"/>
      <c r="F320" s="188">
        <f t="shared" si="90"/>
        <v>0</v>
      </c>
      <c r="G320" s="229"/>
      <c r="H320" s="230"/>
      <c r="I320" s="271">
        <f t="shared" si="92"/>
        <v>0</v>
      </c>
      <c r="J320" s="305">
        <f>1000</f>
        <v>1000</v>
      </c>
      <c r="K320" s="7"/>
      <c r="L320" s="271">
        <f t="shared" si="93"/>
        <v>1000</v>
      </c>
      <c r="M320" s="21"/>
      <c r="N320" s="7"/>
      <c r="O320" s="22"/>
      <c r="P320" s="75"/>
      <c r="Q320" s="73"/>
      <c r="R320" s="87"/>
    </row>
    <row r="321" spans="1:18" ht="12.75">
      <c r="A321" s="33" t="s">
        <v>60</v>
      </c>
      <c r="B321" s="92">
        <v>98074</v>
      </c>
      <c r="C321" s="109"/>
      <c r="D321" s="116"/>
      <c r="E321" s="214"/>
      <c r="F321" s="224">
        <f t="shared" si="90"/>
        <v>0</v>
      </c>
      <c r="G321" s="229"/>
      <c r="H321" s="230"/>
      <c r="I321" s="271">
        <f>F321+G321+H321</f>
        <v>0</v>
      </c>
      <c r="J321" s="305">
        <f>15</f>
        <v>15</v>
      </c>
      <c r="K321" s="7"/>
      <c r="L321" s="271">
        <f t="shared" si="93"/>
        <v>15</v>
      </c>
      <c r="M321" s="21"/>
      <c r="N321" s="7"/>
      <c r="O321" s="22">
        <f>L321+M321+N321</f>
        <v>15</v>
      </c>
      <c r="P321" s="75"/>
      <c r="Q321" s="73">
        <f>O321+P321</f>
        <v>15</v>
      </c>
      <c r="R321" s="87"/>
    </row>
    <row r="322" spans="1:18" ht="12.75" hidden="1">
      <c r="A322" s="33" t="s">
        <v>61</v>
      </c>
      <c r="B322" s="92"/>
      <c r="C322" s="135"/>
      <c r="D322" s="108"/>
      <c r="E322" s="136"/>
      <c r="F322" s="188">
        <f t="shared" si="90"/>
        <v>0</v>
      </c>
      <c r="G322" s="229"/>
      <c r="H322" s="230"/>
      <c r="I322" s="271">
        <f>F322+G322+H322</f>
        <v>0</v>
      </c>
      <c r="J322" s="305"/>
      <c r="K322" s="7"/>
      <c r="L322" s="271">
        <f t="shared" si="93"/>
        <v>0</v>
      </c>
      <c r="M322" s="21"/>
      <c r="N322" s="7"/>
      <c r="O322" s="22">
        <f>L322+M322+N322</f>
        <v>0</v>
      </c>
      <c r="P322" s="75"/>
      <c r="Q322" s="73">
        <f>O322+P322</f>
        <v>0</v>
      </c>
      <c r="R322" s="87"/>
    </row>
    <row r="323" spans="1:18" ht="12.75">
      <c r="A323" s="33" t="s">
        <v>345</v>
      </c>
      <c r="B323" s="92">
        <v>13014</v>
      </c>
      <c r="C323" s="135"/>
      <c r="D323" s="108"/>
      <c r="E323" s="136"/>
      <c r="F323" s="188">
        <f t="shared" si="90"/>
        <v>0</v>
      </c>
      <c r="G323" s="229">
        <f>217.5</f>
        <v>217.5</v>
      </c>
      <c r="H323" s="230"/>
      <c r="I323" s="271">
        <f>F323+G323+H323</f>
        <v>217.5</v>
      </c>
      <c r="J323" s="305"/>
      <c r="K323" s="7"/>
      <c r="L323" s="271">
        <f t="shared" si="93"/>
        <v>217.5</v>
      </c>
      <c r="M323" s="21"/>
      <c r="N323" s="7"/>
      <c r="O323" s="22"/>
      <c r="P323" s="75"/>
      <c r="Q323" s="73"/>
      <c r="R323" s="87"/>
    </row>
    <row r="324" spans="1:18" ht="12.75">
      <c r="A324" s="33" t="s">
        <v>360</v>
      </c>
      <c r="B324" s="92">
        <v>13019</v>
      </c>
      <c r="C324" s="135"/>
      <c r="D324" s="108"/>
      <c r="E324" s="136"/>
      <c r="F324" s="188">
        <f t="shared" si="90"/>
        <v>0</v>
      </c>
      <c r="G324" s="229">
        <f>180.63</f>
        <v>180.63</v>
      </c>
      <c r="H324" s="230"/>
      <c r="I324" s="271">
        <f>F324+G324+H324</f>
        <v>180.63</v>
      </c>
      <c r="J324" s="305">
        <f>80.28</f>
        <v>80.28</v>
      </c>
      <c r="K324" s="7"/>
      <c r="L324" s="271">
        <f t="shared" si="93"/>
        <v>260.90999999999997</v>
      </c>
      <c r="M324" s="21"/>
      <c r="N324" s="7"/>
      <c r="O324" s="22"/>
      <c r="P324" s="75"/>
      <c r="Q324" s="73"/>
      <c r="R324" s="87"/>
    </row>
    <row r="325" spans="1:18" ht="12.75">
      <c r="A325" s="36" t="s">
        <v>62</v>
      </c>
      <c r="B325" s="95">
        <v>4001</v>
      </c>
      <c r="C325" s="157"/>
      <c r="D325" s="116"/>
      <c r="E325" s="214"/>
      <c r="F325" s="224">
        <f t="shared" si="90"/>
        <v>0</v>
      </c>
      <c r="G325" s="241">
        <f>500</f>
        <v>500</v>
      </c>
      <c r="H325" s="242"/>
      <c r="I325" s="276">
        <f>F325+G325+H325</f>
        <v>500</v>
      </c>
      <c r="J325" s="309"/>
      <c r="K325" s="10"/>
      <c r="L325" s="276">
        <f>I325+J325+K325</f>
        <v>500</v>
      </c>
      <c r="M325" s="21"/>
      <c r="N325" s="7"/>
      <c r="O325" s="22">
        <f>L325+M325+N325</f>
        <v>500</v>
      </c>
      <c r="P325" s="75"/>
      <c r="Q325" s="73">
        <f>O325+P325</f>
        <v>500</v>
      </c>
      <c r="R325" s="87"/>
    </row>
    <row r="326" spans="1:18" ht="12.75" hidden="1">
      <c r="A326" s="39" t="s">
        <v>54</v>
      </c>
      <c r="B326" s="96"/>
      <c r="C326" s="156">
        <f>C329+C328</f>
        <v>0</v>
      </c>
      <c r="D326" s="115">
        <f aca="true" t="shared" si="95" ref="D326:Q326">D329+D328</f>
        <v>0</v>
      </c>
      <c r="E326" s="173">
        <f t="shared" si="95"/>
        <v>0</v>
      </c>
      <c r="F326" s="192">
        <f t="shared" si="95"/>
        <v>0</v>
      </c>
      <c r="G326" s="237">
        <f t="shared" si="95"/>
        <v>0</v>
      </c>
      <c r="H326" s="238">
        <f t="shared" si="95"/>
        <v>0</v>
      </c>
      <c r="I326" s="274">
        <f t="shared" si="95"/>
        <v>0</v>
      </c>
      <c r="J326" s="311">
        <f t="shared" si="95"/>
        <v>0</v>
      </c>
      <c r="K326" s="115">
        <f t="shared" si="95"/>
        <v>0</v>
      </c>
      <c r="L326" s="274">
        <f t="shared" si="95"/>
        <v>0</v>
      </c>
      <c r="M326" s="114">
        <f t="shared" si="95"/>
        <v>0</v>
      </c>
      <c r="N326" s="114">
        <f t="shared" si="95"/>
        <v>0</v>
      </c>
      <c r="O326" s="114">
        <f t="shared" si="95"/>
        <v>0</v>
      </c>
      <c r="P326" s="114">
        <f t="shared" si="95"/>
        <v>0</v>
      </c>
      <c r="Q326" s="192">
        <f t="shared" si="95"/>
        <v>0</v>
      </c>
      <c r="R326" s="87"/>
    </row>
    <row r="327" spans="1:18" ht="12.75" hidden="1">
      <c r="A327" s="35" t="s">
        <v>26</v>
      </c>
      <c r="B327" s="92"/>
      <c r="C327" s="135"/>
      <c r="D327" s="108"/>
      <c r="E327" s="136"/>
      <c r="F327" s="187"/>
      <c r="G327" s="229"/>
      <c r="H327" s="230"/>
      <c r="I327" s="270"/>
      <c r="J327" s="305"/>
      <c r="K327" s="7"/>
      <c r="L327" s="270"/>
      <c r="M327" s="21"/>
      <c r="N327" s="7"/>
      <c r="O327" s="20"/>
      <c r="P327" s="75"/>
      <c r="Q327" s="73"/>
      <c r="R327" s="87"/>
    </row>
    <row r="328" spans="1:18" ht="12.75" hidden="1">
      <c r="A328" s="32" t="s">
        <v>55</v>
      </c>
      <c r="B328" s="92"/>
      <c r="C328" s="135"/>
      <c r="D328" s="108"/>
      <c r="E328" s="136"/>
      <c r="F328" s="188">
        <f>C328+D328+E328</f>
        <v>0</v>
      </c>
      <c r="G328" s="229"/>
      <c r="H328" s="230"/>
      <c r="I328" s="271">
        <f>F328+G328+H328</f>
        <v>0</v>
      </c>
      <c r="J328" s="305"/>
      <c r="K328" s="7"/>
      <c r="L328" s="271">
        <f>I328+J328+K328</f>
        <v>0</v>
      </c>
      <c r="M328" s="21"/>
      <c r="N328" s="7"/>
      <c r="O328" s="22">
        <f>L328+M328+N328</f>
        <v>0</v>
      </c>
      <c r="P328" s="75"/>
      <c r="Q328" s="73">
        <f>O328+P328</f>
        <v>0</v>
      </c>
      <c r="R328" s="87"/>
    </row>
    <row r="329" spans="1:18" ht="12.75" hidden="1">
      <c r="A329" s="36" t="s">
        <v>77</v>
      </c>
      <c r="B329" s="95"/>
      <c r="C329" s="157"/>
      <c r="D329" s="116"/>
      <c r="E329" s="214"/>
      <c r="F329" s="224">
        <f>C329+D329+E329</f>
        <v>0</v>
      </c>
      <c r="G329" s="241"/>
      <c r="H329" s="242"/>
      <c r="I329" s="276">
        <f>F329+G329+H329</f>
        <v>0</v>
      </c>
      <c r="J329" s="310"/>
      <c r="K329" s="10"/>
      <c r="L329" s="276">
        <f>I329+J329+K329</f>
        <v>0</v>
      </c>
      <c r="M329" s="25"/>
      <c r="N329" s="10"/>
      <c r="O329" s="26">
        <f>L329+M329+N329</f>
        <v>0</v>
      </c>
      <c r="P329" s="78"/>
      <c r="Q329" s="79">
        <f>O329+P329</f>
        <v>0</v>
      </c>
      <c r="R329" s="87"/>
    </row>
    <row r="330" spans="1:18" ht="12.75">
      <c r="A330" s="44" t="s">
        <v>165</v>
      </c>
      <c r="B330" s="97"/>
      <c r="C330" s="142">
        <f aca="true" t="shared" si="96" ref="C330:Q330">C331+C356</f>
        <v>507908.87</v>
      </c>
      <c r="D330" s="107">
        <f t="shared" si="96"/>
        <v>1982387</v>
      </c>
      <c r="E330" s="143">
        <f t="shared" si="96"/>
        <v>0</v>
      </c>
      <c r="F330" s="187">
        <f t="shared" si="96"/>
        <v>2490295.8699999996</v>
      </c>
      <c r="G330" s="227">
        <f t="shared" si="96"/>
        <v>313758.22</v>
      </c>
      <c r="H330" s="228">
        <f t="shared" si="96"/>
        <v>82499.08</v>
      </c>
      <c r="I330" s="270">
        <f t="shared" si="96"/>
        <v>2886553.17</v>
      </c>
      <c r="J330" s="288">
        <f>J331+J356</f>
        <v>184259.28000000003</v>
      </c>
      <c r="K330" s="228">
        <f>K331+K356</f>
        <v>0</v>
      </c>
      <c r="L330" s="270">
        <f>L331+L356</f>
        <v>3070812.4499999997</v>
      </c>
      <c r="M330" s="106">
        <f t="shared" si="96"/>
        <v>0</v>
      </c>
      <c r="N330" s="106">
        <f t="shared" si="96"/>
        <v>0</v>
      </c>
      <c r="O330" s="106">
        <f t="shared" si="96"/>
        <v>0</v>
      </c>
      <c r="P330" s="106">
        <f t="shared" si="96"/>
        <v>0</v>
      </c>
      <c r="Q330" s="187">
        <f t="shared" si="96"/>
        <v>0</v>
      </c>
      <c r="R330" s="87"/>
    </row>
    <row r="331" spans="1:18" ht="12.75">
      <c r="A331" s="39" t="s">
        <v>49</v>
      </c>
      <c r="B331" s="96"/>
      <c r="C331" s="156">
        <f aca="true" t="shared" si="97" ref="C331:Q331">SUM(C333:C344)</f>
        <v>63234.28</v>
      </c>
      <c r="D331" s="115">
        <f t="shared" si="97"/>
        <v>92523.76999999999</v>
      </c>
      <c r="E331" s="173">
        <f t="shared" si="97"/>
        <v>0</v>
      </c>
      <c r="F331" s="192">
        <f t="shared" si="97"/>
        <v>155758.05</v>
      </c>
      <c r="G331" s="237">
        <f t="shared" si="97"/>
        <v>41690.09999999999</v>
      </c>
      <c r="H331" s="238">
        <f t="shared" si="97"/>
        <v>4260.84</v>
      </c>
      <c r="I331" s="274">
        <f t="shared" si="97"/>
        <v>201708.99</v>
      </c>
      <c r="J331" s="278">
        <f>SUM(J333:J344)</f>
        <v>-7995.93</v>
      </c>
      <c r="K331" s="238">
        <f>SUM(K333:K344)</f>
        <v>0</v>
      </c>
      <c r="L331" s="274">
        <f>SUM(L333:L344)</f>
        <v>193713.06</v>
      </c>
      <c r="M331" s="114">
        <f t="shared" si="97"/>
        <v>0</v>
      </c>
      <c r="N331" s="114">
        <f t="shared" si="97"/>
        <v>0</v>
      </c>
      <c r="O331" s="114">
        <f t="shared" si="97"/>
        <v>0</v>
      </c>
      <c r="P331" s="114">
        <f t="shared" si="97"/>
        <v>0</v>
      </c>
      <c r="Q331" s="192">
        <f t="shared" si="97"/>
        <v>0</v>
      </c>
      <c r="R331" s="87"/>
    </row>
    <row r="332" spans="1:18" ht="12.75">
      <c r="A332" s="35" t="s">
        <v>26</v>
      </c>
      <c r="B332" s="92"/>
      <c r="C332" s="156"/>
      <c r="D332" s="125"/>
      <c r="E332" s="215"/>
      <c r="F332" s="192"/>
      <c r="G332" s="229"/>
      <c r="H332" s="230"/>
      <c r="I332" s="271"/>
      <c r="J332" s="305"/>
      <c r="K332" s="7"/>
      <c r="L332" s="271"/>
      <c r="M332" s="29"/>
      <c r="N332" s="7"/>
      <c r="O332" s="22"/>
      <c r="P332" s="75"/>
      <c r="Q332" s="73"/>
      <c r="R332" s="87"/>
    </row>
    <row r="333" spans="1:18" ht="12.75">
      <c r="A333" s="37" t="s">
        <v>51</v>
      </c>
      <c r="B333" s="92"/>
      <c r="C333" s="135">
        <v>6645.87</v>
      </c>
      <c r="D333" s="119">
        <f>3655.15-50.81</f>
        <v>3604.34</v>
      </c>
      <c r="E333" s="150"/>
      <c r="F333" s="188">
        <f aca="true" t="shared" si="98" ref="F333:F355">C333+D333+E333</f>
        <v>10250.21</v>
      </c>
      <c r="G333" s="229"/>
      <c r="H333" s="230"/>
      <c r="I333" s="271">
        <f aca="true" t="shared" si="99" ref="I333:I343">F333+G333+H333</f>
        <v>10250.21</v>
      </c>
      <c r="J333" s="305"/>
      <c r="K333" s="7"/>
      <c r="L333" s="271">
        <f aca="true" t="shared" si="100" ref="L333:L354">I333+J333+K333</f>
        <v>10250.21</v>
      </c>
      <c r="M333" s="29"/>
      <c r="N333" s="7"/>
      <c r="O333" s="22"/>
      <c r="P333" s="75"/>
      <c r="Q333" s="73"/>
      <c r="R333" s="87"/>
    </row>
    <row r="334" spans="1:18" ht="12.75">
      <c r="A334" s="37" t="s">
        <v>171</v>
      </c>
      <c r="B334" s="92">
        <v>1080</v>
      </c>
      <c r="C334" s="135"/>
      <c r="D334" s="119">
        <f>1246.76</f>
        <v>1246.76</v>
      </c>
      <c r="E334" s="150"/>
      <c r="F334" s="188">
        <f t="shared" si="98"/>
        <v>1246.76</v>
      </c>
      <c r="G334" s="229"/>
      <c r="H334" s="230"/>
      <c r="I334" s="271">
        <f t="shared" si="99"/>
        <v>1246.76</v>
      </c>
      <c r="J334" s="305"/>
      <c r="K334" s="7"/>
      <c r="L334" s="271">
        <f t="shared" si="100"/>
        <v>1246.76</v>
      </c>
      <c r="M334" s="29"/>
      <c r="N334" s="7"/>
      <c r="O334" s="22"/>
      <c r="P334" s="75"/>
      <c r="Q334" s="73"/>
      <c r="R334" s="87"/>
    </row>
    <row r="335" spans="1:18" ht="12.75">
      <c r="A335" s="37" t="s">
        <v>172</v>
      </c>
      <c r="B335" s="184">
        <v>1081.1202</v>
      </c>
      <c r="C335" s="135">
        <v>1850</v>
      </c>
      <c r="D335" s="119">
        <f>223.01</f>
        <v>223.01</v>
      </c>
      <c r="E335" s="150"/>
      <c r="F335" s="188">
        <f t="shared" si="98"/>
        <v>2073.01</v>
      </c>
      <c r="G335" s="229"/>
      <c r="H335" s="230"/>
      <c r="I335" s="271">
        <f t="shared" si="99"/>
        <v>2073.01</v>
      </c>
      <c r="J335" s="305"/>
      <c r="K335" s="7"/>
      <c r="L335" s="271">
        <f t="shared" si="100"/>
        <v>2073.01</v>
      </c>
      <c r="M335" s="29"/>
      <c r="N335" s="7"/>
      <c r="O335" s="22"/>
      <c r="P335" s="75"/>
      <c r="Q335" s="73"/>
      <c r="R335" s="87"/>
    </row>
    <row r="336" spans="1:18" ht="12.75">
      <c r="A336" s="93" t="s">
        <v>80</v>
      </c>
      <c r="B336" s="92"/>
      <c r="C336" s="135">
        <v>150</v>
      </c>
      <c r="D336" s="119"/>
      <c r="E336" s="150"/>
      <c r="F336" s="188">
        <f t="shared" si="98"/>
        <v>150</v>
      </c>
      <c r="G336" s="229"/>
      <c r="H336" s="230"/>
      <c r="I336" s="271">
        <f t="shared" si="99"/>
        <v>150</v>
      </c>
      <c r="J336" s="305"/>
      <c r="K336" s="7"/>
      <c r="L336" s="271">
        <f t="shared" si="100"/>
        <v>150</v>
      </c>
      <c r="M336" s="29"/>
      <c r="N336" s="7"/>
      <c r="O336" s="22"/>
      <c r="P336" s="75"/>
      <c r="Q336" s="73"/>
      <c r="R336" s="87"/>
    </row>
    <row r="337" spans="1:18" ht="12.75">
      <c r="A337" s="33" t="s">
        <v>178</v>
      </c>
      <c r="B337" s="92"/>
      <c r="C337" s="135">
        <v>35554.41</v>
      </c>
      <c r="D337" s="119"/>
      <c r="E337" s="150"/>
      <c r="F337" s="188">
        <f t="shared" si="98"/>
        <v>35554.41</v>
      </c>
      <c r="G337" s="229">
        <f>5991.89</f>
        <v>5991.89</v>
      </c>
      <c r="H337" s="230"/>
      <c r="I337" s="271">
        <f t="shared" si="99"/>
        <v>41546.3</v>
      </c>
      <c r="J337" s="305"/>
      <c r="K337" s="7"/>
      <c r="L337" s="271">
        <f t="shared" si="100"/>
        <v>41546.3</v>
      </c>
      <c r="M337" s="29"/>
      <c r="N337" s="7"/>
      <c r="O337" s="22"/>
      <c r="P337" s="75"/>
      <c r="Q337" s="73"/>
      <c r="R337" s="87"/>
    </row>
    <row r="338" spans="1:18" ht="12.75">
      <c r="A338" s="37" t="s">
        <v>229</v>
      </c>
      <c r="B338" s="92"/>
      <c r="C338" s="135"/>
      <c r="D338" s="119">
        <f>29824.19+5000</f>
        <v>34824.19</v>
      </c>
      <c r="E338" s="150"/>
      <c r="F338" s="188">
        <f t="shared" si="98"/>
        <v>34824.19</v>
      </c>
      <c r="G338" s="229">
        <f>32000</f>
        <v>32000</v>
      </c>
      <c r="H338" s="230"/>
      <c r="I338" s="271">
        <f t="shared" si="99"/>
        <v>66824.19</v>
      </c>
      <c r="J338" s="305">
        <f>-15000</f>
        <v>-15000</v>
      </c>
      <c r="K338" s="7"/>
      <c r="L338" s="271">
        <f t="shared" si="100"/>
        <v>51824.19</v>
      </c>
      <c r="M338" s="29"/>
      <c r="N338" s="7"/>
      <c r="O338" s="22"/>
      <c r="P338" s="75"/>
      <c r="Q338" s="73"/>
      <c r="R338" s="87"/>
    </row>
    <row r="339" spans="1:18" ht="12.75" hidden="1">
      <c r="A339" s="33" t="s">
        <v>194</v>
      </c>
      <c r="B339" s="146">
        <v>212163</v>
      </c>
      <c r="C339" s="135"/>
      <c r="D339" s="119"/>
      <c r="E339" s="150"/>
      <c r="F339" s="188">
        <f t="shared" si="98"/>
        <v>0</v>
      </c>
      <c r="G339" s="229"/>
      <c r="H339" s="230"/>
      <c r="I339" s="271">
        <f t="shared" si="99"/>
        <v>0</v>
      </c>
      <c r="J339" s="305"/>
      <c r="K339" s="7"/>
      <c r="L339" s="271">
        <f t="shared" si="100"/>
        <v>0</v>
      </c>
      <c r="M339" s="29"/>
      <c r="N339" s="7"/>
      <c r="O339" s="22"/>
      <c r="P339" s="75"/>
      <c r="Q339" s="73"/>
      <c r="R339" s="87"/>
    </row>
    <row r="340" spans="1:18" ht="12.75">
      <c r="A340" s="37" t="s">
        <v>168</v>
      </c>
      <c r="B340" s="146">
        <v>212162</v>
      </c>
      <c r="C340" s="135"/>
      <c r="D340" s="119"/>
      <c r="E340" s="150"/>
      <c r="F340" s="188">
        <f t="shared" si="98"/>
        <v>0</v>
      </c>
      <c r="G340" s="229">
        <f>4.84</f>
        <v>4.84</v>
      </c>
      <c r="H340" s="230"/>
      <c r="I340" s="271">
        <f t="shared" si="99"/>
        <v>4.84</v>
      </c>
      <c r="J340" s="305"/>
      <c r="K340" s="7"/>
      <c r="L340" s="271">
        <f t="shared" si="100"/>
        <v>4.84</v>
      </c>
      <c r="M340" s="29"/>
      <c r="N340" s="7"/>
      <c r="O340" s="22"/>
      <c r="P340" s="75"/>
      <c r="Q340" s="73"/>
      <c r="R340" s="87"/>
    </row>
    <row r="341" spans="1:18" ht="12.75">
      <c r="A341" s="37" t="s">
        <v>306</v>
      </c>
      <c r="B341" s="146"/>
      <c r="C341" s="135"/>
      <c r="D341" s="119"/>
      <c r="E341" s="150"/>
      <c r="F341" s="188">
        <f t="shared" si="98"/>
        <v>0</v>
      </c>
      <c r="G341" s="229">
        <f>2821.82</f>
        <v>2821.82</v>
      </c>
      <c r="H341" s="230"/>
      <c r="I341" s="271">
        <f t="shared" si="99"/>
        <v>2821.82</v>
      </c>
      <c r="J341" s="305"/>
      <c r="K341" s="7"/>
      <c r="L341" s="271">
        <f t="shared" si="100"/>
        <v>2821.82</v>
      </c>
      <c r="M341" s="182"/>
      <c r="N341" s="81"/>
      <c r="O341" s="81"/>
      <c r="P341" s="204"/>
      <c r="Q341" s="73"/>
      <c r="R341" s="87"/>
    </row>
    <row r="342" spans="1:18" ht="12.75">
      <c r="A342" s="37" t="s">
        <v>348</v>
      </c>
      <c r="B342" s="146"/>
      <c r="C342" s="135"/>
      <c r="D342" s="119"/>
      <c r="E342" s="150"/>
      <c r="F342" s="188">
        <f t="shared" si="98"/>
        <v>0</v>
      </c>
      <c r="G342" s="229">
        <f>2831.68</f>
        <v>2831.68</v>
      </c>
      <c r="H342" s="230">
        <f>3592.87</f>
        <v>3592.87</v>
      </c>
      <c r="I342" s="271">
        <f t="shared" si="99"/>
        <v>6424.549999999999</v>
      </c>
      <c r="J342" s="305"/>
      <c r="K342" s="7"/>
      <c r="L342" s="271">
        <f t="shared" si="100"/>
        <v>6424.549999999999</v>
      </c>
      <c r="M342" s="182"/>
      <c r="N342" s="81"/>
      <c r="O342" s="81"/>
      <c r="P342" s="204"/>
      <c r="Q342" s="73"/>
      <c r="R342" s="87"/>
    </row>
    <row r="343" spans="1:18" ht="12.75">
      <c r="A343" s="37" t="s">
        <v>291</v>
      </c>
      <c r="B343" s="146"/>
      <c r="C343" s="135"/>
      <c r="D343" s="119"/>
      <c r="E343" s="150"/>
      <c r="F343" s="188">
        <f t="shared" si="98"/>
        <v>0</v>
      </c>
      <c r="G343" s="229">
        <f>62.02</f>
        <v>62.02</v>
      </c>
      <c r="H343" s="230"/>
      <c r="I343" s="271">
        <f t="shared" si="99"/>
        <v>62.02</v>
      </c>
      <c r="J343" s="305"/>
      <c r="K343" s="7"/>
      <c r="L343" s="271">
        <f t="shared" si="100"/>
        <v>62.02</v>
      </c>
      <c r="M343" s="182"/>
      <c r="N343" s="81"/>
      <c r="O343" s="81"/>
      <c r="P343" s="204"/>
      <c r="Q343" s="73"/>
      <c r="R343" s="87"/>
    </row>
    <row r="344" spans="1:18" ht="12.75">
      <c r="A344" s="33" t="s">
        <v>77</v>
      </c>
      <c r="B344" s="92"/>
      <c r="C344" s="137">
        <f>SUM(C345:C355)</f>
        <v>19034</v>
      </c>
      <c r="D344" s="119">
        <f>SUM(D345:D355)</f>
        <v>52625.469999999994</v>
      </c>
      <c r="E344" s="150">
        <f aca="true" t="shared" si="101" ref="E344:Q344">SUM(E345:E355)</f>
        <v>0</v>
      </c>
      <c r="F344" s="194">
        <f t="shared" si="101"/>
        <v>71659.47</v>
      </c>
      <c r="G344" s="244">
        <f t="shared" si="101"/>
        <v>-2022.15</v>
      </c>
      <c r="H344" s="245">
        <f t="shared" si="101"/>
        <v>667.97</v>
      </c>
      <c r="I344" s="279">
        <f t="shared" si="101"/>
        <v>70305.29</v>
      </c>
      <c r="J344" s="293">
        <f t="shared" si="101"/>
        <v>7004.07</v>
      </c>
      <c r="K344" s="245">
        <f t="shared" si="101"/>
        <v>0</v>
      </c>
      <c r="L344" s="279">
        <f t="shared" si="101"/>
        <v>77309.36</v>
      </c>
      <c r="M344" s="137">
        <f t="shared" si="101"/>
        <v>0</v>
      </c>
      <c r="N344" s="137">
        <f t="shared" si="101"/>
        <v>0</v>
      </c>
      <c r="O344" s="137">
        <f t="shared" si="101"/>
        <v>0</v>
      </c>
      <c r="P344" s="137">
        <f t="shared" si="101"/>
        <v>0</v>
      </c>
      <c r="Q344" s="194">
        <f t="shared" si="101"/>
        <v>0</v>
      </c>
      <c r="R344" s="87"/>
    </row>
    <row r="345" spans="1:18" ht="12.75">
      <c r="A345" s="33" t="s">
        <v>216</v>
      </c>
      <c r="B345" s="92"/>
      <c r="C345" s="137">
        <v>14000</v>
      </c>
      <c r="D345" s="119">
        <f>240</f>
        <v>240</v>
      </c>
      <c r="E345" s="136"/>
      <c r="F345" s="188">
        <f t="shared" si="98"/>
        <v>14240</v>
      </c>
      <c r="G345" s="229">
        <f>-5991.89</f>
        <v>-5991.89</v>
      </c>
      <c r="H345" s="230"/>
      <c r="I345" s="271">
        <f aca="true" t="shared" si="102" ref="I345:I354">F345+G345+H345</f>
        <v>8248.11</v>
      </c>
      <c r="J345" s="305"/>
      <c r="K345" s="7"/>
      <c r="L345" s="271">
        <f t="shared" si="100"/>
        <v>8248.11</v>
      </c>
      <c r="M345" s="29"/>
      <c r="N345" s="7"/>
      <c r="O345" s="22"/>
      <c r="P345" s="75"/>
      <c r="Q345" s="73"/>
      <c r="R345" s="301"/>
    </row>
    <row r="346" spans="1:18" ht="12.75">
      <c r="A346" s="33" t="s">
        <v>177</v>
      </c>
      <c r="B346" s="92"/>
      <c r="C346" s="137"/>
      <c r="D346" s="119">
        <f>115.35+1960.91+27279.71+500+6000-240</f>
        <v>35615.97</v>
      </c>
      <c r="E346" s="136"/>
      <c r="F346" s="188">
        <f t="shared" si="98"/>
        <v>35615.97</v>
      </c>
      <c r="G346" s="229">
        <f>109.2+1548.09</f>
        <v>1657.29</v>
      </c>
      <c r="H346" s="230"/>
      <c r="I346" s="271">
        <f t="shared" si="102"/>
        <v>37273.26</v>
      </c>
      <c r="J346" s="307">
        <f>3.02+51.26</f>
        <v>54.28</v>
      </c>
      <c r="K346" s="7"/>
      <c r="L346" s="271">
        <f t="shared" si="100"/>
        <v>37327.54</v>
      </c>
      <c r="M346" s="29"/>
      <c r="N346" s="7"/>
      <c r="O346" s="22"/>
      <c r="P346" s="75"/>
      <c r="Q346" s="73"/>
      <c r="R346" s="302"/>
    </row>
    <row r="347" spans="1:18" ht="12.75" hidden="1">
      <c r="A347" s="33" t="s">
        <v>263</v>
      </c>
      <c r="B347" s="92"/>
      <c r="C347" s="137"/>
      <c r="D347" s="126"/>
      <c r="E347" s="136"/>
      <c r="F347" s="188">
        <f t="shared" si="98"/>
        <v>0</v>
      </c>
      <c r="G347" s="229"/>
      <c r="H347" s="230"/>
      <c r="I347" s="271">
        <f t="shared" si="102"/>
        <v>0</v>
      </c>
      <c r="J347" s="305"/>
      <c r="K347" s="7"/>
      <c r="L347" s="271">
        <f t="shared" si="100"/>
        <v>0</v>
      </c>
      <c r="M347" s="29"/>
      <c r="N347" s="7"/>
      <c r="O347" s="22"/>
      <c r="P347" s="75"/>
      <c r="Q347" s="73"/>
      <c r="R347" s="87"/>
    </row>
    <row r="348" spans="1:18" ht="12.75" hidden="1">
      <c r="A348" s="33" t="s">
        <v>203</v>
      </c>
      <c r="B348" s="92"/>
      <c r="C348" s="137"/>
      <c r="D348" s="119"/>
      <c r="E348" s="136"/>
      <c r="F348" s="188">
        <f t="shared" si="98"/>
        <v>0</v>
      </c>
      <c r="G348" s="229"/>
      <c r="H348" s="230"/>
      <c r="I348" s="271">
        <f t="shared" si="102"/>
        <v>0</v>
      </c>
      <c r="J348" s="305"/>
      <c r="K348" s="7"/>
      <c r="L348" s="271">
        <f t="shared" si="100"/>
        <v>0</v>
      </c>
      <c r="M348" s="29"/>
      <c r="N348" s="7"/>
      <c r="O348" s="22"/>
      <c r="P348" s="75"/>
      <c r="Q348" s="73"/>
      <c r="R348" s="87"/>
    </row>
    <row r="349" spans="1:18" ht="12.75">
      <c r="A349" s="33" t="s">
        <v>228</v>
      </c>
      <c r="B349" s="92"/>
      <c r="C349" s="137"/>
      <c r="D349" s="119">
        <f>11169.53</f>
        <v>11169.53</v>
      </c>
      <c r="E349" s="136"/>
      <c r="F349" s="188">
        <f t="shared" si="98"/>
        <v>11169.53</v>
      </c>
      <c r="G349" s="229"/>
      <c r="H349" s="230"/>
      <c r="I349" s="271">
        <f t="shared" si="102"/>
        <v>11169.53</v>
      </c>
      <c r="J349" s="305"/>
      <c r="K349" s="7"/>
      <c r="L349" s="271">
        <f t="shared" si="100"/>
        <v>11169.53</v>
      </c>
      <c r="M349" s="29"/>
      <c r="N349" s="7"/>
      <c r="O349" s="22"/>
      <c r="P349" s="75"/>
      <c r="Q349" s="73"/>
      <c r="R349" s="87"/>
    </row>
    <row r="350" spans="1:18" ht="12.75">
      <c r="A350" s="33" t="s">
        <v>176</v>
      </c>
      <c r="B350" s="92"/>
      <c r="C350" s="137"/>
      <c r="D350" s="119">
        <f>658+257</f>
        <v>915</v>
      </c>
      <c r="E350" s="136"/>
      <c r="F350" s="188">
        <f t="shared" si="98"/>
        <v>915</v>
      </c>
      <c r="G350" s="229">
        <f>123.42+340.78+638.88</f>
        <v>1103.08</v>
      </c>
      <c r="H350" s="230">
        <f>117.97+550</f>
        <v>667.97</v>
      </c>
      <c r="I350" s="271">
        <f t="shared" si="102"/>
        <v>2686.05</v>
      </c>
      <c r="J350" s="305">
        <f>89.55+37.57</f>
        <v>127.12</v>
      </c>
      <c r="K350" s="7"/>
      <c r="L350" s="271">
        <f t="shared" si="100"/>
        <v>2813.17</v>
      </c>
      <c r="M350" s="29"/>
      <c r="N350" s="7"/>
      <c r="O350" s="22"/>
      <c r="P350" s="75"/>
      <c r="Q350" s="73"/>
      <c r="R350" s="87"/>
    </row>
    <row r="351" spans="1:18" ht="12.75">
      <c r="A351" s="33" t="s">
        <v>320</v>
      </c>
      <c r="B351" s="92"/>
      <c r="C351" s="137"/>
      <c r="D351" s="119">
        <f>2967.13</f>
        <v>2967.13</v>
      </c>
      <c r="E351" s="136"/>
      <c r="F351" s="188">
        <f t="shared" si="98"/>
        <v>2967.13</v>
      </c>
      <c r="G351" s="229">
        <f>2200-1821.07-500</f>
        <v>-121.06999999999994</v>
      </c>
      <c r="H351" s="230"/>
      <c r="I351" s="271">
        <f t="shared" si="102"/>
        <v>2846.0600000000004</v>
      </c>
      <c r="J351" s="305">
        <f>2000</f>
        <v>2000</v>
      </c>
      <c r="K351" s="7"/>
      <c r="L351" s="271">
        <f t="shared" si="100"/>
        <v>4846.06</v>
      </c>
      <c r="M351" s="29"/>
      <c r="N351" s="7"/>
      <c r="O351" s="22"/>
      <c r="P351" s="75"/>
      <c r="Q351" s="73"/>
      <c r="R351" s="87"/>
    </row>
    <row r="352" spans="1:18" ht="12.75">
      <c r="A352" s="33" t="s">
        <v>182</v>
      </c>
      <c r="B352" s="92"/>
      <c r="C352" s="137"/>
      <c r="D352" s="119">
        <f>4893.45</f>
        <v>4893.45</v>
      </c>
      <c r="E352" s="136"/>
      <c r="F352" s="188">
        <f t="shared" si="98"/>
        <v>4893.45</v>
      </c>
      <c r="G352" s="229">
        <f>330.44</f>
        <v>330.44</v>
      </c>
      <c r="H352" s="230"/>
      <c r="I352" s="271">
        <f t="shared" si="102"/>
        <v>5223.889999999999</v>
      </c>
      <c r="J352" s="305">
        <f>-88.73-1438.6</f>
        <v>-1527.33</v>
      </c>
      <c r="K352" s="7"/>
      <c r="L352" s="271">
        <f t="shared" si="100"/>
        <v>3696.5599999999995</v>
      </c>
      <c r="M352" s="29"/>
      <c r="N352" s="7"/>
      <c r="O352" s="22"/>
      <c r="P352" s="75"/>
      <c r="Q352" s="73"/>
      <c r="R352" s="87"/>
    </row>
    <row r="353" spans="1:18" ht="12.75">
      <c r="A353" s="33" t="s">
        <v>181</v>
      </c>
      <c r="B353" s="92"/>
      <c r="C353" s="137">
        <v>3720</v>
      </c>
      <c r="D353" s="119">
        <f>-2866.85+1858.4-353.16-500</f>
        <v>-1861.61</v>
      </c>
      <c r="E353" s="136"/>
      <c r="F353" s="188">
        <f t="shared" si="98"/>
        <v>1858.39</v>
      </c>
      <c r="G353" s="229">
        <f>1000</f>
        <v>1000</v>
      </c>
      <c r="H353" s="230"/>
      <c r="I353" s="271">
        <f t="shared" si="102"/>
        <v>2858.3900000000003</v>
      </c>
      <c r="J353" s="305">
        <f>1350+4000+1000</f>
        <v>6350</v>
      </c>
      <c r="K353" s="7"/>
      <c r="L353" s="271">
        <f t="shared" si="100"/>
        <v>9208.39</v>
      </c>
      <c r="M353" s="29"/>
      <c r="N353" s="7"/>
      <c r="O353" s="22"/>
      <c r="P353" s="75"/>
      <c r="Q353" s="73"/>
      <c r="R353" s="87"/>
    </row>
    <row r="354" spans="1:18" ht="12.75">
      <c r="A354" s="33" t="s">
        <v>319</v>
      </c>
      <c r="B354" s="92"/>
      <c r="C354" s="137">
        <v>1314</v>
      </c>
      <c r="D354" s="119">
        <f>-400-914</f>
        <v>-1314</v>
      </c>
      <c r="E354" s="136"/>
      <c r="F354" s="188">
        <f t="shared" si="98"/>
        <v>0</v>
      </c>
      <c r="G354" s="229"/>
      <c r="H354" s="230"/>
      <c r="I354" s="271">
        <f t="shared" si="102"/>
        <v>0</v>
      </c>
      <c r="J354" s="305"/>
      <c r="K354" s="7"/>
      <c r="L354" s="271">
        <f t="shared" si="100"/>
        <v>0</v>
      </c>
      <c r="M354" s="29"/>
      <c r="N354" s="7"/>
      <c r="O354" s="22"/>
      <c r="P354" s="75"/>
      <c r="Q354" s="73"/>
      <c r="R354" s="87"/>
    </row>
    <row r="355" spans="1:18" ht="12.75" hidden="1">
      <c r="A355" s="33" t="s">
        <v>237</v>
      </c>
      <c r="B355" s="92"/>
      <c r="C355" s="137"/>
      <c r="D355" s="126"/>
      <c r="E355" s="136"/>
      <c r="F355" s="188">
        <f t="shared" si="98"/>
        <v>0</v>
      </c>
      <c r="G355" s="229"/>
      <c r="H355" s="230"/>
      <c r="I355" s="271"/>
      <c r="J355" s="305"/>
      <c r="K355" s="7"/>
      <c r="L355" s="271"/>
      <c r="M355" s="29"/>
      <c r="N355" s="7"/>
      <c r="O355" s="22"/>
      <c r="P355" s="75"/>
      <c r="Q355" s="73"/>
      <c r="R355" s="87"/>
    </row>
    <row r="356" spans="1:18" ht="12.75">
      <c r="A356" s="39" t="s">
        <v>54</v>
      </c>
      <c r="B356" s="96"/>
      <c r="C356" s="156">
        <f aca="true" t="shared" si="103" ref="C356:Q356">SUM(C358:C374)</f>
        <v>444674.58999999997</v>
      </c>
      <c r="D356" s="115">
        <f t="shared" si="103"/>
        <v>1889863.23</v>
      </c>
      <c r="E356" s="173">
        <f t="shared" si="103"/>
        <v>0</v>
      </c>
      <c r="F356" s="192">
        <f t="shared" si="103"/>
        <v>2334537.82</v>
      </c>
      <c r="G356" s="237">
        <f t="shared" si="103"/>
        <v>272068.12</v>
      </c>
      <c r="H356" s="238">
        <f t="shared" si="103"/>
        <v>78238.24</v>
      </c>
      <c r="I356" s="274">
        <f t="shared" si="103"/>
        <v>2684844.1799999997</v>
      </c>
      <c r="J356" s="278">
        <f t="shared" si="103"/>
        <v>192255.21000000002</v>
      </c>
      <c r="K356" s="238">
        <f t="shared" si="103"/>
        <v>0</v>
      </c>
      <c r="L356" s="274">
        <f t="shared" si="103"/>
        <v>2877099.3899999997</v>
      </c>
      <c r="M356" s="114">
        <f t="shared" si="103"/>
        <v>0</v>
      </c>
      <c r="N356" s="114">
        <f t="shared" si="103"/>
        <v>0</v>
      </c>
      <c r="O356" s="114">
        <f t="shared" si="103"/>
        <v>0</v>
      </c>
      <c r="P356" s="114">
        <f t="shared" si="103"/>
        <v>0</v>
      </c>
      <c r="Q356" s="192">
        <f t="shared" si="103"/>
        <v>0</v>
      </c>
      <c r="R356" s="87"/>
    </row>
    <row r="357" spans="1:18" ht="12.75">
      <c r="A357" s="37" t="s">
        <v>26</v>
      </c>
      <c r="B357" s="92"/>
      <c r="C357" s="135"/>
      <c r="D357" s="108"/>
      <c r="E357" s="136"/>
      <c r="F357" s="188"/>
      <c r="G357" s="229"/>
      <c r="H357" s="230"/>
      <c r="I357" s="271"/>
      <c r="J357" s="305"/>
      <c r="K357" s="7"/>
      <c r="L357" s="271"/>
      <c r="M357" s="29"/>
      <c r="N357" s="7"/>
      <c r="O357" s="22"/>
      <c r="P357" s="75"/>
      <c r="Q357" s="73"/>
      <c r="R357" s="87"/>
    </row>
    <row r="358" spans="1:18" ht="12.75" hidden="1">
      <c r="A358" s="37" t="s">
        <v>173</v>
      </c>
      <c r="B358" s="92"/>
      <c r="C358" s="135"/>
      <c r="D358" s="108"/>
      <c r="E358" s="136"/>
      <c r="F358" s="188">
        <f aca="true" t="shared" si="104" ref="F358:F387">C358+D358+E358</f>
        <v>0</v>
      </c>
      <c r="G358" s="229"/>
      <c r="H358" s="230"/>
      <c r="I358" s="271"/>
      <c r="J358" s="305"/>
      <c r="K358" s="7"/>
      <c r="L358" s="271"/>
      <c r="M358" s="29"/>
      <c r="N358" s="7"/>
      <c r="O358" s="22"/>
      <c r="P358" s="75"/>
      <c r="Q358" s="73"/>
      <c r="R358" s="87"/>
    </row>
    <row r="359" spans="1:18" ht="12.75">
      <c r="A359" s="37" t="s">
        <v>172</v>
      </c>
      <c r="B359" s="184">
        <v>1081.1202</v>
      </c>
      <c r="C359" s="135">
        <v>6381</v>
      </c>
      <c r="D359" s="108">
        <f>1200+592.02</f>
        <v>1792.02</v>
      </c>
      <c r="E359" s="136"/>
      <c r="F359" s="188">
        <f t="shared" si="104"/>
        <v>8173.02</v>
      </c>
      <c r="G359" s="229"/>
      <c r="H359" s="230"/>
      <c r="I359" s="271">
        <f aca="true" t="shared" si="105" ref="I359:I373">F359+G359+H359</f>
        <v>8173.02</v>
      </c>
      <c r="J359" s="305"/>
      <c r="K359" s="7"/>
      <c r="L359" s="271">
        <f aca="true" t="shared" si="106" ref="L359:L372">I359+J359+K359</f>
        <v>8173.02</v>
      </c>
      <c r="M359" s="29"/>
      <c r="N359" s="7"/>
      <c r="O359" s="22"/>
      <c r="P359" s="75"/>
      <c r="Q359" s="73"/>
      <c r="R359" s="87"/>
    </row>
    <row r="360" spans="1:18" ht="12.75">
      <c r="A360" s="37" t="s">
        <v>167</v>
      </c>
      <c r="B360" s="92"/>
      <c r="C360" s="135">
        <v>19868.59</v>
      </c>
      <c r="D360" s="108">
        <f>7479.76-15000</f>
        <v>-7520.24</v>
      </c>
      <c r="E360" s="136"/>
      <c r="F360" s="188">
        <f t="shared" si="104"/>
        <v>12348.35</v>
      </c>
      <c r="G360" s="229"/>
      <c r="H360" s="230"/>
      <c r="I360" s="271">
        <f t="shared" si="105"/>
        <v>12348.35</v>
      </c>
      <c r="J360" s="305"/>
      <c r="K360" s="7"/>
      <c r="L360" s="271">
        <f t="shared" si="106"/>
        <v>12348.35</v>
      </c>
      <c r="M360" s="29"/>
      <c r="N360" s="7"/>
      <c r="O360" s="22"/>
      <c r="P360" s="75"/>
      <c r="Q360" s="73"/>
      <c r="R360" s="87"/>
    </row>
    <row r="361" spans="1:18" ht="12.75">
      <c r="A361" s="37" t="s">
        <v>274</v>
      </c>
      <c r="B361" s="92"/>
      <c r="C361" s="135">
        <v>5000</v>
      </c>
      <c r="D361" s="108"/>
      <c r="E361" s="136"/>
      <c r="F361" s="188">
        <f t="shared" si="104"/>
        <v>5000</v>
      </c>
      <c r="G361" s="229"/>
      <c r="H361" s="230"/>
      <c r="I361" s="271">
        <f t="shared" si="105"/>
        <v>5000</v>
      </c>
      <c r="J361" s="305"/>
      <c r="K361" s="7"/>
      <c r="L361" s="271">
        <f t="shared" si="106"/>
        <v>5000</v>
      </c>
      <c r="M361" s="29"/>
      <c r="N361" s="7"/>
      <c r="O361" s="22"/>
      <c r="P361" s="75"/>
      <c r="Q361" s="73"/>
      <c r="R361" s="87"/>
    </row>
    <row r="362" spans="1:18" ht="12.75">
      <c r="A362" s="37" t="s">
        <v>283</v>
      </c>
      <c r="B362" s="92"/>
      <c r="C362" s="135"/>
      <c r="D362" s="119">
        <f>788.1</f>
        <v>788.1</v>
      </c>
      <c r="E362" s="150"/>
      <c r="F362" s="188">
        <f t="shared" si="104"/>
        <v>788.1</v>
      </c>
      <c r="G362" s="229"/>
      <c r="H362" s="230"/>
      <c r="I362" s="271">
        <f t="shared" si="105"/>
        <v>788.1</v>
      </c>
      <c r="J362" s="305"/>
      <c r="K362" s="7"/>
      <c r="L362" s="271">
        <f t="shared" si="106"/>
        <v>788.1</v>
      </c>
      <c r="M362" s="29"/>
      <c r="N362" s="7"/>
      <c r="O362" s="22"/>
      <c r="P362" s="75"/>
      <c r="Q362" s="73"/>
      <c r="R362" s="87"/>
    </row>
    <row r="363" spans="1:18" ht="12.75">
      <c r="A363" s="144" t="s">
        <v>229</v>
      </c>
      <c r="B363" s="92"/>
      <c r="C363" s="135"/>
      <c r="D363" s="126">
        <f>56989.38+269393.98-5000</f>
        <v>321383.36</v>
      </c>
      <c r="E363" s="216"/>
      <c r="F363" s="188">
        <f t="shared" si="104"/>
        <v>321383.36</v>
      </c>
      <c r="G363" s="229">
        <f>-32000</f>
        <v>-32000</v>
      </c>
      <c r="H363" s="230"/>
      <c r="I363" s="271">
        <f t="shared" si="105"/>
        <v>289383.36</v>
      </c>
      <c r="J363" s="305">
        <f>15000+10000</f>
        <v>25000</v>
      </c>
      <c r="K363" s="7"/>
      <c r="L363" s="271">
        <f t="shared" si="106"/>
        <v>314383.36</v>
      </c>
      <c r="M363" s="29"/>
      <c r="N363" s="7"/>
      <c r="O363" s="22"/>
      <c r="P363" s="75"/>
      <c r="Q363" s="73"/>
      <c r="R363" s="87"/>
    </row>
    <row r="364" spans="1:18" ht="12.75">
      <c r="A364" s="37" t="s">
        <v>284</v>
      </c>
      <c r="B364" s="146">
        <v>212163</v>
      </c>
      <c r="C364" s="135">
        <v>60000</v>
      </c>
      <c r="D364" s="119">
        <f>13780.39+40206.84</f>
        <v>53987.229999999996</v>
      </c>
      <c r="E364" s="150"/>
      <c r="F364" s="188">
        <f t="shared" si="104"/>
        <v>113987.23</v>
      </c>
      <c r="G364" s="229">
        <f>38284.6-6889.33</f>
        <v>31395.269999999997</v>
      </c>
      <c r="H364" s="230"/>
      <c r="I364" s="271">
        <f t="shared" si="105"/>
        <v>145382.5</v>
      </c>
      <c r="J364" s="305">
        <f>-171</f>
        <v>-171</v>
      </c>
      <c r="K364" s="7"/>
      <c r="L364" s="271">
        <f t="shared" si="106"/>
        <v>145211.5</v>
      </c>
      <c r="M364" s="29"/>
      <c r="N364" s="7"/>
      <c r="O364" s="22"/>
      <c r="P364" s="75"/>
      <c r="Q364" s="73"/>
      <c r="R364" s="87"/>
    </row>
    <row r="365" spans="1:18" ht="12.75">
      <c r="A365" s="37" t="s">
        <v>292</v>
      </c>
      <c r="B365" s="146">
        <v>91628</v>
      </c>
      <c r="C365" s="135"/>
      <c r="D365" s="119">
        <f>308400</f>
        <v>308400</v>
      </c>
      <c r="E365" s="150"/>
      <c r="F365" s="188">
        <f t="shared" si="104"/>
        <v>308400</v>
      </c>
      <c r="G365" s="229">
        <f>34600</f>
        <v>34600</v>
      </c>
      <c r="H365" s="230"/>
      <c r="I365" s="271">
        <f t="shared" si="105"/>
        <v>343000</v>
      </c>
      <c r="J365" s="305"/>
      <c r="K365" s="7"/>
      <c r="L365" s="271">
        <f t="shared" si="106"/>
        <v>343000</v>
      </c>
      <c r="M365" s="29"/>
      <c r="N365" s="7"/>
      <c r="O365" s="22"/>
      <c r="P365" s="75"/>
      <c r="Q365" s="73"/>
      <c r="R365" s="87"/>
    </row>
    <row r="366" spans="1:18" ht="12.75" hidden="1">
      <c r="A366" s="37" t="s">
        <v>268</v>
      </c>
      <c r="B366" s="146">
        <v>98858</v>
      </c>
      <c r="C366" s="135"/>
      <c r="D366" s="119"/>
      <c r="E366" s="150"/>
      <c r="F366" s="188">
        <f t="shared" si="104"/>
        <v>0</v>
      </c>
      <c r="G366" s="229"/>
      <c r="H366" s="230"/>
      <c r="I366" s="271">
        <f t="shared" si="105"/>
        <v>0</v>
      </c>
      <c r="J366" s="305"/>
      <c r="K366" s="7"/>
      <c r="L366" s="271">
        <f t="shared" si="106"/>
        <v>0</v>
      </c>
      <c r="M366" s="29"/>
      <c r="N366" s="7"/>
      <c r="O366" s="22"/>
      <c r="P366" s="75"/>
      <c r="Q366" s="73"/>
      <c r="R366" s="87"/>
    </row>
    <row r="367" spans="1:18" ht="12.75">
      <c r="A367" s="37" t="s">
        <v>168</v>
      </c>
      <c r="B367" s="146">
        <v>212162</v>
      </c>
      <c r="C367" s="135"/>
      <c r="D367" s="119"/>
      <c r="E367" s="150"/>
      <c r="F367" s="188">
        <f t="shared" si="104"/>
        <v>0</v>
      </c>
      <c r="G367" s="229">
        <f>6884.49</f>
        <v>6884.49</v>
      </c>
      <c r="H367" s="230"/>
      <c r="I367" s="271">
        <f t="shared" si="105"/>
        <v>6884.49</v>
      </c>
      <c r="J367" s="305">
        <f>171</f>
        <v>171</v>
      </c>
      <c r="K367" s="7"/>
      <c r="L367" s="271">
        <f t="shared" si="106"/>
        <v>7055.49</v>
      </c>
      <c r="M367" s="29"/>
      <c r="N367" s="7"/>
      <c r="O367" s="22"/>
      <c r="P367" s="75"/>
      <c r="Q367" s="73"/>
      <c r="R367" s="87"/>
    </row>
    <row r="368" spans="1:18" ht="12.75">
      <c r="A368" s="37" t="s">
        <v>306</v>
      </c>
      <c r="B368" s="146"/>
      <c r="C368" s="135"/>
      <c r="D368" s="119"/>
      <c r="E368" s="150"/>
      <c r="F368" s="188">
        <f t="shared" si="104"/>
        <v>0</v>
      </c>
      <c r="G368" s="229">
        <f>1777.95+5071.73</f>
        <v>6849.679999999999</v>
      </c>
      <c r="H368" s="230"/>
      <c r="I368" s="271">
        <f t="shared" si="105"/>
        <v>6849.679999999999</v>
      </c>
      <c r="J368" s="305">
        <f>2970.55</f>
        <v>2970.55</v>
      </c>
      <c r="K368" s="7"/>
      <c r="L368" s="271">
        <f t="shared" si="106"/>
        <v>9820.23</v>
      </c>
      <c r="M368" s="29"/>
      <c r="N368" s="7"/>
      <c r="O368" s="22"/>
      <c r="P368" s="75"/>
      <c r="Q368" s="73"/>
      <c r="R368" s="87"/>
    </row>
    <row r="369" spans="1:18" ht="12.75">
      <c r="A369" s="37" t="s">
        <v>348</v>
      </c>
      <c r="B369" s="146"/>
      <c r="C369" s="135"/>
      <c r="D369" s="119"/>
      <c r="E369" s="150"/>
      <c r="F369" s="188">
        <f t="shared" si="104"/>
        <v>0</v>
      </c>
      <c r="G369" s="229"/>
      <c r="H369" s="230">
        <f>3014.38</f>
        <v>3014.38</v>
      </c>
      <c r="I369" s="271">
        <f t="shared" si="105"/>
        <v>3014.38</v>
      </c>
      <c r="J369" s="305"/>
      <c r="K369" s="7"/>
      <c r="L369" s="271">
        <f t="shared" si="106"/>
        <v>3014.38</v>
      </c>
      <c r="M369" s="29"/>
      <c r="N369" s="7"/>
      <c r="O369" s="22"/>
      <c r="P369" s="75"/>
      <c r="Q369" s="73"/>
      <c r="R369" s="87"/>
    </row>
    <row r="370" spans="1:18" ht="12.75">
      <c r="A370" s="37" t="s">
        <v>291</v>
      </c>
      <c r="B370" s="146"/>
      <c r="C370" s="135"/>
      <c r="D370" s="119"/>
      <c r="E370" s="150"/>
      <c r="F370" s="188">
        <f t="shared" si="104"/>
        <v>0</v>
      </c>
      <c r="G370" s="229">
        <f>3871.69</f>
        <v>3871.69</v>
      </c>
      <c r="H370" s="230"/>
      <c r="I370" s="271">
        <f t="shared" si="105"/>
        <v>3871.69</v>
      </c>
      <c r="J370" s="305"/>
      <c r="K370" s="7"/>
      <c r="L370" s="271">
        <f t="shared" si="106"/>
        <v>3871.69</v>
      </c>
      <c r="M370" s="29"/>
      <c r="N370" s="7"/>
      <c r="O370" s="22"/>
      <c r="P370" s="75"/>
      <c r="Q370" s="73"/>
      <c r="R370" s="87"/>
    </row>
    <row r="371" spans="1:18" ht="12.75" hidden="1">
      <c r="A371" s="37"/>
      <c r="B371" s="146"/>
      <c r="C371" s="135"/>
      <c r="D371" s="119"/>
      <c r="E371" s="150"/>
      <c r="F371" s="188">
        <f t="shared" si="104"/>
        <v>0</v>
      </c>
      <c r="G371" s="229"/>
      <c r="H371" s="230"/>
      <c r="I371" s="271">
        <f t="shared" si="105"/>
        <v>0</v>
      </c>
      <c r="J371" s="305"/>
      <c r="K371" s="7"/>
      <c r="L371" s="271">
        <f t="shared" si="106"/>
        <v>0</v>
      </c>
      <c r="M371" s="29"/>
      <c r="N371" s="7"/>
      <c r="O371" s="22"/>
      <c r="P371" s="75"/>
      <c r="Q371" s="73"/>
      <c r="R371" s="87"/>
    </row>
    <row r="372" spans="1:18" ht="12.75">
      <c r="A372" s="37" t="s">
        <v>327</v>
      </c>
      <c r="B372" s="146">
        <v>91628</v>
      </c>
      <c r="C372" s="135"/>
      <c r="D372" s="119">
        <f>218036</f>
        <v>218036</v>
      </c>
      <c r="E372" s="150"/>
      <c r="F372" s="188">
        <f t="shared" si="104"/>
        <v>218036</v>
      </c>
      <c r="G372" s="229">
        <f>14093.81</f>
        <v>14093.81</v>
      </c>
      <c r="H372" s="230"/>
      <c r="I372" s="271">
        <f t="shared" si="105"/>
        <v>232129.81</v>
      </c>
      <c r="J372" s="305">
        <f>48429-28130</f>
        <v>20299</v>
      </c>
      <c r="K372" s="7"/>
      <c r="L372" s="271">
        <f t="shared" si="106"/>
        <v>252428.81</v>
      </c>
      <c r="M372" s="29"/>
      <c r="N372" s="7"/>
      <c r="O372" s="22"/>
      <c r="P372" s="75"/>
      <c r="Q372" s="73"/>
      <c r="R372" s="87"/>
    </row>
    <row r="373" spans="1:18" ht="12.75" hidden="1">
      <c r="A373" s="37" t="s">
        <v>198</v>
      </c>
      <c r="B373" s="92"/>
      <c r="C373" s="135"/>
      <c r="D373" s="119"/>
      <c r="E373" s="150"/>
      <c r="F373" s="188">
        <f t="shared" si="104"/>
        <v>0</v>
      </c>
      <c r="G373" s="229"/>
      <c r="H373" s="230"/>
      <c r="I373" s="271">
        <f t="shared" si="105"/>
        <v>0</v>
      </c>
      <c r="J373" s="305"/>
      <c r="K373" s="7"/>
      <c r="L373" s="271"/>
      <c r="M373" s="29"/>
      <c r="N373" s="7"/>
      <c r="O373" s="22"/>
      <c r="P373" s="75"/>
      <c r="Q373" s="73"/>
      <c r="R373" s="87"/>
    </row>
    <row r="374" spans="1:18" ht="12.75">
      <c r="A374" s="37" t="s">
        <v>169</v>
      </c>
      <c r="B374" s="92"/>
      <c r="C374" s="135">
        <f>SUM(C375:C387)</f>
        <v>353425</v>
      </c>
      <c r="D374" s="108">
        <f>SUM(D375:D387)</f>
        <v>992996.7599999999</v>
      </c>
      <c r="E374" s="136">
        <f aca="true" t="shared" si="107" ref="E374:Q374">SUM(E375:E387)</f>
        <v>0</v>
      </c>
      <c r="F374" s="188">
        <f t="shared" si="107"/>
        <v>1346421.76</v>
      </c>
      <c r="G374" s="229">
        <f t="shared" si="107"/>
        <v>206373.18</v>
      </c>
      <c r="H374" s="230">
        <f t="shared" si="107"/>
        <v>75223.86</v>
      </c>
      <c r="I374" s="271">
        <f t="shared" si="107"/>
        <v>1628018.8</v>
      </c>
      <c r="J374" s="289">
        <f t="shared" si="107"/>
        <v>143985.66000000003</v>
      </c>
      <c r="K374" s="230">
        <f t="shared" si="107"/>
        <v>0</v>
      </c>
      <c r="L374" s="271">
        <f t="shared" si="107"/>
        <v>1772004.4599999997</v>
      </c>
      <c r="M374" s="135">
        <f t="shared" si="107"/>
        <v>0</v>
      </c>
      <c r="N374" s="135">
        <f t="shared" si="107"/>
        <v>0</v>
      </c>
      <c r="O374" s="135">
        <f t="shared" si="107"/>
        <v>0</v>
      </c>
      <c r="P374" s="135">
        <f t="shared" si="107"/>
        <v>0</v>
      </c>
      <c r="Q374" s="188">
        <f t="shared" si="107"/>
        <v>0</v>
      </c>
      <c r="R374" s="87"/>
    </row>
    <row r="375" spans="1:18" ht="12.75">
      <c r="A375" s="33" t="s">
        <v>216</v>
      </c>
      <c r="B375" s="92"/>
      <c r="C375" s="137">
        <v>1000</v>
      </c>
      <c r="D375" s="119"/>
      <c r="E375" s="136"/>
      <c r="F375" s="188">
        <f>C375+D375+E375</f>
        <v>1000</v>
      </c>
      <c r="G375" s="229"/>
      <c r="H375" s="230"/>
      <c r="I375" s="271">
        <f aca="true" t="shared" si="108" ref="I375:I387">F375+G375+H375</f>
        <v>1000</v>
      </c>
      <c r="J375" s="305"/>
      <c r="K375" s="7"/>
      <c r="L375" s="271">
        <f aca="true" t="shared" si="109" ref="L375:L387">I375+J375+K375</f>
        <v>1000</v>
      </c>
      <c r="M375" s="29"/>
      <c r="N375" s="7"/>
      <c r="O375" s="22"/>
      <c r="P375" s="75"/>
      <c r="Q375" s="73"/>
      <c r="R375" s="87"/>
    </row>
    <row r="376" spans="1:18" ht="12.75">
      <c r="A376" s="33" t="s">
        <v>177</v>
      </c>
      <c r="B376" s="92"/>
      <c r="C376" s="137"/>
      <c r="D376" s="119">
        <f>411.59+112602.92+6996.98+1000+5200+2716.73-6000</f>
        <v>122928.21999999999</v>
      </c>
      <c r="E376" s="136"/>
      <c r="F376" s="188">
        <f>C376+D376+E376</f>
        <v>122928.21999999999</v>
      </c>
      <c r="G376" s="229">
        <f>20956.06+10000+7890+500</f>
        <v>39346.06</v>
      </c>
      <c r="H376" s="230"/>
      <c r="I376" s="271">
        <f t="shared" si="108"/>
        <v>162274.27999999997</v>
      </c>
      <c r="J376" s="305">
        <f>25000+3567.6</f>
        <v>28567.6</v>
      </c>
      <c r="K376" s="7"/>
      <c r="L376" s="271">
        <f t="shared" si="109"/>
        <v>190841.87999999998</v>
      </c>
      <c r="M376" s="29"/>
      <c r="N376" s="7"/>
      <c r="O376" s="22"/>
      <c r="P376" s="75"/>
      <c r="Q376" s="73"/>
      <c r="R376" s="87"/>
    </row>
    <row r="377" spans="1:18" ht="12.75">
      <c r="A377" s="33" t="s">
        <v>311</v>
      </c>
      <c r="B377" s="92"/>
      <c r="C377" s="137">
        <v>4625</v>
      </c>
      <c r="D377" s="119"/>
      <c r="E377" s="136"/>
      <c r="F377" s="188">
        <f>C377+D377+E377</f>
        <v>4625</v>
      </c>
      <c r="G377" s="229"/>
      <c r="H377" s="230"/>
      <c r="I377" s="271">
        <f t="shared" si="108"/>
        <v>4625</v>
      </c>
      <c r="J377" s="305"/>
      <c r="K377" s="7"/>
      <c r="L377" s="271">
        <f t="shared" si="109"/>
        <v>4625</v>
      </c>
      <c r="M377" s="29"/>
      <c r="N377" s="7"/>
      <c r="O377" s="22"/>
      <c r="P377" s="75"/>
      <c r="Q377" s="73"/>
      <c r="R377" s="87"/>
    </row>
    <row r="378" spans="1:18" ht="12.75">
      <c r="A378" s="33" t="s">
        <v>263</v>
      </c>
      <c r="B378" s="92"/>
      <c r="C378" s="137">
        <v>6000</v>
      </c>
      <c r="D378" s="119"/>
      <c r="E378" s="136"/>
      <c r="F378" s="188">
        <f t="shared" si="104"/>
        <v>6000</v>
      </c>
      <c r="G378" s="229"/>
      <c r="H378" s="230"/>
      <c r="I378" s="271">
        <f t="shared" si="108"/>
        <v>6000</v>
      </c>
      <c r="J378" s="305"/>
      <c r="K378" s="7"/>
      <c r="L378" s="271">
        <f t="shared" si="109"/>
        <v>6000</v>
      </c>
      <c r="M378" s="29"/>
      <c r="N378" s="7"/>
      <c r="O378" s="22"/>
      <c r="P378" s="75"/>
      <c r="Q378" s="73"/>
      <c r="R378" s="87"/>
    </row>
    <row r="379" spans="1:18" ht="12.75">
      <c r="A379" s="33" t="s">
        <v>228</v>
      </c>
      <c r="B379" s="92"/>
      <c r="C379" s="137">
        <v>153000</v>
      </c>
      <c r="D379" s="119">
        <f>421.02+20.45+154988.18+22521.82</f>
        <v>177951.47</v>
      </c>
      <c r="E379" s="136"/>
      <c r="F379" s="188">
        <f t="shared" si="104"/>
        <v>330951.47</v>
      </c>
      <c r="G379" s="229">
        <f>58.5+605.48+847.41</f>
        <v>1511.3899999999999</v>
      </c>
      <c r="H379" s="230"/>
      <c r="I379" s="271">
        <f t="shared" si="108"/>
        <v>332462.86</v>
      </c>
      <c r="J379" s="305">
        <f>44790.97+268.26+552.11</f>
        <v>45611.340000000004</v>
      </c>
      <c r="K379" s="7"/>
      <c r="L379" s="271">
        <f t="shared" si="109"/>
        <v>378074.2</v>
      </c>
      <c r="M379" s="29"/>
      <c r="N379" s="7"/>
      <c r="O379" s="22"/>
      <c r="P379" s="75"/>
      <c r="Q379" s="73"/>
      <c r="R379" s="87"/>
    </row>
    <row r="380" spans="1:18" ht="12.75">
      <c r="A380" s="33" t="s">
        <v>176</v>
      </c>
      <c r="B380" s="92"/>
      <c r="C380" s="137">
        <v>17000</v>
      </c>
      <c r="D380" s="119">
        <f>27.8+95.35+53.69+296.6+1820.61+43.56+32.67+1250.1+378.53+1105.7+331.06+25920.31+2342.88+37.51</f>
        <v>33736.37</v>
      </c>
      <c r="E380" s="136"/>
      <c r="F380" s="188">
        <f t="shared" si="104"/>
        <v>50736.37</v>
      </c>
      <c r="G380" s="229">
        <f>2235.15+1395.36+473.19+888.29+1022.02+3267.88+1929.08+1792.43+43.56+303.71+402.08+1600.49+1155.19+396.88+2178.63+71.65+2571.46</f>
        <v>21727.05</v>
      </c>
      <c r="H380" s="230">
        <f>78793.08</f>
        <v>78793.08</v>
      </c>
      <c r="I380" s="271">
        <f t="shared" si="108"/>
        <v>151256.5</v>
      </c>
      <c r="J380" s="305">
        <f>1687.7+1699.65+922.18+326.13+882.16+257.91+3123.74+3306.48+2158.3+988.57+3373.67+3490.56+43.56+1.6+3189.05+1745.02+2331.65+2194.59+423.5+1238.85+48.62+6000+1726.93</f>
        <v>41160.420000000006</v>
      </c>
      <c r="K380" s="7"/>
      <c r="L380" s="271">
        <f t="shared" si="109"/>
        <v>192416.92</v>
      </c>
      <c r="M380" s="29"/>
      <c r="N380" s="7"/>
      <c r="O380" s="22"/>
      <c r="P380" s="75"/>
      <c r="Q380" s="73"/>
      <c r="R380" s="87"/>
    </row>
    <row r="381" spans="1:18" ht="12.75">
      <c r="A381" s="33" t="s">
        <v>179</v>
      </c>
      <c r="B381" s="92"/>
      <c r="C381" s="137">
        <v>16800</v>
      </c>
      <c r="D381" s="119">
        <f>8755.95+1633.61+87162.5+8949.75+5400+1646.64+37754.41</f>
        <v>151302.86</v>
      </c>
      <c r="E381" s="136"/>
      <c r="F381" s="188">
        <f t="shared" si="104"/>
        <v>168102.86</v>
      </c>
      <c r="G381" s="229">
        <f>363.78+8034.18+2.01+7800-1700-400-2200-2428.93+1116.53</f>
        <v>10587.570000000002</v>
      </c>
      <c r="H381" s="230"/>
      <c r="I381" s="271">
        <f t="shared" si="108"/>
        <v>178690.43</v>
      </c>
      <c r="J381" s="305">
        <f>15468.7+3199.56+75.06+30.69-2000+5000</f>
        <v>21774.010000000002</v>
      </c>
      <c r="K381" s="7"/>
      <c r="L381" s="271">
        <f t="shared" si="109"/>
        <v>200464.44</v>
      </c>
      <c r="M381" s="29"/>
      <c r="N381" s="7"/>
      <c r="O381" s="22"/>
      <c r="P381" s="75"/>
      <c r="Q381" s="73"/>
      <c r="R381" s="87"/>
    </row>
    <row r="382" spans="1:18" ht="12.75">
      <c r="A382" s="33" t="s">
        <v>182</v>
      </c>
      <c r="B382" s="92"/>
      <c r="C382" s="137">
        <v>3000</v>
      </c>
      <c r="D382" s="119">
        <f>1317.26+402.71+874.2+29.04+1214.15+39.93+642.25+1771.34+2262.44+24.88+13748.19+1634.34+39.93</f>
        <v>24000.66</v>
      </c>
      <c r="E382" s="136"/>
      <c r="F382" s="188">
        <f t="shared" si="104"/>
        <v>27000.66</v>
      </c>
      <c r="G382" s="229">
        <f>249.06+1164.13+850.14+1964.43+5211.33+2287.19+1318.58+1673.66+5770.22+797.77+1374.56+3044.26+1331.6</f>
        <v>27036.93</v>
      </c>
      <c r="H382" s="230"/>
      <c r="I382" s="271">
        <f t="shared" si="108"/>
        <v>54037.59</v>
      </c>
      <c r="J382" s="305">
        <f>840.38+5353.67+1127.64+999.04+1297.36+1142.11+765.74+1513.92+39.93+1436.09+4411.34+2257.35+88.73+1438.6+1979.93</f>
        <v>24691.829999999998</v>
      </c>
      <c r="K382" s="7"/>
      <c r="L382" s="271">
        <f t="shared" si="109"/>
        <v>78729.42</v>
      </c>
      <c r="M382" s="29"/>
      <c r="N382" s="7"/>
      <c r="O382" s="22"/>
      <c r="P382" s="75"/>
      <c r="Q382" s="73"/>
      <c r="R382" s="87"/>
    </row>
    <row r="383" spans="1:18" ht="12.75">
      <c r="A383" s="33" t="s">
        <v>181</v>
      </c>
      <c r="B383" s="92"/>
      <c r="C383" s="137">
        <v>6000</v>
      </c>
      <c r="D383" s="108">
        <f>60090+625.27+614+927.27+3423.26+450.08+695.67+1097.44+3055.76+110037.64+819.82+276.96+881.22+313.48+100000</f>
        <v>283307.87</v>
      </c>
      <c r="E383" s="136"/>
      <c r="F383" s="188">
        <f t="shared" si="104"/>
        <v>289307.87</v>
      </c>
      <c r="G383" s="229">
        <f>323.56+990.18+1222.96+742.6+1124.52+1792+1240.9+702.94+2517.94+1016.04+1750.35+316.35+1579.75+1937.33+1323.3+6859.13-1000+334.69+4250</f>
        <v>29024.539999999997</v>
      </c>
      <c r="H383" s="230"/>
      <c r="I383" s="271">
        <f t="shared" si="108"/>
        <v>318332.41</v>
      </c>
      <c r="J383" s="305">
        <f>1024.31+314.01+1202.45+1193.05+674.38+1195.32+18.51+1167.7-1350-4000-1000+47</f>
        <v>486.72999999999956</v>
      </c>
      <c r="K383" s="7"/>
      <c r="L383" s="271">
        <f t="shared" si="109"/>
        <v>318819.13999999996</v>
      </c>
      <c r="M383" s="29"/>
      <c r="N383" s="7"/>
      <c r="O383" s="22"/>
      <c r="P383" s="75"/>
      <c r="Q383" s="73"/>
      <c r="R383" s="87"/>
    </row>
    <row r="384" spans="1:18" ht="12.75" hidden="1">
      <c r="A384" s="33" t="s">
        <v>207</v>
      </c>
      <c r="B384" s="92">
        <v>2088</v>
      </c>
      <c r="C384" s="137"/>
      <c r="D384" s="108"/>
      <c r="E384" s="136"/>
      <c r="F384" s="188">
        <f t="shared" si="104"/>
        <v>0</v>
      </c>
      <c r="G384" s="229"/>
      <c r="H384" s="230"/>
      <c r="I384" s="271">
        <f t="shared" si="108"/>
        <v>0</v>
      </c>
      <c r="J384" s="305"/>
      <c r="K384" s="7"/>
      <c r="L384" s="271">
        <f t="shared" si="109"/>
        <v>0</v>
      </c>
      <c r="M384" s="29"/>
      <c r="N384" s="7"/>
      <c r="O384" s="22"/>
      <c r="P384" s="75"/>
      <c r="Q384" s="73"/>
      <c r="R384" s="87"/>
    </row>
    <row r="385" spans="1:18" ht="12.75">
      <c r="A385" s="33" t="s">
        <v>275</v>
      </c>
      <c r="B385" s="92">
        <v>2088</v>
      </c>
      <c r="C385" s="137"/>
      <c r="D385" s="108">
        <f>64395.89</f>
        <v>64395.89</v>
      </c>
      <c r="E385" s="136"/>
      <c r="F385" s="188">
        <f t="shared" si="104"/>
        <v>64395.89</v>
      </c>
      <c r="G385" s="229">
        <f>228.4</f>
        <v>228.4</v>
      </c>
      <c r="H385" s="230"/>
      <c r="I385" s="271">
        <f t="shared" si="108"/>
        <v>64624.29</v>
      </c>
      <c r="J385" s="305">
        <f>44205.52-44790.97+42930.51</f>
        <v>42345.06</v>
      </c>
      <c r="K385" s="7"/>
      <c r="L385" s="271">
        <f t="shared" si="109"/>
        <v>106969.35</v>
      </c>
      <c r="M385" s="29"/>
      <c r="N385" s="7"/>
      <c r="O385" s="22"/>
      <c r="P385" s="75"/>
      <c r="Q385" s="73"/>
      <c r="R385" s="87"/>
    </row>
    <row r="386" spans="1:18" ht="12.75">
      <c r="A386" s="37" t="s">
        <v>237</v>
      </c>
      <c r="B386" s="92">
        <v>2077</v>
      </c>
      <c r="C386" s="137">
        <v>146000</v>
      </c>
      <c r="D386" s="108">
        <f>127505.62-18.07-795.31-402.71-524.52-4536.95-95.35-3812.64-32.22-17.42-25.95-385.35-26.14-20.3-1759.43-1084.22-1357.46-331.06-24.88+1907.6-5400-1352+15000-40000-25.95-36.24</f>
        <v>82349.04999999997</v>
      </c>
      <c r="E386" s="136"/>
      <c r="F386" s="188">
        <f t="shared" si="104"/>
        <v>228349.05</v>
      </c>
      <c r="G386" s="229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86" s="230">
        <f>-2980.5</f>
        <v>-2980.5</v>
      </c>
      <c r="I386" s="271">
        <f t="shared" si="108"/>
        <v>207970.59</v>
      </c>
      <c r="J386" s="305">
        <f>-4.48-840.38-3212.2-727.61-649.38-548.95-164.2-529.3-1058.16-14.77-1297.36-2376.41-685.27-647.49-497.01-1594.14-2094.34-26.14-984.05-2579.63-25.95-818.01-916.34-1398.99-1156.66-2646.8-423.5-371.65-2257.35+30000+5000-25000-1286.95</f>
        <v>-21833.47</v>
      </c>
      <c r="K386" s="7"/>
      <c r="L386" s="271">
        <f t="shared" si="109"/>
        <v>186137.12</v>
      </c>
      <c r="M386" s="29"/>
      <c r="N386" s="7"/>
      <c r="O386" s="22"/>
      <c r="P386" s="75"/>
      <c r="Q386" s="73"/>
      <c r="R386" s="87"/>
    </row>
    <row r="387" spans="1:18" ht="12.75">
      <c r="A387" s="43" t="s">
        <v>276</v>
      </c>
      <c r="B387" s="95">
        <v>2099</v>
      </c>
      <c r="C387" s="157"/>
      <c r="D387" s="116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87" s="214"/>
      <c r="F387" s="224">
        <f t="shared" si="104"/>
        <v>53024.37000000003</v>
      </c>
      <c r="G387" s="241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87" s="242">
        <f>-78911.05+78872.33-550</f>
        <v>-588.7200000000012</v>
      </c>
      <c r="I387" s="276">
        <f t="shared" si="108"/>
        <v>146744.85000000006</v>
      </c>
      <c r="J387" s="309">
        <f>3979.69+2779.33+10841.31+3021.93-85.07-1024.31-314.01-1202.45-1687.7-1699.65-2141.47-400.03-349.66-373.23-161.93-352.86-9523.46-15468.7-3199.56-280.71-747.33-456.84-1193.05-3306.48-75.06-674.38-268.26-1510.81-988.57-268.73-1779.53-1396.22-1195.32-17.42+958.69+13000-74.39+2970.55-529.87-609.42-13.98-927.01-519.75-932.66-1037.93-552.11-1764.54-30.69-867.2-18.51-1167.7-48.62+3080+10888.44+5748.14-5000-5000-30000-47-692.98+7618.15-1726.93</f>
        <v>-38817.85999999999</v>
      </c>
      <c r="K387" s="10"/>
      <c r="L387" s="276">
        <f t="shared" si="109"/>
        <v>107926.99000000008</v>
      </c>
      <c r="M387" s="29"/>
      <c r="N387" s="7"/>
      <c r="O387" s="22"/>
      <c r="P387" s="75"/>
      <c r="Q387" s="73"/>
      <c r="R387" s="323"/>
    </row>
    <row r="388" spans="1:18" ht="12.75">
      <c r="A388" s="30" t="s">
        <v>92</v>
      </c>
      <c r="B388" s="96"/>
      <c r="C388" s="142">
        <f aca="true" t="shared" si="110" ref="C388:Q388">C389+C421</f>
        <v>326309.76</v>
      </c>
      <c r="D388" s="107">
        <f t="shared" si="110"/>
        <v>1178559.49</v>
      </c>
      <c r="E388" s="143">
        <f t="shared" si="110"/>
        <v>50</v>
      </c>
      <c r="F388" s="187">
        <f t="shared" si="110"/>
        <v>1504919.25</v>
      </c>
      <c r="G388" s="227">
        <f t="shared" si="110"/>
        <v>127309.81999999999</v>
      </c>
      <c r="H388" s="228">
        <f t="shared" si="110"/>
        <v>664.86</v>
      </c>
      <c r="I388" s="270">
        <f t="shared" si="110"/>
        <v>1632893.9300000002</v>
      </c>
      <c r="J388" s="288">
        <f>J389+J421</f>
        <v>112646.27</v>
      </c>
      <c r="K388" s="228">
        <f>K389+K421</f>
        <v>0</v>
      </c>
      <c r="L388" s="270">
        <f>L389+L421</f>
        <v>1745540.2</v>
      </c>
      <c r="M388" s="106">
        <f t="shared" si="110"/>
        <v>0</v>
      </c>
      <c r="N388" s="106">
        <f t="shared" si="110"/>
        <v>0</v>
      </c>
      <c r="O388" s="106">
        <f t="shared" si="110"/>
        <v>292032.24</v>
      </c>
      <c r="P388" s="106">
        <f t="shared" si="110"/>
        <v>0</v>
      </c>
      <c r="Q388" s="187">
        <f t="shared" si="110"/>
        <v>292032.24</v>
      </c>
      <c r="R388" s="87"/>
    </row>
    <row r="389" spans="1:18" ht="12.75">
      <c r="A389" s="39" t="s">
        <v>49</v>
      </c>
      <c r="B389" s="96"/>
      <c r="C389" s="156">
        <f aca="true" t="shared" si="111" ref="C389:Q389">SUM(C391:C420)</f>
        <v>326309.76</v>
      </c>
      <c r="D389" s="115">
        <f t="shared" si="111"/>
        <v>1178559.49</v>
      </c>
      <c r="E389" s="173">
        <f t="shared" si="111"/>
        <v>50</v>
      </c>
      <c r="F389" s="192">
        <f t="shared" si="111"/>
        <v>1504919.25</v>
      </c>
      <c r="G389" s="237">
        <f t="shared" si="111"/>
        <v>127309.81999999999</v>
      </c>
      <c r="H389" s="238">
        <f t="shared" si="111"/>
        <v>664.86</v>
      </c>
      <c r="I389" s="274">
        <f t="shared" si="111"/>
        <v>1632893.9300000002</v>
      </c>
      <c r="J389" s="278">
        <f>SUM(J391:J420)</f>
        <v>112646.27</v>
      </c>
      <c r="K389" s="238">
        <f>SUM(K391:K420)</f>
        <v>0</v>
      </c>
      <c r="L389" s="274">
        <f>SUM(L391:L420)</f>
        <v>1745540.2</v>
      </c>
      <c r="M389" s="114">
        <f t="shared" si="111"/>
        <v>0</v>
      </c>
      <c r="N389" s="114">
        <f t="shared" si="111"/>
        <v>0</v>
      </c>
      <c r="O389" s="114">
        <f t="shared" si="111"/>
        <v>292032.24</v>
      </c>
      <c r="P389" s="114">
        <f t="shared" si="111"/>
        <v>0</v>
      </c>
      <c r="Q389" s="192">
        <f t="shared" si="111"/>
        <v>292032.24</v>
      </c>
      <c r="R389" s="87"/>
    </row>
    <row r="390" spans="1:18" ht="12.75">
      <c r="A390" s="35" t="s">
        <v>26</v>
      </c>
      <c r="B390" s="92"/>
      <c r="C390" s="135"/>
      <c r="D390" s="108"/>
      <c r="E390" s="136"/>
      <c r="F390" s="188"/>
      <c r="G390" s="229"/>
      <c r="H390" s="230"/>
      <c r="I390" s="271"/>
      <c r="J390" s="305"/>
      <c r="K390" s="7"/>
      <c r="L390" s="271"/>
      <c r="M390" s="21"/>
      <c r="N390" s="7"/>
      <c r="O390" s="22"/>
      <c r="P390" s="75"/>
      <c r="Q390" s="73"/>
      <c r="R390" s="87"/>
    </row>
    <row r="391" spans="1:18" ht="12.75">
      <c r="A391" s="210" t="s">
        <v>93</v>
      </c>
      <c r="B391" s="98"/>
      <c r="C391" s="135">
        <v>255000</v>
      </c>
      <c r="D391" s="108"/>
      <c r="E391" s="136">
        <f>50</f>
        <v>50</v>
      </c>
      <c r="F391" s="188">
        <f aca="true" t="shared" si="112" ref="F391:F420">C391+D391+E391</f>
        <v>255050</v>
      </c>
      <c r="G391" s="229"/>
      <c r="H391" s="230"/>
      <c r="I391" s="271">
        <f>F391+G391+H391</f>
        <v>255050</v>
      </c>
      <c r="J391" s="305"/>
      <c r="K391" s="7"/>
      <c r="L391" s="271">
        <f>I391+J391+K391</f>
        <v>255050</v>
      </c>
      <c r="M391" s="21"/>
      <c r="N391" s="7"/>
      <c r="O391" s="22">
        <f>L391+M391+N391</f>
        <v>255050</v>
      </c>
      <c r="P391" s="75"/>
      <c r="Q391" s="73">
        <f>O391+P391</f>
        <v>255050</v>
      </c>
      <c r="R391" s="87"/>
    </row>
    <row r="392" spans="1:18" ht="12.75">
      <c r="A392" s="93" t="s">
        <v>204</v>
      </c>
      <c r="B392" s="98"/>
      <c r="C392" s="135"/>
      <c r="D392" s="108">
        <f>400+2000</f>
        <v>2400</v>
      </c>
      <c r="E392" s="136"/>
      <c r="F392" s="188">
        <f t="shared" si="112"/>
        <v>2400</v>
      </c>
      <c r="G392" s="229"/>
      <c r="H392" s="230"/>
      <c r="I392" s="271">
        <f aca="true" t="shared" si="113" ref="I392:I417">F392+G392+H392</f>
        <v>2400</v>
      </c>
      <c r="J392" s="305"/>
      <c r="K392" s="7"/>
      <c r="L392" s="271">
        <f aca="true" t="shared" si="114" ref="L392:L420">I392+J392+K392</f>
        <v>2400</v>
      </c>
      <c r="M392" s="21"/>
      <c r="N392" s="7"/>
      <c r="O392" s="22"/>
      <c r="P392" s="75"/>
      <c r="Q392" s="73"/>
      <c r="R392" s="87"/>
    </row>
    <row r="393" spans="1:18" ht="12.75" hidden="1">
      <c r="A393" s="33" t="s">
        <v>145</v>
      </c>
      <c r="B393" s="92"/>
      <c r="C393" s="135"/>
      <c r="D393" s="108"/>
      <c r="E393" s="136"/>
      <c r="F393" s="188">
        <f t="shared" si="112"/>
        <v>0</v>
      </c>
      <c r="G393" s="229"/>
      <c r="H393" s="230"/>
      <c r="I393" s="271">
        <f t="shared" si="113"/>
        <v>0</v>
      </c>
      <c r="J393" s="305"/>
      <c r="K393" s="7"/>
      <c r="L393" s="271">
        <f t="shared" si="114"/>
        <v>0</v>
      </c>
      <c r="M393" s="21"/>
      <c r="N393" s="7"/>
      <c r="O393" s="22">
        <f>L393+M393+N393</f>
        <v>0</v>
      </c>
      <c r="P393" s="75"/>
      <c r="Q393" s="73">
        <f>O393+P393</f>
        <v>0</v>
      </c>
      <c r="R393" s="87"/>
    </row>
    <row r="394" spans="1:18" ht="13.5" thickBot="1">
      <c r="A394" s="332" t="s">
        <v>162</v>
      </c>
      <c r="B394" s="133"/>
      <c r="C394" s="159">
        <v>60000</v>
      </c>
      <c r="D394" s="134">
        <f>425.8</f>
        <v>425.8</v>
      </c>
      <c r="E394" s="213"/>
      <c r="F394" s="223">
        <f t="shared" si="112"/>
        <v>60425.8</v>
      </c>
      <c r="G394" s="325">
        <f>2.06</f>
        <v>2.06</v>
      </c>
      <c r="H394" s="326"/>
      <c r="I394" s="327">
        <f t="shared" si="113"/>
        <v>60427.86</v>
      </c>
      <c r="J394" s="328"/>
      <c r="K394" s="329"/>
      <c r="L394" s="327">
        <f t="shared" si="114"/>
        <v>60427.86</v>
      </c>
      <c r="M394" s="21"/>
      <c r="N394" s="7"/>
      <c r="O394" s="22"/>
      <c r="P394" s="75"/>
      <c r="Q394" s="73"/>
      <c r="R394" s="87"/>
    </row>
    <row r="395" spans="1:18" ht="12.75">
      <c r="A395" s="33" t="s">
        <v>51</v>
      </c>
      <c r="B395" s="92"/>
      <c r="C395" s="135">
        <v>10809.76</v>
      </c>
      <c r="D395" s="108">
        <f>-3</f>
        <v>-3</v>
      </c>
      <c r="E395" s="136"/>
      <c r="F395" s="188">
        <f t="shared" si="112"/>
        <v>10806.76</v>
      </c>
      <c r="G395" s="229">
        <f>155</f>
        <v>155</v>
      </c>
      <c r="H395" s="230"/>
      <c r="I395" s="271">
        <f t="shared" si="113"/>
        <v>10961.76</v>
      </c>
      <c r="J395" s="305">
        <f>-200</f>
        <v>-200</v>
      </c>
      <c r="K395" s="7"/>
      <c r="L395" s="271">
        <f t="shared" si="114"/>
        <v>10761.76</v>
      </c>
      <c r="M395" s="21"/>
      <c r="N395" s="7"/>
      <c r="O395" s="22">
        <f>L395+M395+N395</f>
        <v>10761.76</v>
      </c>
      <c r="P395" s="75"/>
      <c r="Q395" s="73">
        <f>O395+P395</f>
        <v>10761.76</v>
      </c>
      <c r="R395" s="87"/>
    </row>
    <row r="396" spans="1:18" ht="12.75" hidden="1">
      <c r="A396" s="33" t="s">
        <v>65</v>
      </c>
      <c r="B396" s="92"/>
      <c r="C396" s="135"/>
      <c r="D396" s="108"/>
      <c r="E396" s="136"/>
      <c r="F396" s="188">
        <f t="shared" si="112"/>
        <v>0</v>
      </c>
      <c r="G396" s="229"/>
      <c r="H396" s="230"/>
      <c r="I396" s="271">
        <f t="shared" si="113"/>
        <v>0</v>
      </c>
      <c r="J396" s="305"/>
      <c r="K396" s="7"/>
      <c r="L396" s="271">
        <f t="shared" si="114"/>
        <v>0</v>
      </c>
      <c r="M396" s="21"/>
      <c r="N396" s="7"/>
      <c r="O396" s="22">
        <f>L396+M396+N396</f>
        <v>0</v>
      </c>
      <c r="P396" s="75"/>
      <c r="Q396" s="73">
        <f>O396+P396</f>
        <v>0</v>
      </c>
      <c r="R396" s="87"/>
    </row>
    <row r="397" spans="1:18" ht="12.75">
      <c r="A397" s="33" t="s">
        <v>259</v>
      </c>
      <c r="B397" s="92">
        <v>13013</v>
      </c>
      <c r="C397" s="135"/>
      <c r="D397" s="108">
        <f>463.21</f>
        <v>463.21</v>
      </c>
      <c r="E397" s="136"/>
      <c r="F397" s="188">
        <f t="shared" si="112"/>
        <v>463.21</v>
      </c>
      <c r="G397" s="229"/>
      <c r="H397" s="230">
        <f>664.86</f>
        <v>664.86</v>
      </c>
      <c r="I397" s="271">
        <f t="shared" si="113"/>
        <v>1128.07</v>
      </c>
      <c r="J397" s="305">
        <f>664.86+736.1</f>
        <v>1400.96</v>
      </c>
      <c r="K397" s="7"/>
      <c r="L397" s="271">
        <f t="shared" si="114"/>
        <v>2529.0299999999997</v>
      </c>
      <c r="M397" s="21"/>
      <c r="N397" s="7"/>
      <c r="O397" s="22"/>
      <c r="P397" s="75"/>
      <c r="Q397" s="73"/>
      <c r="R397" s="87"/>
    </row>
    <row r="398" spans="1:20" ht="12.75">
      <c r="A398" s="93" t="s">
        <v>321</v>
      </c>
      <c r="B398" s="92">
        <v>2177</v>
      </c>
      <c r="C398" s="135"/>
      <c r="D398" s="108">
        <f>2745.51</f>
        <v>2745.51</v>
      </c>
      <c r="E398" s="136"/>
      <c r="F398" s="188">
        <f t="shared" si="112"/>
        <v>2745.51</v>
      </c>
      <c r="G398" s="229">
        <f>-370.31</f>
        <v>-370.31</v>
      </c>
      <c r="H398" s="230"/>
      <c r="I398" s="271">
        <f t="shared" si="113"/>
        <v>2375.2000000000003</v>
      </c>
      <c r="J398" s="305"/>
      <c r="K398" s="7"/>
      <c r="L398" s="271">
        <f t="shared" si="114"/>
        <v>2375.2000000000003</v>
      </c>
      <c r="M398" s="21"/>
      <c r="N398" s="7"/>
      <c r="O398" s="22"/>
      <c r="P398" s="75"/>
      <c r="Q398" s="73"/>
      <c r="R398" s="87"/>
      <c r="S398" s="138"/>
      <c r="T398" s="138"/>
    </row>
    <row r="399" spans="1:20" ht="12.75" hidden="1">
      <c r="A399" s="33" t="s">
        <v>323</v>
      </c>
      <c r="B399" s="92">
        <v>2050</v>
      </c>
      <c r="C399" s="135"/>
      <c r="D399" s="108"/>
      <c r="E399" s="136"/>
      <c r="F399" s="188">
        <f t="shared" si="112"/>
        <v>0</v>
      </c>
      <c r="G399" s="229"/>
      <c r="H399" s="230"/>
      <c r="I399" s="271">
        <f t="shared" si="113"/>
        <v>0</v>
      </c>
      <c r="J399" s="305"/>
      <c r="K399" s="7"/>
      <c r="L399" s="271">
        <f t="shared" si="114"/>
        <v>0</v>
      </c>
      <c r="M399" s="21"/>
      <c r="N399" s="7"/>
      <c r="O399" s="22"/>
      <c r="P399" s="75"/>
      <c r="Q399" s="73"/>
      <c r="R399" s="87"/>
      <c r="S399" s="138"/>
      <c r="T399" s="138"/>
    </row>
    <row r="400" spans="1:20" ht="12.75">
      <c r="A400" s="33" t="s">
        <v>322</v>
      </c>
      <c r="B400" s="92">
        <v>2073</v>
      </c>
      <c r="C400" s="135"/>
      <c r="D400" s="108">
        <f>6780.2</f>
        <v>6780.2</v>
      </c>
      <c r="E400" s="136"/>
      <c r="F400" s="188">
        <f t="shared" si="112"/>
        <v>6780.2</v>
      </c>
      <c r="G400" s="229"/>
      <c r="H400" s="230"/>
      <c r="I400" s="271">
        <f t="shared" si="113"/>
        <v>6780.2</v>
      </c>
      <c r="J400" s="305"/>
      <c r="K400" s="7"/>
      <c r="L400" s="271">
        <f t="shared" si="114"/>
        <v>6780.2</v>
      </c>
      <c r="M400" s="21"/>
      <c r="N400" s="7"/>
      <c r="O400" s="22"/>
      <c r="P400" s="75"/>
      <c r="Q400" s="73"/>
      <c r="R400" s="87"/>
      <c r="S400" s="138"/>
      <c r="T400" s="138"/>
    </row>
    <row r="401" spans="1:20" ht="12.75">
      <c r="A401" s="33" t="s">
        <v>346</v>
      </c>
      <c r="B401" s="92"/>
      <c r="C401" s="135"/>
      <c r="D401" s="108"/>
      <c r="E401" s="136"/>
      <c r="F401" s="188">
        <f t="shared" si="112"/>
        <v>0</v>
      </c>
      <c r="G401" s="229">
        <f>7377.27</f>
        <v>7377.27</v>
      </c>
      <c r="H401" s="230"/>
      <c r="I401" s="271">
        <f t="shared" si="113"/>
        <v>7377.27</v>
      </c>
      <c r="J401" s="305"/>
      <c r="K401" s="7"/>
      <c r="L401" s="271">
        <f t="shared" si="114"/>
        <v>7377.27</v>
      </c>
      <c r="M401" s="21"/>
      <c r="N401" s="7"/>
      <c r="O401" s="22"/>
      <c r="P401" s="75"/>
      <c r="Q401" s="73"/>
      <c r="R401" s="87"/>
      <c r="S401" s="138"/>
      <c r="T401" s="138"/>
    </row>
    <row r="402" spans="1:20" ht="12.75">
      <c r="A402" s="33" t="s">
        <v>324</v>
      </c>
      <c r="B402" s="92">
        <v>1230</v>
      </c>
      <c r="C402" s="135"/>
      <c r="D402" s="108">
        <f>18084.73</f>
        <v>18084.73</v>
      </c>
      <c r="E402" s="136"/>
      <c r="F402" s="188">
        <f t="shared" si="112"/>
        <v>18084.73</v>
      </c>
      <c r="G402" s="229"/>
      <c r="H402" s="230"/>
      <c r="I402" s="271">
        <f t="shared" si="113"/>
        <v>18084.73</v>
      </c>
      <c r="J402" s="305"/>
      <c r="K402" s="7"/>
      <c r="L402" s="271">
        <f t="shared" si="114"/>
        <v>18084.73</v>
      </c>
      <c r="M402" s="21"/>
      <c r="N402" s="7"/>
      <c r="O402" s="22"/>
      <c r="P402" s="75"/>
      <c r="Q402" s="73"/>
      <c r="R402" s="87"/>
      <c r="S402" s="138"/>
      <c r="T402" s="138"/>
    </row>
    <row r="403" spans="1:20" ht="12.75">
      <c r="A403" s="33" t="s">
        <v>364</v>
      </c>
      <c r="B403" s="92">
        <v>1230</v>
      </c>
      <c r="C403" s="135"/>
      <c r="D403" s="108"/>
      <c r="E403" s="136"/>
      <c r="F403" s="188"/>
      <c r="G403" s="229"/>
      <c r="H403" s="230"/>
      <c r="I403" s="271">
        <f t="shared" si="113"/>
        <v>0</v>
      </c>
      <c r="J403" s="305">
        <f>59055.51</f>
        <v>59055.51</v>
      </c>
      <c r="K403" s="7"/>
      <c r="L403" s="271">
        <f t="shared" si="114"/>
        <v>59055.51</v>
      </c>
      <c r="M403" s="21"/>
      <c r="N403" s="7"/>
      <c r="O403" s="22"/>
      <c r="P403" s="75"/>
      <c r="Q403" s="73"/>
      <c r="R403" s="87"/>
      <c r="S403" s="138"/>
      <c r="T403" s="138"/>
    </row>
    <row r="404" spans="1:20" ht="12.75">
      <c r="A404" s="93" t="s">
        <v>340</v>
      </c>
      <c r="B404" s="92">
        <v>2178</v>
      </c>
      <c r="C404" s="135"/>
      <c r="D404" s="108">
        <f>2601.7</f>
        <v>2601.7</v>
      </c>
      <c r="E404" s="136"/>
      <c r="F404" s="188">
        <f t="shared" si="112"/>
        <v>2601.7</v>
      </c>
      <c r="G404" s="229"/>
      <c r="H404" s="230"/>
      <c r="I404" s="271">
        <f t="shared" si="113"/>
        <v>2601.7</v>
      </c>
      <c r="J404" s="305"/>
      <c r="K404" s="7"/>
      <c r="L404" s="271">
        <f t="shared" si="114"/>
        <v>2601.7</v>
      </c>
      <c r="M404" s="21"/>
      <c r="N404" s="7"/>
      <c r="O404" s="22"/>
      <c r="P404" s="75"/>
      <c r="Q404" s="73"/>
      <c r="R404" s="87"/>
      <c r="S404" s="138"/>
      <c r="T404" s="138"/>
    </row>
    <row r="405" spans="1:20" ht="12.75">
      <c r="A405" s="93" t="s">
        <v>347</v>
      </c>
      <c r="B405" s="92"/>
      <c r="C405" s="135"/>
      <c r="D405" s="108"/>
      <c r="E405" s="136"/>
      <c r="F405" s="188">
        <f t="shared" si="112"/>
        <v>0</v>
      </c>
      <c r="G405" s="229">
        <f>88.03</f>
        <v>88.03</v>
      </c>
      <c r="H405" s="230"/>
      <c r="I405" s="271">
        <f t="shared" si="113"/>
        <v>88.03</v>
      </c>
      <c r="J405" s="305"/>
      <c r="K405" s="7"/>
      <c r="L405" s="271">
        <f t="shared" si="114"/>
        <v>88.03</v>
      </c>
      <c r="M405" s="21"/>
      <c r="N405" s="7"/>
      <c r="O405" s="22"/>
      <c r="P405" s="75"/>
      <c r="Q405" s="73"/>
      <c r="R405" s="87"/>
      <c r="S405" s="138"/>
      <c r="T405" s="138"/>
    </row>
    <row r="406" spans="1:20" ht="12.75">
      <c r="A406" s="33" t="s">
        <v>325</v>
      </c>
      <c r="B406" s="92">
        <v>2080</v>
      </c>
      <c r="C406" s="135"/>
      <c r="D406" s="108">
        <f>4908.96</f>
        <v>4908.96</v>
      </c>
      <c r="E406" s="136"/>
      <c r="F406" s="188">
        <f t="shared" si="112"/>
        <v>4908.96</v>
      </c>
      <c r="G406" s="229"/>
      <c r="H406" s="230"/>
      <c r="I406" s="271">
        <f t="shared" si="113"/>
        <v>4908.96</v>
      </c>
      <c r="J406" s="305"/>
      <c r="K406" s="7"/>
      <c r="L406" s="271">
        <f t="shared" si="114"/>
        <v>4908.96</v>
      </c>
      <c r="M406" s="21"/>
      <c r="N406" s="7"/>
      <c r="O406" s="22"/>
      <c r="P406" s="75"/>
      <c r="Q406" s="73"/>
      <c r="R406" s="87"/>
      <c r="S406" s="138"/>
      <c r="T406" s="138"/>
    </row>
    <row r="407" spans="1:19" ht="12.75">
      <c r="A407" s="33" t="s">
        <v>357</v>
      </c>
      <c r="B407" s="92"/>
      <c r="C407" s="135"/>
      <c r="D407" s="108"/>
      <c r="E407" s="136"/>
      <c r="F407" s="188">
        <f t="shared" si="112"/>
        <v>0</v>
      </c>
      <c r="G407" s="229">
        <f>2528.99</f>
        <v>2528.99</v>
      </c>
      <c r="H407" s="230"/>
      <c r="I407" s="271">
        <f t="shared" si="113"/>
        <v>2528.99</v>
      </c>
      <c r="J407" s="305"/>
      <c r="K407" s="7"/>
      <c r="L407" s="271">
        <f t="shared" si="114"/>
        <v>2528.99</v>
      </c>
      <c r="M407" s="21"/>
      <c r="N407" s="7"/>
      <c r="O407" s="22"/>
      <c r="P407" s="75"/>
      <c r="Q407" s="73"/>
      <c r="R407" s="87"/>
      <c r="S407" s="138"/>
    </row>
    <row r="408" spans="1:19" ht="12.75">
      <c r="A408" s="33" t="s">
        <v>326</v>
      </c>
      <c r="B408" s="92">
        <v>1233</v>
      </c>
      <c r="C408" s="135"/>
      <c r="D408" s="108">
        <f>5872.48</f>
        <v>5872.48</v>
      </c>
      <c r="E408" s="136"/>
      <c r="F408" s="188">
        <f t="shared" si="112"/>
        <v>5872.48</v>
      </c>
      <c r="G408" s="229"/>
      <c r="H408" s="230"/>
      <c r="I408" s="271">
        <f t="shared" si="113"/>
        <v>5872.48</v>
      </c>
      <c r="J408" s="305"/>
      <c r="K408" s="7"/>
      <c r="L408" s="271">
        <f t="shared" si="114"/>
        <v>5872.48</v>
      </c>
      <c r="M408" s="21"/>
      <c r="N408" s="7"/>
      <c r="O408" s="22"/>
      <c r="P408" s="75"/>
      <c r="Q408" s="73"/>
      <c r="R408" s="87"/>
      <c r="S408" s="138"/>
    </row>
    <row r="409" spans="1:19" ht="12.75">
      <c r="A409" s="33" t="s">
        <v>361</v>
      </c>
      <c r="B409" s="92">
        <v>1233</v>
      </c>
      <c r="C409" s="135"/>
      <c r="D409" s="108"/>
      <c r="E409" s="136"/>
      <c r="F409" s="188">
        <f t="shared" si="112"/>
        <v>0</v>
      </c>
      <c r="G409" s="229">
        <f>9203.05</f>
        <v>9203.05</v>
      </c>
      <c r="H409" s="230"/>
      <c r="I409" s="271">
        <f t="shared" si="113"/>
        <v>9203.05</v>
      </c>
      <c r="J409" s="305"/>
      <c r="K409" s="7"/>
      <c r="L409" s="271">
        <f t="shared" si="114"/>
        <v>9203.05</v>
      </c>
      <c r="M409" s="21"/>
      <c r="N409" s="7"/>
      <c r="O409" s="22"/>
      <c r="P409" s="75"/>
      <c r="Q409" s="73"/>
      <c r="R409" s="87"/>
      <c r="S409" s="138"/>
    </row>
    <row r="410" spans="1:20" ht="12.75">
      <c r="A410" s="42" t="s">
        <v>199</v>
      </c>
      <c r="B410" s="92">
        <v>13305</v>
      </c>
      <c r="C410" s="135"/>
      <c r="D410" s="108">
        <f>1100267.08</f>
        <v>1100267.08</v>
      </c>
      <c r="E410" s="136"/>
      <c r="F410" s="188">
        <f t="shared" si="112"/>
        <v>1100267.08</v>
      </c>
      <c r="G410" s="229"/>
      <c r="H410" s="230"/>
      <c r="I410" s="271">
        <f t="shared" si="113"/>
        <v>1100267.08</v>
      </c>
      <c r="J410" s="305">
        <f>40414.14</f>
        <v>40414.14</v>
      </c>
      <c r="K410" s="7"/>
      <c r="L410" s="271">
        <f t="shared" si="114"/>
        <v>1140681.22</v>
      </c>
      <c r="M410" s="21"/>
      <c r="N410" s="7"/>
      <c r="O410" s="22"/>
      <c r="P410" s="75"/>
      <c r="Q410" s="73"/>
      <c r="R410" s="87"/>
      <c r="S410" s="138"/>
      <c r="T410" s="138"/>
    </row>
    <row r="411" spans="1:18" ht="12.75">
      <c r="A411" s="33" t="s">
        <v>94</v>
      </c>
      <c r="B411" s="92">
        <v>13307</v>
      </c>
      <c r="C411" s="135"/>
      <c r="D411" s="108">
        <f>7000</f>
        <v>7000</v>
      </c>
      <c r="E411" s="136"/>
      <c r="F411" s="188">
        <f t="shared" si="112"/>
        <v>7000</v>
      </c>
      <c r="G411" s="229"/>
      <c r="H411" s="230"/>
      <c r="I411" s="271">
        <f t="shared" si="113"/>
        <v>7000</v>
      </c>
      <c r="J411" s="305"/>
      <c r="K411" s="7"/>
      <c r="L411" s="271">
        <f t="shared" si="114"/>
        <v>7000</v>
      </c>
      <c r="M411" s="21"/>
      <c r="N411" s="7"/>
      <c r="O411" s="22">
        <f>L411+M411+N411</f>
        <v>7000</v>
      </c>
      <c r="P411" s="75"/>
      <c r="Q411" s="73">
        <f>O411+P411</f>
        <v>7000</v>
      </c>
      <c r="R411" s="87"/>
    </row>
    <row r="412" spans="1:19" ht="12.75">
      <c r="A412" s="33" t="s">
        <v>144</v>
      </c>
      <c r="B412" s="92">
        <v>14032</v>
      </c>
      <c r="C412" s="135"/>
      <c r="D412" s="108"/>
      <c r="E412" s="136"/>
      <c r="F412" s="188">
        <f t="shared" si="112"/>
        <v>0</v>
      </c>
      <c r="G412" s="229">
        <f>192</f>
        <v>192</v>
      </c>
      <c r="H412" s="230"/>
      <c r="I412" s="271">
        <f t="shared" si="113"/>
        <v>192</v>
      </c>
      <c r="J412" s="305"/>
      <c r="K412" s="7"/>
      <c r="L412" s="271">
        <f t="shared" si="114"/>
        <v>192</v>
      </c>
      <c r="M412" s="21"/>
      <c r="N412" s="7"/>
      <c r="O412" s="22">
        <f>L412+M412+N412</f>
        <v>192</v>
      </c>
      <c r="P412" s="75"/>
      <c r="Q412" s="73">
        <f>O412+P412</f>
        <v>192</v>
      </c>
      <c r="R412" s="87"/>
      <c r="S412" s="138"/>
    </row>
    <row r="413" spans="1:18" ht="12.75">
      <c r="A413" s="42" t="s">
        <v>339</v>
      </c>
      <c r="B413" s="92">
        <v>13351</v>
      </c>
      <c r="C413" s="135"/>
      <c r="D413" s="108">
        <f>2618.88</f>
        <v>2618.88</v>
      </c>
      <c r="E413" s="136"/>
      <c r="F413" s="188">
        <f t="shared" si="112"/>
        <v>2618.88</v>
      </c>
      <c r="G413" s="229"/>
      <c r="H413" s="230"/>
      <c r="I413" s="271">
        <f t="shared" si="113"/>
        <v>2618.88</v>
      </c>
      <c r="J413" s="305"/>
      <c r="K413" s="7"/>
      <c r="L413" s="271">
        <f t="shared" si="114"/>
        <v>2618.88</v>
      </c>
      <c r="M413" s="21"/>
      <c r="N413" s="7"/>
      <c r="O413" s="22"/>
      <c r="P413" s="75"/>
      <c r="Q413" s="73"/>
      <c r="R413" s="87"/>
    </row>
    <row r="414" spans="1:18" ht="12.75">
      <c r="A414" s="53" t="s">
        <v>329</v>
      </c>
      <c r="B414" s="92">
        <v>13351</v>
      </c>
      <c r="C414" s="135"/>
      <c r="D414" s="108">
        <f>380</f>
        <v>380</v>
      </c>
      <c r="E414" s="136"/>
      <c r="F414" s="188">
        <f t="shared" si="112"/>
        <v>380</v>
      </c>
      <c r="G414" s="229"/>
      <c r="H414" s="230"/>
      <c r="I414" s="271">
        <f t="shared" si="113"/>
        <v>380</v>
      </c>
      <c r="J414" s="305"/>
      <c r="K414" s="7"/>
      <c r="L414" s="271">
        <f t="shared" si="114"/>
        <v>380</v>
      </c>
      <c r="M414" s="21"/>
      <c r="N414" s="7"/>
      <c r="O414" s="22"/>
      <c r="P414" s="75"/>
      <c r="Q414" s="73"/>
      <c r="R414" s="87"/>
    </row>
    <row r="415" spans="1:18" ht="12.75">
      <c r="A415" s="53" t="s">
        <v>356</v>
      </c>
      <c r="B415" s="92">
        <v>13351</v>
      </c>
      <c r="C415" s="135"/>
      <c r="D415" s="108"/>
      <c r="E415" s="136"/>
      <c r="F415" s="188">
        <f t="shared" si="112"/>
        <v>0</v>
      </c>
      <c r="G415" s="229">
        <f>98768.08</f>
        <v>98768.08</v>
      </c>
      <c r="H415" s="230"/>
      <c r="I415" s="271">
        <f t="shared" si="113"/>
        <v>98768.08</v>
      </c>
      <c r="J415" s="305"/>
      <c r="K415" s="7"/>
      <c r="L415" s="271">
        <f t="shared" si="114"/>
        <v>98768.08</v>
      </c>
      <c r="M415" s="21"/>
      <c r="N415" s="7"/>
      <c r="O415" s="22"/>
      <c r="P415" s="75"/>
      <c r="Q415" s="73"/>
      <c r="R415" s="87"/>
    </row>
    <row r="416" spans="1:18" ht="12.75">
      <c r="A416" s="53" t="s">
        <v>363</v>
      </c>
      <c r="B416" s="92">
        <v>13351</v>
      </c>
      <c r="C416" s="135"/>
      <c r="D416" s="108"/>
      <c r="E416" s="136"/>
      <c r="F416" s="188"/>
      <c r="G416" s="229"/>
      <c r="H416" s="230"/>
      <c r="I416" s="271">
        <f t="shared" si="113"/>
        <v>0</v>
      </c>
      <c r="J416" s="305">
        <f>24975.66</f>
        <v>24975.66</v>
      </c>
      <c r="K416" s="7"/>
      <c r="L416" s="271">
        <f t="shared" si="114"/>
        <v>24975.66</v>
      </c>
      <c r="M416" s="21"/>
      <c r="N416" s="7"/>
      <c r="O416" s="22"/>
      <c r="P416" s="75"/>
      <c r="Q416" s="73"/>
      <c r="R416" s="87"/>
    </row>
    <row r="417" spans="1:18" ht="12.75">
      <c r="A417" s="37" t="s">
        <v>358</v>
      </c>
      <c r="B417" s="92">
        <v>13351</v>
      </c>
      <c r="C417" s="135"/>
      <c r="D417" s="108"/>
      <c r="E417" s="136"/>
      <c r="F417" s="188">
        <f t="shared" si="112"/>
        <v>0</v>
      </c>
      <c r="G417" s="229">
        <f>1851.11</f>
        <v>1851.11</v>
      </c>
      <c r="H417" s="230"/>
      <c r="I417" s="271">
        <f t="shared" si="113"/>
        <v>1851.11</v>
      </c>
      <c r="J417" s="305"/>
      <c r="K417" s="7"/>
      <c r="L417" s="271">
        <f t="shared" si="114"/>
        <v>1851.11</v>
      </c>
      <c r="M417" s="21"/>
      <c r="N417" s="7"/>
      <c r="O417" s="22"/>
      <c r="P417" s="75"/>
      <c r="Q417" s="73"/>
      <c r="R417" s="87"/>
    </row>
    <row r="418" spans="1:18" ht="12.75" hidden="1">
      <c r="A418" s="42" t="s">
        <v>151</v>
      </c>
      <c r="B418" s="92">
        <v>4359</v>
      </c>
      <c r="C418" s="135"/>
      <c r="D418" s="108"/>
      <c r="E418" s="136"/>
      <c r="F418" s="188">
        <f t="shared" si="112"/>
        <v>0</v>
      </c>
      <c r="G418" s="229"/>
      <c r="H418" s="230"/>
      <c r="I418" s="271">
        <f>F418+G418+H418</f>
        <v>0</v>
      </c>
      <c r="J418" s="305"/>
      <c r="K418" s="7"/>
      <c r="L418" s="271">
        <f t="shared" si="114"/>
        <v>0</v>
      </c>
      <c r="M418" s="21"/>
      <c r="N418" s="7"/>
      <c r="O418" s="22">
        <f>L418+M418+N418</f>
        <v>0</v>
      </c>
      <c r="P418" s="75"/>
      <c r="Q418" s="73">
        <f>O418+P418</f>
        <v>0</v>
      </c>
      <c r="R418" s="87"/>
    </row>
    <row r="419" spans="1:18" ht="12.75" hidden="1">
      <c r="A419" s="93" t="s">
        <v>304</v>
      </c>
      <c r="B419" s="92"/>
      <c r="C419" s="135"/>
      <c r="D419" s="108"/>
      <c r="E419" s="136"/>
      <c r="F419" s="188">
        <f t="shared" si="112"/>
        <v>0</v>
      </c>
      <c r="G419" s="229"/>
      <c r="H419" s="230"/>
      <c r="I419" s="271">
        <f>F419+G419+H419</f>
        <v>0</v>
      </c>
      <c r="J419" s="305"/>
      <c r="K419" s="7"/>
      <c r="L419" s="271">
        <f t="shared" si="114"/>
        <v>0</v>
      </c>
      <c r="M419" s="21"/>
      <c r="N419" s="7"/>
      <c r="O419" s="22"/>
      <c r="P419" s="75"/>
      <c r="Q419" s="73"/>
      <c r="R419" s="87"/>
    </row>
    <row r="420" spans="1:18" ht="12.75">
      <c r="A420" s="36" t="s">
        <v>76</v>
      </c>
      <c r="B420" s="95"/>
      <c r="C420" s="157">
        <v>500</v>
      </c>
      <c r="D420" s="116">
        <f>2866.85+408.21+6495.7+3719.4+22.78+1340.77+8804.07+3+353.16</f>
        <v>24013.94</v>
      </c>
      <c r="E420" s="214"/>
      <c r="F420" s="224">
        <f t="shared" si="112"/>
        <v>24513.94</v>
      </c>
      <c r="G420" s="241">
        <f>13000-5500-396.47+371.29+39.72</f>
        <v>7514.54</v>
      </c>
      <c r="H420" s="242"/>
      <c r="I420" s="276">
        <f>F420+G420+H420</f>
        <v>32028.48</v>
      </c>
      <c r="J420" s="324">
        <f>-13000</f>
        <v>-13000</v>
      </c>
      <c r="K420" s="10"/>
      <c r="L420" s="276">
        <f t="shared" si="114"/>
        <v>19028.48</v>
      </c>
      <c r="M420" s="21"/>
      <c r="N420" s="7"/>
      <c r="O420" s="22">
        <f>L420+M420+N420</f>
        <v>19028.48</v>
      </c>
      <c r="P420" s="75"/>
      <c r="Q420" s="73">
        <f>O420+P420</f>
        <v>19028.48</v>
      </c>
      <c r="R420" s="322"/>
    </row>
    <row r="421" spans="1:18" ht="12.75" hidden="1">
      <c r="A421" s="39" t="s">
        <v>54</v>
      </c>
      <c r="B421" s="96"/>
      <c r="C421" s="156">
        <f>SUM(C423:C425)</f>
        <v>0</v>
      </c>
      <c r="D421" s="115">
        <f aca="true" t="shared" si="115" ref="D421:Q421">SUM(D423:D425)</f>
        <v>0</v>
      </c>
      <c r="E421" s="173">
        <f t="shared" si="115"/>
        <v>0</v>
      </c>
      <c r="F421" s="192">
        <f t="shared" si="115"/>
        <v>0</v>
      </c>
      <c r="G421" s="237">
        <f t="shared" si="115"/>
        <v>0</v>
      </c>
      <c r="H421" s="238">
        <f t="shared" si="115"/>
        <v>0</v>
      </c>
      <c r="I421" s="274">
        <f t="shared" si="115"/>
        <v>0</v>
      </c>
      <c r="J421" s="311">
        <f t="shared" si="115"/>
        <v>0</v>
      </c>
      <c r="K421" s="115">
        <f t="shared" si="115"/>
        <v>0</v>
      </c>
      <c r="L421" s="274">
        <f t="shared" si="115"/>
        <v>0</v>
      </c>
      <c r="M421" s="114">
        <f t="shared" si="115"/>
        <v>0</v>
      </c>
      <c r="N421" s="114">
        <f t="shared" si="115"/>
        <v>0</v>
      </c>
      <c r="O421" s="114">
        <f t="shared" si="115"/>
        <v>0</v>
      </c>
      <c r="P421" s="114">
        <f t="shared" si="115"/>
        <v>0</v>
      </c>
      <c r="Q421" s="192">
        <f t="shared" si="115"/>
        <v>0</v>
      </c>
      <c r="R421" s="87"/>
    </row>
    <row r="422" spans="1:18" ht="12.75" hidden="1">
      <c r="A422" s="35" t="s">
        <v>26</v>
      </c>
      <c r="B422" s="92"/>
      <c r="C422" s="135"/>
      <c r="D422" s="108"/>
      <c r="E422" s="136"/>
      <c r="F422" s="188"/>
      <c r="G422" s="229"/>
      <c r="H422" s="230"/>
      <c r="I422" s="271"/>
      <c r="J422" s="305"/>
      <c r="K422" s="7"/>
      <c r="L422" s="271"/>
      <c r="M422" s="21"/>
      <c r="N422" s="7"/>
      <c r="O422" s="22"/>
      <c r="P422" s="75"/>
      <c r="Q422" s="73"/>
      <c r="R422" s="87"/>
    </row>
    <row r="423" spans="1:18" ht="12.75" hidden="1">
      <c r="A423" s="33" t="s">
        <v>86</v>
      </c>
      <c r="B423" s="92"/>
      <c r="C423" s="135"/>
      <c r="D423" s="108"/>
      <c r="E423" s="136"/>
      <c r="F423" s="188">
        <f>C423+D423+E423</f>
        <v>0</v>
      </c>
      <c r="G423" s="229"/>
      <c r="H423" s="230"/>
      <c r="I423" s="271">
        <f>F423+G423+H423</f>
        <v>0</v>
      </c>
      <c r="J423" s="305"/>
      <c r="K423" s="7"/>
      <c r="L423" s="271">
        <f>I423+J423+K423</f>
        <v>0</v>
      </c>
      <c r="M423" s="21"/>
      <c r="N423" s="7"/>
      <c r="O423" s="22">
        <f>L423+M423+N423</f>
        <v>0</v>
      </c>
      <c r="P423" s="75"/>
      <c r="Q423" s="73">
        <f>O423+P423</f>
        <v>0</v>
      </c>
      <c r="R423" s="87"/>
    </row>
    <row r="424" spans="1:18" ht="12.75" hidden="1">
      <c r="A424" s="33" t="s">
        <v>55</v>
      </c>
      <c r="B424" s="92"/>
      <c r="C424" s="135"/>
      <c r="D424" s="108"/>
      <c r="E424" s="136"/>
      <c r="F424" s="188">
        <f>C424+D424+E424</f>
        <v>0</v>
      </c>
      <c r="G424" s="229"/>
      <c r="H424" s="230"/>
      <c r="I424" s="271">
        <f>F424+G424+H424</f>
        <v>0</v>
      </c>
      <c r="J424" s="305"/>
      <c r="K424" s="7"/>
      <c r="L424" s="271">
        <f>I424+J424+K424</f>
        <v>0</v>
      </c>
      <c r="M424" s="21"/>
      <c r="N424" s="7"/>
      <c r="O424" s="22">
        <f>L424+M424+N424</f>
        <v>0</v>
      </c>
      <c r="P424" s="75"/>
      <c r="Q424" s="73">
        <f>O424+P424</f>
        <v>0</v>
      </c>
      <c r="R424" s="87"/>
    </row>
    <row r="425" spans="1:18" ht="12.75" hidden="1">
      <c r="A425" s="36" t="s">
        <v>76</v>
      </c>
      <c r="B425" s="95"/>
      <c r="C425" s="157"/>
      <c r="D425" s="116"/>
      <c r="E425" s="214"/>
      <c r="F425" s="224">
        <f>C425+D425+E425</f>
        <v>0</v>
      </c>
      <c r="G425" s="241"/>
      <c r="H425" s="242"/>
      <c r="I425" s="276">
        <f>F425+G425+H425</f>
        <v>0</v>
      </c>
      <c r="J425" s="305"/>
      <c r="K425" s="7"/>
      <c r="L425" s="271">
        <f>I425+J425+K425</f>
        <v>0</v>
      </c>
      <c r="M425" s="21"/>
      <c r="N425" s="7"/>
      <c r="O425" s="22">
        <f>L425+M425+N425</f>
        <v>0</v>
      </c>
      <c r="P425" s="75"/>
      <c r="Q425" s="73">
        <f>O425+P425</f>
        <v>0</v>
      </c>
      <c r="R425" s="87"/>
    </row>
    <row r="426" spans="1:18" ht="12.75">
      <c r="A426" s="34" t="s">
        <v>318</v>
      </c>
      <c r="B426" s="96"/>
      <c r="C426" s="142">
        <f aca="true" t="shared" si="116" ref="C426:Q426">C427+C441</f>
        <v>7686.07</v>
      </c>
      <c r="D426" s="107">
        <f t="shared" si="116"/>
        <v>6649.75</v>
      </c>
      <c r="E426" s="143">
        <f t="shared" si="116"/>
        <v>0</v>
      </c>
      <c r="F426" s="187">
        <f t="shared" si="116"/>
        <v>14335.820000000002</v>
      </c>
      <c r="G426" s="227">
        <f t="shared" si="116"/>
        <v>1058.17</v>
      </c>
      <c r="H426" s="228">
        <f t="shared" si="116"/>
        <v>0</v>
      </c>
      <c r="I426" s="270">
        <f t="shared" si="116"/>
        <v>15393.990000000002</v>
      </c>
      <c r="J426" s="288">
        <f>J427+J441</f>
        <v>205.39</v>
      </c>
      <c r="K426" s="228">
        <f>K427+K441</f>
        <v>0</v>
      </c>
      <c r="L426" s="270">
        <f>L427+L441</f>
        <v>15599.380000000001</v>
      </c>
      <c r="M426" s="106">
        <f t="shared" si="116"/>
        <v>0</v>
      </c>
      <c r="N426" s="106">
        <f t="shared" si="116"/>
        <v>0</v>
      </c>
      <c r="O426" s="106">
        <f t="shared" si="116"/>
        <v>12805.69</v>
      </c>
      <c r="P426" s="106">
        <f t="shared" si="116"/>
        <v>0</v>
      </c>
      <c r="Q426" s="187">
        <f t="shared" si="116"/>
        <v>12805.69</v>
      </c>
      <c r="R426" s="87"/>
    </row>
    <row r="427" spans="1:18" ht="12.75">
      <c r="A427" s="39" t="s">
        <v>49</v>
      </c>
      <c r="B427" s="96"/>
      <c r="C427" s="156">
        <f aca="true" t="shared" si="117" ref="C427:Q427">SUM(C429:C440)</f>
        <v>7686.07</v>
      </c>
      <c r="D427" s="115">
        <f t="shared" si="117"/>
        <v>5678.88</v>
      </c>
      <c r="E427" s="173">
        <f t="shared" si="117"/>
        <v>0</v>
      </c>
      <c r="F427" s="192">
        <f t="shared" si="117"/>
        <v>13364.95</v>
      </c>
      <c r="G427" s="237">
        <f t="shared" si="117"/>
        <v>1058.17</v>
      </c>
      <c r="H427" s="238">
        <f t="shared" si="117"/>
        <v>-242</v>
      </c>
      <c r="I427" s="274">
        <f t="shared" si="117"/>
        <v>14181.12</v>
      </c>
      <c r="J427" s="278">
        <f>SUM(J429:J440)</f>
        <v>131</v>
      </c>
      <c r="K427" s="238">
        <f>SUM(K429:K440)</f>
        <v>0</v>
      </c>
      <c r="L427" s="274">
        <f>SUM(L429:L440)</f>
        <v>14312.12</v>
      </c>
      <c r="M427" s="114">
        <f t="shared" si="117"/>
        <v>0</v>
      </c>
      <c r="N427" s="114">
        <f t="shared" si="117"/>
        <v>0</v>
      </c>
      <c r="O427" s="114">
        <f t="shared" si="117"/>
        <v>11518.43</v>
      </c>
      <c r="P427" s="114">
        <f t="shared" si="117"/>
        <v>0</v>
      </c>
      <c r="Q427" s="192">
        <f t="shared" si="117"/>
        <v>11518.43</v>
      </c>
      <c r="R427" s="87"/>
    </row>
    <row r="428" spans="1:18" ht="12.75">
      <c r="A428" s="35" t="s">
        <v>26</v>
      </c>
      <c r="B428" s="92"/>
      <c r="C428" s="135"/>
      <c r="D428" s="108"/>
      <c r="E428" s="136"/>
      <c r="F428" s="187"/>
      <c r="G428" s="229"/>
      <c r="H428" s="230"/>
      <c r="I428" s="270"/>
      <c r="J428" s="305"/>
      <c r="K428" s="7"/>
      <c r="L428" s="270"/>
      <c r="M428" s="21"/>
      <c r="N428" s="7"/>
      <c r="O428" s="20"/>
      <c r="P428" s="75"/>
      <c r="Q428" s="73"/>
      <c r="R428" s="87"/>
    </row>
    <row r="429" spans="1:18" ht="12.75">
      <c r="A429" s="33" t="s">
        <v>51</v>
      </c>
      <c r="B429" s="92"/>
      <c r="C429" s="135">
        <v>7686.07</v>
      </c>
      <c r="D429" s="108">
        <f>500+486.2</f>
        <v>986.2</v>
      </c>
      <c r="E429" s="136"/>
      <c r="F429" s="188">
        <f aca="true" t="shared" si="118" ref="F429:F440">C429+D429+E429</f>
        <v>8672.27</v>
      </c>
      <c r="G429" s="229">
        <f>99.48</f>
        <v>99.48</v>
      </c>
      <c r="H429" s="230">
        <f>-242</f>
        <v>-242</v>
      </c>
      <c r="I429" s="271">
        <f>F429+G429+H429</f>
        <v>8529.75</v>
      </c>
      <c r="J429" s="305">
        <f>131</f>
        <v>131</v>
      </c>
      <c r="K429" s="7"/>
      <c r="L429" s="271">
        <f>I429+J429+K429</f>
        <v>8660.75</v>
      </c>
      <c r="M429" s="21"/>
      <c r="N429" s="7"/>
      <c r="O429" s="22">
        <f>L429+M429+N429</f>
        <v>8660.75</v>
      </c>
      <c r="P429" s="75"/>
      <c r="Q429" s="73">
        <f>O429+P429</f>
        <v>8660.75</v>
      </c>
      <c r="R429" s="87"/>
    </row>
    <row r="430" spans="1:18" ht="12.75" hidden="1">
      <c r="A430" s="37" t="s">
        <v>201</v>
      </c>
      <c r="B430" s="92"/>
      <c r="C430" s="135"/>
      <c r="D430" s="108"/>
      <c r="E430" s="136"/>
      <c r="F430" s="188">
        <f t="shared" si="118"/>
        <v>0</v>
      </c>
      <c r="G430" s="229"/>
      <c r="H430" s="230"/>
      <c r="I430" s="271">
        <f aca="true" t="shared" si="119" ref="I430:I440">F430+G430+H430</f>
        <v>0</v>
      </c>
      <c r="J430" s="305"/>
      <c r="K430" s="7"/>
      <c r="L430" s="271">
        <f aca="true" t="shared" si="120" ref="L430:L439">I430+J430+K430</f>
        <v>0</v>
      </c>
      <c r="M430" s="21"/>
      <c r="N430" s="7"/>
      <c r="O430" s="22">
        <f aca="true" t="shared" si="121" ref="O430:O435">L430+M430+N430</f>
        <v>0</v>
      </c>
      <c r="P430" s="75"/>
      <c r="Q430" s="73">
        <f>O430+P430</f>
        <v>0</v>
      </c>
      <c r="R430" s="87"/>
    </row>
    <row r="431" spans="1:18" ht="12.75" hidden="1">
      <c r="A431" s="37" t="s">
        <v>202</v>
      </c>
      <c r="B431" s="92"/>
      <c r="C431" s="135"/>
      <c r="D431" s="108"/>
      <c r="E431" s="136"/>
      <c r="F431" s="188">
        <f t="shared" si="118"/>
        <v>0</v>
      </c>
      <c r="G431" s="229"/>
      <c r="H431" s="230"/>
      <c r="I431" s="271">
        <f t="shared" si="119"/>
        <v>0</v>
      </c>
      <c r="J431" s="305"/>
      <c r="K431" s="7"/>
      <c r="L431" s="271">
        <f t="shared" si="120"/>
        <v>0</v>
      </c>
      <c r="M431" s="21"/>
      <c r="N431" s="7"/>
      <c r="O431" s="22"/>
      <c r="P431" s="75"/>
      <c r="Q431" s="73"/>
      <c r="R431" s="87"/>
    </row>
    <row r="432" spans="1:18" ht="12.75" hidden="1">
      <c r="A432" s="37" t="s">
        <v>205</v>
      </c>
      <c r="B432" s="92">
        <v>1400</v>
      </c>
      <c r="C432" s="135"/>
      <c r="D432" s="119"/>
      <c r="E432" s="136"/>
      <c r="F432" s="188">
        <f t="shared" si="118"/>
        <v>0</v>
      </c>
      <c r="G432" s="229"/>
      <c r="H432" s="230"/>
      <c r="I432" s="271">
        <f t="shared" si="119"/>
        <v>0</v>
      </c>
      <c r="J432" s="305"/>
      <c r="K432" s="7"/>
      <c r="L432" s="271">
        <f t="shared" si="120"/>
        <v>0</v>
      </c>
      <c r="M432" s="21"/>
      <c r="N432" s="7"/>
      <c r="O432" s="22"/>
      <c r="P432" s="75"/>
      <c r="Q432" s="73"/>
      <c r="R432" s="87"/>
    </row>
    <row r="433" spans="1:18" ht="12.75">
      <c r="A433" s="33" t="s">
        <v>76</v>
      </c>
      <c r="B433" s="92"/>
      <c r="C433" s="135"/>
      <c r="D433" s="126">
        <f>400+2441.18+16.5</f>
        <v>2857.68</v>
      </c>
      <c r="E433" s="136"/>
      <c r="F433" s="188">
        <f t="shared" si="118"/>
        <v>2857.68</v>
      </c>
      <c r="G433" s="229"/>
      <c r="H433" s="230"/>
      <c r="I433" s="271">
        <f t="shared" si="119"/>
        <v>2857.68</v>
      </c>
      <c r="J433" s="305"/>
      <c r="K433" s="7"/>
      <c r="L433" s="271">
        <f t="shared" si="120"/>
        <v>2857.68</v>
      </c>
      <c r="M433" s="21"/>
      <c r="N433" s="7"/>
      <c r="O433" s="22">
        <f t="shared" si="121"/>
        <v>2857.68</v>
      </c>
      <c r="P433" s="75"/>
      <c r="Q433" s="73">
        <f>O433+P433</f>
        <v>2857.68</v>
      </c>
      <c r="R433" s="87"/>
    </row>
    <row r="434" spans="1:18" ht="12.75" hidden="1">
      <c r="A434" s="33" t="s">
        <v>65</v>
      </c>
      <c r="B434" s="92"/>
      <c r="C434" s="135"/>
      <c r="D434" s="108"/>
      <c r="E434" s="136"/>
      <c r="F434" s="188">
        <f t="shared" si="118"/>
        <v>0</v>
      </c>
      <c r="G434" s="229"/>
      <c r="H434" s="230"/>
      <c r="I434" s="271">
        <f t="shared" si="119"/>
        <v>0</v>
      </c>
      <c r="J434" s="307"/>
      <c r="K434" s="7"/>
      <c r="L434" s="271">
        <f t="shared" si="120"/>
        <v>0</v>
      </c>
      <c r="M434" s="21"/>
      <c r="N434" s="7"/>
      <c r="O434" s="22">
        <f t="shared" si="121"/>
        <v>0</v>
      </c>
      <c r="P434" s="75"/>
      <c r="Q434" s="73">
        <f>O434+P434</f>
        <v>0</v>
      </c>
      <c r="R434" s="87"/>
    </row>
    <row r="435" spans="1:18" ht="12.75" hidden="1">
      <c r="A435" s="33" t="s">
        <v>158</v>
      </c>
      <c r="B435" s="92"/>
      <c r="C435" s="135"/>
      <c r="D435" s="108"/>
      <c r="E435" s="136"/>
      <c r="F435" s="188">
        <f t="shared" si="118"/>
        <v>0</v>
      </c>
      <c r="G435" s="229"/>
      <c r="H435" s="230"/>
      <c r="I435" s="271">
        <f t="shared" si="119"/>
        <v>0</v>
      </c>
      <c r="J435" s="307"/>
      <c r="K435" s="7"/>
      <c r="L435" s="271">
        <f t="shared" si="120"/>
        <v>0</v>
      </c>
      <c r="M435" s="21"/>
      <c r="N435" s="7"/>
      <c r="O435" s="22">
        <f t="shared" si="121"/>
        <v>0</v>
      </c>
      <c r="P435" s="75"/>
      <c r="Q435" s="73">
        <f>O435+P435</f>
        <v>0</v>
      </c>
      <c r="R435" s="87"/>
    </row>
    <row r="436" spans="1:18" ht="12.75">
      <c r="A436" s="33" t="s">
        <v>293</v>
      </c>
      <c r="B436" s="92">
        <v>14034</v>
      </c>
      <c r="C436" s="135"/>
      <c r="D436" s="108">
        <f>1835</f>
        <v>1835</v>
      </c>
      <c r="E436" s="136"/>
      <c r="F436" s="188">
        <f t="shared" si="118"/>
        <v>1835</v>
      </c>
      <c r="G436" s="229"/>
      <c r="H436" s="230"/>
      <c r="I436" s="271">
        <f t="shared" si="119"/>
        <v>1835</v>
      </c>
      <c r="J436" s="307"/>
      <c r="K436" s="7"/>
      <c r="L436" s="271">
        <f t="shared" si="120"/>
        <v>1835</v>
      </c>
      <c r="M436" s="21"/>
      <c r="N436" s="7"/>
      <c r="O436" s="22"/>
      <c r="P436" s="75"/>
      <c r="Q436" s="73"/>
      <c r="R436" s="87"/>
    </row>
    <row r="437" spans="1:18" ht="12.75" hidden="1">
      <c r="A437" s="33" t="s">
        <v>250</v>
      </c>
      <c r="B437" s="92">
        <v>98035</v>
      </c>
      <c r="C437" s="135"/>
      <c r="D437" s="108"/>
      <c r="E437" s="136"/>
      <c r="F437" s="188">
        <f t="shared" si="118"/>
        <v>0</v>
      </c>
      <c r="G437" s="229"/>
      <c r="H437" s="230"/>
      <c r="I437" s="271">
        <f t="shared" si="119"/>
        <v>0</v>
      </c>
      <c r="J437" s="307"/>
      <c r="K437" s="7"/>
      <c r="L437" s="271">
        <f t="shared" si="120"/>
        <v>0</v>
      </c>
      <c r="M437" s="21"/>
      <c r="N437" s="7"/>
      <c r="O437" s="22"/>
      <c r="P437" s="75"/>
      <c r="Q437" s="73"/>
      <c r="R437" s="87"/>
    </row>
    <row r="438" spans="1:18" ht="12.75" hidden="1">
      <c r="A438" s="33" t="s">
        <v>372</v>
      </c>
      <c r="B438" s="92">
        <v>17055</v>
      </c>
      <c r="C438" s="135"/>
      <c r="D438" s="108"/>
      <c r="E438" s="136"/>
      <c r="F438" s="188"/>
      <c r="G438" s="229"/>
      <c r="H438" s="230"/>
      <c r="I438" s="271">
        <f t="shared" si="119"/>
        <v>0</v>
      </c>
      <c r="J438" s="307"/>
      <c r="K438" s="7"/>
      <c r="L438" s="271">
        <f t="shared" si="120"/>
        <v>0</v>
      </c>
      <c r="M438" s="21"/>
      <c r="N438" s="7"/>
      <c r="O438" s="22"/>
      <c r="P438" s="75"/>
      <c r="Q438" s="73"/>
      <c r="R438" s="87"/>
    </row>
    <row r="439" spans="1:18" ht="12.75">
      <c r="A439" s="33" t="s">
        <v>354</v>
      </c>
      <c r="B439" s="149" t="s">
        <v>231</v>
      </c>
      <c r="C439" s="135"/>
      <c r="D439" s="108"/>
      <c r="E439" s="136"/>
      <c r="F439" s="188">
        <f t="shared" si="118"/>
        <v>0</v>
      </c>
      <c r="G439" s="229">
        <f>958.69</f>
        <v>958.69</v>
      </c>
      <c r="H439" s="230"/>
      <c r="I439" s="271">
        <f t="shared" si="119"/>
        <v>958.69</v>
      </c>
      <c r="J439" s="307"/>
      <c r="K439" s="7"/>
      <c r="L439" s="271">
        <f t="shared" si="120"/>
        <v>958.69</v>
      </c>
      <c r="M439" s="21"/>
      <c r="N439" s="7"/>
      <c r="O439" s="22"/>
      <c r="P439" s="75"/>
      <c r="Q439" s="73"/>
      <c r="R439" s="87"/>
    </row>
    <row r="440" spans="1:18" ht="12.75">
      <c r="A440" s="33" t="s">
        <v>230</v>
      </c>
      <c r="B440" s="92">
        <v>33064</v>
      </c>
      <c r="C440" s="135"/>
      <c r="D440" s="108"/>
      <c r="E440" s="136"/>
      <c r="F440" s="188">
        <f t="shared" si="118"/>
        <v>0</v>
      </c>
      <c r="G440" s="229"/>
      <c r="H440" s="230"/>
      <c r="I440" s="271">
        <f t="shared" si="119"/>
        <v>0</v>
      </c>
      <c r="J440" s="307"/>
      <c r="K440" s="7"/>
      <c r="L440" s="271"/>
      <c r="M440" s="21"/>
      <c r="N440" s="7"/>
      <c r="O440" s="22"/>
      <c r="P440" s="75"/>
      <c r="Q440" s="73"/>
      <c r="R440" s="87"/>
    </row>
    <row r="441" spans="1:18" ht="12.75">
      <c r="A441" s="39" t="s">
        <v>54</v>
      </c>
      <c r="B441" s="96"/>
      <c r="C441" s="156">
        <f>SUM(C443:C449)</f>
        <v>0</v>
      </c>
      <c r="D441" s="115">
        <f aca="true" t="shared" si="122" ref="D441:Q441">SUM(D443:D449)</f>
        <v>970.87</v>
      </c>
      <c r="E441" s="173">
        <f t="shared" si="122"/>
        <v>0</v>
      </c>
      <c r="F441" s="192">
        <f t="shared" si="122"/>
        <v>970.87</v>
      </c>
      <c r="G441" s="237">
        <f t="shared" si="122"/>
        <v>0</v>
      </c>
      <c r="H441" s="238">
        <f t="shared" si="122"/>
        <v>242</v>
      </c>
      <c r="I441" s="274">
        <f t="shared" si="122"/>
        <v>1212.87</v>
      </c>
      <c r="J441" s="278">
        <f t="shared" si="122"/>
        <v>74.39</v>
      </c>
      <c r="K441" s="238">
        <f t="shared" si="122"/>
        <v>0</v>
      </c>
      <c r="L441" s="274">
        <f t="shared" si="122"/>
        <v>1287.26</v>
      </c>
      <c r="M441" s="114">
        <f t="shared" si="122"/>
        <v>0</v>
      </c>
      <c r="N441" s="114">
        <f t="shared" si="122"/>
        <v>0</v>
      </c>
      <c r="O441" s="114">
        <f t="shared" si="122"/>
        <v>1287.26</v>
      </c>
      <c r="P441" s="114">
        <f t="shared" si="122"/>
        <v>0</v>
      </c>
      <c r="Q441" s="192">
        <f t="shared" si="122"/>
        <v>1287.26</v>
      </c>
      <c r="R441" s="87"/>
    </row>
    <row r="442" spans="1:18" ht="12.75">
      <c r="A442" s="35" t="s">
        <v>26</v>
      </c>
      <c r="B442" s="92"/>
      <c r="C442" s="135"/>
      <c r="D442" s="108"/>
      <c r="E442" s="136"/>
      <c r="F442" s="188"/>
      <c r="G442" s="229"/>
      <c r="H442" s="230"/>
      <c r="I442" s="271"/>
      <c r="J442" s="305"/>
      <c r="K442" s="7"/>
      <c r="L442" s="271"/>
      <c r="M442" s="21"/>
      <c r="N442" s="7"/>
      <c r="O442" s="22"/>
      <c r="P442" s="75"/>
      <c r="Q442" s="73"/>
      <c r="R442" s="87"/>
    </row>
    <row r="443" spans="1:18" ht="12.75" hidden="1">
      <c r="A443" s="37" t="s">
        <v>69</v>
      </c>
      <c r="B443" s="92"/>
      <c r="C443" s="135"/>
      <c r="D443" s="108"/>
      <c r="E443" s="136"/>
      <c r="F443" s="188">
        <f aca="true" t="shared" si="123" ref="F443:F449">C443+D443+E443</f>
        <v>0</v>
      </c>
      <c r="G443" s="229"/>
      <c r="H443" s="230"/>
      <c r="I443" s="271">
        <f aca="true" t="shared" si="124" ref="I443:I449">F443+G443+H443</f>
        <v>0</v>
      </c>
      <c r="J443" s="305"/>
      <c r="K443" s="7"/>
      <c r="L443" s="271">
        <f>I443+J443+K443</f>
        <v>0</v>
      </c>
      <c r="M443" s="21"/>
      <c r="N443" s="7"/>
      <c r="O443" s="22">
        <f>L443+M443+N443</f>
        <v>0</v>
      </c>
      <c r="P443" s="75"/>
      <c r="Q443" s="73">
        <f>O443+P443</f>
        <v>0</v>
      </c>
      <c r="R443" s="87"/>
    </row>
    <row r="444" spans="1:18" ht="12.75" hidden="1">
      <c r="A444" s="37" t="s">
        <v>188</v>
      </c>
      <c r="B444" s="92"/>
      <c r="C444" s="135"/>
      <c r="D444" s="108"/>
      <c r="E444" s="136"/>
      <c r="F444" s="188">
        <f t="shared" si="123"/>
        <v>0</v>
      </c>
      <c r="G444" s="229"/>
      <c r="H444" s="230"/>
      <c r="I444" s="271">
        <f t="shared" si="124"/>
        <v>0</v>
      </c>
      <c r="J444" s="305"/>
      <c r="K444" s="7"/>
      <c r="L444" s="271"/>
      <c r="M444" s="21"/>
      <c r="N444" s="7"/>
      <c r="O444" s="22"/>
      <c r="P444" s="75"/>
      <c r="Q444" s="73"/>
      <c r="R444" s="87"/>
    </row>
    <row r="445" spans="1:18" ht="12.75" hidden="1">
      <c r="A445" s="37" t="s">
        <v>189</v>
      </c>
      <c r="B445" s="92"/>
      <c r="C445" s="135"/>
      <c r="D445" s="108"/>
      <c r="E445" s="136"/>
      <c r="F445" s="188">
        <f t="shared" si="123"/>
        <v>0</v>
      </c>
      <c r="G445" s="229"/>
      <c r="H445" s="230"/>
      <c r="I445" s="271">
        <f t="shared" si="124"/>
        <v>0</v>
      </c>
      <c r="J445" s="305"/>
      <c r="K445" s="7"/>
      <c r="L445" s="271"/>
      <c r="M445" s="21"/>
      <c r="N445" s="7"/>
      <c r="O445" s="22"/>
      <c r="P445" s="75"/>
      <c r="Q445" s="73"/>
      <c r="R445" s="87"/>
    </row>
    <row r="446" spans="1:18" ht="12.75" hidden="1">
      <c r="A446" s="37" t="s">
        <v>180</v>
      </c>
      <c r="B446" s="92"/>
      <c r="C446" s="135"/>
      <c r="D446" s="108"/>
      <c r="E446" s="136"/>
      <c r="F446" s="188">
        <f t="shared" si="123"/>
        <v>0</v>
      </c>
      <c r="G446" s="229"/>
      <c r="H446" s="230"/>
      <c r="I446" s="271">
        <f t="shared" si="124"/>
        <v>0</v>
      </c>
      <c r="J446" s="305"/>
      <c r="K446" s="7"/>
      <c r="L446" s="271"/>
      <c r="M446" s="21"/>
      <c r="N446" s="7"/>
      <c r="O446" s="22"/>
      <c r="P446" s="75"/>
      <c r="Q446" s="73"/>
      <c r="R446" s="87"/>
    </row>
    <row r="447" spans="1:18" ht="12.75" hidden="1">
      <c r="A447" s="33" t="s">
        <v>55</v>
      </c>
      <c r="B447" s="92"/>
      <c r="C447" s="135"/>
      <c r="D447" s="108"/>
      <c r="E447" s="136"/>
      <c r="F447" s="188">
        <f t="shared" si="123"/>
        <v>0</v>
      </c>
      <c r="G447" s="229"/>
      <c r="H447" s="230"/>
      <c r="I447" s="271">
        <f t="shared" si="124"/>
        <v>0</v>
      </c>
      <c r="J447" s="305"/>
      <c r="K447" s="7"/>
      <c r="L447" s="271">
        <f>I447+J447+K447</f>
        <v>0</v>
      </c>
      <c r="M447" s="21"/>
      <c r="N447" s="7"/>
      <c r="O447" s="22">
        <f>L447+M447+N447</f>
        <v>0</v>
      </c>
      <c r="P447" s="75"/>
      <c r="Q447" s="73">
        <f>O447+P447</f>
        <v>0</v>
      </c>
      <c r="R447" s="87"/>
    </row>
    <row r="448" spans="1:18" ht="12.75">
      <c r="A448" s="33" t="s">
        <v>76</v>
      </c>
      <c r="B448" s="92"/>
      <c r="C448" s="135"/>
      <c r="D448" s="108">
        <f>970.87</f>
        <v>970.87</v>
      </c>
      <c r="E448" s="136"/>
      <c r="F448" s="188">
        <f t="shared" si="123"/>
        <v>970.87</v>
      </c>
      <c r="G448" s="229"/>
      <c r="H448" s="230"/>
      <c r="I448" s="271">
        <f t="shared" si="124"/>
        <v>970.87</v>
      </c>
      <c r="J448" s="305">
        <f>74.39</f>
        <v>74.39</v>
      </c>
      <c r="K448" s="7"/>
      <c r="L448" s="271">
        <f>I448+J448+K448</f>
        <v>1045.26</v>
      </c>
      <c r="M448" s="21"/>
      <c r="N448" s="7"/>
      <c r="O448" s="22">
        <f>L448+M448+N448</f>
        <v>1045.26</v>
      </c>
      <c r="P448" s="75"/>
      <c r="Q448" s="73">
        <f>O448+P448</f>
        <v>1045.26</v>
      </c>
      <c r="R448" s="87"/>
    </row>
    <row r="449" spans="1:18" ht="12.75">
      <c r="A449" s="207" t="s">
        <v>362</v>
      </c>
      <c r="B449" s="95"/>
      <c r="C449" s="157"/>
      <c r="D449" s="116"/>
      <c r="E449" s="214"/>
      <c r="F449" s="224">
        <f t="shared" si="123"/>
        <v>0</v>
      </c>
      <c r="G449" s="241"/>
      <c r="H449" s="242">
        <f>242</f>
        <v>242</v>
      </c>
      <c r="I449" s="276">
        <f t="shared" si="124"/>
        <v>242</v>
      </c>
      <c r="J449" s="310"/>
      <c r="K449" s="10"/>
      <c r="L449" s="276">
        <f>I449+J449+K449</f>
        <v>242</v>
      </c>
      <c r="M449" s="25"/>
      <c r="N449" s="10"/>
      <c r="O449" s="26">
        <f>L449+M449+N449</f>
        <v>242</v>
      </c>
      <c r="P449" s="78"/>
      <c r="Q449" s="79">
        <f>O449+P449</f>
        <v>242</v>
      </c>
      <c r="R449" s="87"/>
    </row>
    <row r="450" spans="1:18" ht="12.75">
      <c r="A450" s="30" t="s">
        <v>95</v>
      </c>
      <c r="B450" s="96"/>
      <c r="C450" s="142">
        <f>C451+C454</f>
        <v>3304.9</v>
      </c>
      <c r="D450" s="107">
        <f aca="true" t="shared" si="125" ref="D450:Q450">D451+D454</f>
        <v>0</v>
      </c>
      <c r="E450" s="143">
        <f t="shared" si="125"/>
        <v>0</v>
      </c>
      <c r="F450" s="187">
        <f t="shared" si="125"/>
        <v>3304.9</v>
      </c>
      <c r="G450" s="227">
        <f t="shared" si="125"/>
        <v>0</v>
      </c>
      <c r="H450" s="228">
        <f t="shared" si="125"/>
        <v>0</v>
      </c>
      <c r="I450" s="270">
        <f t="shared" si="125"/>
        <v>3304.9</v>
      </c>
      <c r="J450" s="288">
        <f>J451+J454</f>
        <v>0</v>
      </c>
      <c r="K450" s="228">
        <f>K451+K454</f>
        <v>0</v>
      </c>
      <c r="L450" s="270">
        <f>L451+L454</f>
        <v>3304.9</v>
      </c>
      <c r="M450" s="106">
        <f t="shared" si="125"/>
        <v>0</v>
      </c>
      <c r="N450" s="106">
        <f t="shared" si="125"/>
        <v>0</v>
      </c>
      <c r="O450" s="106">
        <f t="shared" si="125"/>
        <v>3304.9</v>
      </c>
      <c r="P450" s="106">
        <f t="shared" si="125"/>
        <v>0</v>
      </c>
      <c r="Q450" s="187">
        <f t="shared" si="125"/>
        <v>3304.9</v>
      </c>
      <c r="R450" s="87"/>
    </row>
    <row r="451" spans="1:18" ht="12.75">
      <c r="A451" s="39" t="s">
        <v>49</v>
      </c>
      <c r="B451" s="96"/>
      <c r="C451" s="156">
        <f>SUM(C453:C453)</f>
        <v>3304.9</v>
      </c>
      <c r="D451" s="115">
        <f aca="true" t="shared" si="126" ref="D451:Q451">SUM(D453:D453)</f>
        <v>0</v>
      </c>
      <c r="E451" s="173">
        <f t="shared" si="126"/>
        <v>0</v>
      </c>
      <c r="F451" s="192">
        <f t="shared" si="126"/>
        <v>3304.9</v>
      </c>
      <c r="G451" s="237">
        <f t="shared" si="126"/>
        <v>0</v>
      </c>
      <c r="H451" s="238">
        <f t="shared" si="126"/>
        <v>0</v>
      </c>
      <c r="I451" s="274">
        <f t="shared" si="126"/>
        <v>3304.9</v>
      </c>
      <c r="J451" s="278">
        <f>SUM(J453:J453)</f>
        <v>0</v>
      </c>
      <c r="K451" s="238">
        <f>SUM(K453:K453)</f>
        <v>0</v>
      </c>
      <c r="L451" s="274">
        <f>SUM(L453:L453)</f>
        <v>3304.9</v>
      </c>
      <c r="M451" s="114">
        <f t="shared" si="126"/>
        <v>0</v>
      </c>
      <c r="N451" s="114">
        <f t="shared" si="126"/>
        <v>0</v>
      </c>
      <c r="O451" s="114">
        <f t="shared" si="126"/>
        <v>3304.9</v>
      </c>
      <c r="P451" s="114">
        <f t="shared" si="126"/>
        <v>0</v>
      </c>
      <c r="Q451" s="192">
        <f t="shared" si="126"/>
        <v>3304.9</v>
      </c>
      <c r="R451" s="87"/>
    </row>
    <row r="452" spans="1:18" ht="12.75">
      <c r="A452" s="35" t="s">
        <v>26</v>
      </c>
      <c r="B452" s="92"/>
      <c r="C452" s="135"/>
      <c r="D452" s="108"/>
      <c r="E452" s="136"/>
      <c r="F452" s="187"/>
      <c r="G452" s="229"/>
      <c r="H452" s="230"/>
      <c r="I452" s="270"/>
      <c r="J452" s="305"/>
      <c r="K452" s="7"/>
      <c r="L452" s="270"/>
      <c r="M452" s="21"/>
      <c r="N452" s="7"/>
      <c r="O452" s="20"/>
      <c r="P452" s="75"/>
      <c r="Q452" s="73"/>
      <c r="R452" s="87"/>
    </row>
    <row r="453" spans="1:18" ht="12.75">
      <c r="A453" s="36" t="s">
        <v>51</v>
      </c>
      <c r="B453" s="95"/>
      <c r="C453" s="160">
        <v>3304.9</v>
      </c>
      <c r="D453" s="116"/>
      <c r="E453" s="214"/>
      <c r="F453" s="224">
        <f>C453+D453+E453</f>
        <v>3304.9</v>
      </c>
      <c r="G453" s="241"/>
      <c r="H453" s="242"/>
      <c r="I453" s="276">
        <f>F453+G453+H453</f>
        <v>3304.9</v>
      </c>
      <c r="J453" s="309"/>
      <c r="K453" s="10"/>
      <c r="L453" s="276">
        <f>I453+J453+K453</f>
        <v>3304.9</v>
      </c>
      <c r="M453" s="21"/>
      <c r="N453" s="7"/>
      <c r="O453" s="22">
        <f>L453+M453+N453</f>
        <v>3304.9</v>
      </c>
      <c r="P453" s="75"/>
      <c r="Q453" s="73">
        <f>O453+P453</f>
        <v>3304.9</v>
      </c>
      <c r="R453" s="87"/>
    </row>
    <row r="454" spans="1:18" ht="12.75" hidden="1">
      <c r="A454" s="39" t="s">
        <v>54</v>
      </c>
      <c r="B454" s="96"/>
      <c r="C454" s="156">
        <f aca="true" t="shared" si="127" ref="C454:Q454">SUM(C456:C456)</f>
        <v>0</v>
      </c>
      <c r="D454" s="115">
        <f t="shared" si="127"/>
        <v>0</v>
      </c>
      <c r="E454" s="173">
        <f t="shared" si="127"/>
        <v>0</v>
      </c>
      <c r="F454" s="192">
        <f t="shared" si="127"/>
        <v>0</v>
      </c>
      <c r="G454" s="237">
        <f t="shared" si="127"/>
        <v>0</v>
      </c>
      <c r="H454" s="238">
        <f t="shared" si="127"/>
        <v>0</v>
      </c>
      <c r="I454" s="274">
        <f t="shared" si="127"/>
        <v>0</v>
      </c>
      <c r="J454" s="311">
        <f t="shared" si="127"/>
        <v>0</v>
      </c>
      <c r="K454" s="115">
        <f t="shared" si="127"/>
        <v>0</v>
      </c>
      <c r="L454" s="274">
        <f t="shared" si="127"/>
        <v>0</v>
      </c>
      <c r="M454" s="114">
        <f t="shared" si="127"/>
        <v>0</v>
      </c>
      <c r="N454" s="114">
        <f t="shared" si="127"/>
        <v>0</v>
      </c>
      <c r="O454" s="114">
        <f t="shared" si="127"/>
        <v>0</v>
      </c>
      <c r="P454" s="114">
        <f t="shared" si="127"/>
        <v>0</v>
      </c>
      <c r="Q454" s="192">
        <f t="shared" si="127"/>
        <v>0</v>
      </c>
      <c r="R454" s="87"/>
    </row>
    <row r="455" spans="1:18" ht="12.75" hidden="1">
      <c r="A455" s="35" t="s">
        <v>26</v>
      </c>
      <c r="B455" s="92"/>
      <c r="C455" s="135"/>
      <c r="D455" s="108"/>
      <c r="E455" s="136"/>
      <c r="F455" s="188"/>
      <c r="G455" s="229"/>
      <c r="H455" s="230"/>
      <c r="I455" s="271"/>
      <c r="J455" s="305"/>
      <c r="K455" s="7"/>
      <c r="L455" s="271"/>
      <c r="M455" s="21"/>
      <c r="N455" s="7"/>
      <c r="O455" s="22"/>
      <c r="P455" s="75"/>
      <c r="Q455" s="73"/>
      <c r="R455" s="87"/>
    </row>
    <row r="456" spans="1:18" ht="12.75" hidden="1">
      <c r="A456" s="36" t="s">
        <v>55</v>
      </c>
      <c r="B456" s="95"/>
      <c r="C456" s="157"/>
      <c r="D456" s="116"/>
      <c r="E456" s="214"/>
      <c r="F456" s="224">
        <f>C456+D456+E456</f>
        <v>0</v>
      </c>
      <c r="G456" s="241"/>
      <c r="H456" s="242"/>
      <c r="I456" s="276">
        <f>F456+G456+H456</f>
        <v>0</v>
      </c>
      <c r="J456" s="310"/>
      <c r="K456" s="10"/>
      <c r="L456" s="276">
        <f>I456+J456+K456</f>
        <v>0</v>
      </c>
      <c r="M456" s="25"/>
      <c r="N456" s="10"/>
      <c r="O456" s="26">
        <f>L456+M456+N456</f>
        <v>0</v>
      </c>
      <c r="P456" s="78"/>
      <c r="Q456" s="79">
        <f>O456+P456</f>
        <v>0</v>
      </c>
      <c r="R456" s="87"/>
    </row>
    <row r="457" spans="1:18" ht="12.75">
      <c r="A457" s="30" t="s">
        <v>96</v>
      </c>
      <c r="B457" s="96"/>
      <c r="C457" s="142">
        <f aca="true" t="shared" si="128" ref="C457:Q457">C458</f>
        <v>39795.34</v>
      </c>
      <c r="D457" s="107">
        <f t="shared" si="128"/>
        <v>45884.28</v>
      </c>
      <c r="E457" s="143">
        <f t="shared" si="128"/>
        <v>0</v>
      </c>
      <c r="F457" s="187">
        <f t="shared" si="128"/>
        <v>85679.62000000001</v>
      </c>
      <c r="G457" s="227">
        <f t="shared" si="128"/>
        <v>12516.16</v>
      </c>
      <c r="H457" s="228">
        <f t="shared" si="128"/>
        <v>20518.21</v>
      </c>
      <c r="I457" s="270">
        <f t="shared" si="128"/>
        <v>118713.99</v>
      </c>
      <c r="J457" s="288">
        <f t="shared" si="128"/>
        <v>56110.18</v>
      </c>
      <c r="K457" s="228">
        <f t="shared" si="128"/>
        <v>0</v>
      </c>
      <c r="L457" s="270">
        <f t="shared" si="128"/>
        <v>174824.16999999998</v>
      </c>
      <c r="M457" s="106">
        <f t="shared" si="128"/>
        <v>0</v>
      </c>
      <c r="N457" s="106">
        <f t="shared" si="128"/>
        <v>0</v>
      </c>
      <c r="O457" s="106">
        <f t="shared" si="128"/>
        <v>174824.16999999998</v>
      </c>
      <c r="P457" s="106">
        <f t="shared" si="128"/>
        <v>0</v>
      </c>
      <c r="Q457" s="187">
        <f t="shared" si="128"/>
        <v>174824.16999999998</v>
      </c>
      <c r="R457" s="87"/>
    </row>
    <row r="458" spans="1:18" ht="12.75">
      <c r="A458" s="39" t="s">
        <v>49</v>
      </c>
      <c r="B458" s="96"/>
      <c r="C458" s="156">
        <f>SUM(C460:C463)</f>
        <v>39795.34</v>
      </c>
      <c r="D458" s="115">
        <f aca="true" t="shared" si="129" ref="D458:Q458">SUM(D460:D463)</f>
        <v>45884.28</v>
      </c>
      <c r="E458" s="173">
        <f t="shared" si="129"/>
        <v>0</v>
      </c>
      <c r="F458" s="192">
        <f t="shared" si="129"/>
        <v>85679.62000000001</v>
      </c>
      <c r="G458" s="237">
        <f t="shared" si="129"/>
        <v>12516.16</v>
      </c>
      <c r="H458" s="238">
        <f t="shared" si="129"/>
        <v>20518.21</v>
      </c>
      <c r="I458" s="274">
        <f t="shared" si="129"/>
        <v>118713.99</v>
      </c>
      <c r="J458" s="278">
        <f>SUM(J460:J463)</f>
        <v>56110.18</v>
      </c>
      <c r="K458" s="238">
        <f>SUM(K460:K463)</f>
        <v>0</v>
      </c>
      <c r="L458" s="274">
        <f>SUM(L460:L463)</f>
        <v>174824.16999999998</v>
      </c>
      <c r="M458" s="114">
        <f t="shared" si="129"/>
        <v>0</v>
      </c>
      <c r="N458" s="114">
        <f t="shared" si="129"/>
        <v>0</v>
      </c>
      <c r="O458" s="114">
        <f t="shared" si="129"/>
        <v>174824.16999999998</v>
      </c>
      <c r="P458" s="114">
        <f t="shared" si="129"/>
        <v>0</v>
      </c>
      <c r="Q458" s="192">
        <f t="shared" si="129"/>
        <v>174824.16999999998</v>
      </c>
      <c r="R458" s="87"/>
    </row>
    <row r="459" spans="1:18" ht="12.75">
      <c r="A459" s="35" t="s">
        <v>26</v>
      </c>
      <c r="B459" s="92"/>
      <c r="C459" s="142"/>
      <c r="D459" s="107"/>
      <c r="E459" s="143"/>
      <c r="F459" s="187"/>
      <c r="G459" s="227"/>
      <c r="H459" s="228"/>
      <c r="I459" s="270"/>
      <c r="J459" s="304"/>
      <c r="K459" s="6"/>
      <c r="L459" s="270"/>
      <c r="M459" s="19"/>
      <c r="N459" s="6"/>
      <c r="O459" s="20"/>
      <c r="P459" s="75"/>
      <c r="Q459" s="73"/>
      <c r="R459" s="87"/>
    </row>
    <row r="460" spans="1:18" ht="12.75">
      <c r="A460" s="93" t="s">
        <v>190</v>
      </c>
      <c r="B460" s="92"/>
      <c r="C460" s="135">
        <v>4295.34</v>
      </c>
      <c r="D460" s="108">
        <f>712.32</f>
        <v>712.32</v>
      </c>
      <c r="E460" s="136"/>
      <c r="F460" s="188">
        <f>C460+D460+E460</f>
        <v>5007.66</v>
      </c>
      <c r="G460" s="229">
        <f>14179.66+195+61.35</f>
        <v>14436.01</v>
      </c>
      <c r="H460" s="230">
        <f>1947.07+18571.14</f>
        <v>20518.21</v>
      </c>
      <c r="I460" s="271">
        <f>F460+G460+H460</f>
        <v>39961.88</v>
      </c>
      <c r="J460" s="307">
        <f>55420.18+490+200</f>
        <v>56110.18</v>
      </c>
      <c r="K460" s="7"/>
      <c r="L460" s="271">
        <f>I460+J460+K460</f>
        <v>96072.06</v>
      </c>
      <c r="M460" s="21"/>
      <c r="N460" s="7"/>
      <c r="O460" s="22">
        <f>L460+M460+N460</f>
        <v>96072.06</v>
      </c>
      <c r="P460" s="75"/>
      <c r="Q460" s="73">
        <f>O460+P460</f>
        <v>96072.06</v>
      </c>
      <c r="R460" s="87"/>
    </row>
    <row r="461" spans="1:18" ht="12.75">
      <c r="A461" s="93" t="s">
        <v>97</v>
      </c>
      <c r="B461" s="92"/>
      <c r="C461" s="135"/>
      <c r="D461" s="119">
        <f>34675.19</f>
        <v>34675.19</v>
      </c>
      <c r="E461" s="136"/>
      <c r="F461" s="188">
        <f>C461+D461+E461</f>
        <v>34675.19</v>
      </c>
      <c r="G461" s="229">
        <f>-1919.85</f>
        <v>-1919.85</v>
      </c>
      <c r="H461" s="230"/>
      <c r="I461" s="271">
        <f>F461+G461+H461</f>
        <v>32755.340000000004</v>
      </c>
      <c r="J461" s="305"/>
      <c r="K461" s="7"/>
      <c r="L461" s="271">
        <f>I461+J461+K461</f>
        <v>32755.340000000004</v>
      </c>
      <c r="M461" s="21"/>
      <c r="N461" s="7"/>
      <c r="O461" s="22">
        <f>L461+M461+N461</f>
        <v>32755.340000000004</v>
      </c>
      <c r="P461" s="75"/>
      <c r="Q461" s="73">
        <f>O461+P461</f>
        <v>32755.340000000004</v>
      </c>
      <c r="R461" s="87"/>
    </row>
    <row r="462" spans="1:18" ht="12.75">
      <c r="A462" s="93" t="s">
        <v>98</v>
      </c>
      <c r="B462" s="92"/>
      <c r="C462" s="135"/>
      <c r="D462" s="108">
        <f>10496.77</f>
        <v>10496.77</v>
      </c>
      <c r="E462" s="136"/>
      <c r="F462" s="188">
        <f>C462+D462+E462</f>
        <v>10496.77</v>
      </c>
      <c r="G462" s="229"/>
      <c r="H462" s="230"/>
      <c r="I462" s="271">
        <f>F462+G462+H462</f>
        <v>10496.77</v>
      </c>
      <c r="J462" s="305"/>
      <c r="K462" s="7"/>
      <c r="L462" s="271">
        <f>I462+J462+K462</f>
        <v>10496.77</v>
      </c>
      <c r="M462" s="21"/>
      <c r="N462" s="7"/>
      <c r="O462" s="22">
        <f>L462+M462+N462</f>
        <v>10496.77</v>
      </c>
      <c r="P462" s="75"/>
      <c r="Q462" s="73">
        <f>O462+P462</f>
        <v>10496.77</v>
      </c>
      <c r="R462" s="87"/>
    </row>
    <row r="463" spans="1:18" ht="12.75">
      <c r="A463" s="36" t="s">
        <v>51</v>
      </c>
      <c r="B463" s="95"/>
      <c r="C463" s="157">
        <v>35500</v>
      </c>
      <c r="D463" s="116"/>
      <c r="E463" s="214"/>
      <c r="F463" s="224">
        <f>C463+D463+E463</f>
        <v>35500</v>
      </c>
      <c r="G463" s="241"/>
      <c r="H463" s="242"/>
      <c r="I463" s="276">
        <f>F463+G463+H463</f>
        <v>35500</v>
      </c>
      <c r="J463" s="310"/>
      <c r="K463" s="10"/>
      <c r="L463" s="276">
        <f>I463+J463+K463</f>
        <v>35500</v>
      </c>
      <c r="M463" s="25"/>
      <c r="N463" s="10"/>
      <c r="O463" s="26">
        <f>L463+M463+N463</f>
        <v>35500</v>
      </c>
      <c r="P463" s="78"/>
      <c r="Q463" s="79">
        <f>O463+P463</f>
        <v>35500</v>
      </c>
      <c r="R463" s="87"/>
    </row>
    <row r="464" spans="1:18" ht="12.75">
      <c r="A464" s="30" t="s">
        <v>166</v>
      </c>
      <c r="B464" s="96"/>
      <c r="C464" s="142">
        <f aca="true" t="shared" si="130" ref="C464:Q464">C465+C479</f>
        <v>85202</v>
      </c>
      <c r="D464" s="107">
        <f t="shared" si="130"/>
        <v>66390.33</v>
      </c>
      <c r="E464" s="143">
        <f t="shared" si="130"/>
        <v>2012</v>
      </c>
      <c r="F464" s="187">
        <f t="shared" si="130"/>
        <v>153604.33000000002</v>
      </c>
      <c r="G464" s="227">
        <f t="shared" si="130"/>
        <v>16442.07</v>
      </c>
      <c r="H464" s="228">
        <f t="shared" si="130"/>
        <v>25545.53</v>
      </c>
      <c r="I464" s="270">
        <f t="shared" si="130"/>
        <v>195591.93000000002</v>
      </c>
      <c r="J464" s="288">
        <f>J465+J479</f>
        <v>7853.919999999998</v>
      </c>
      <c r="K464" s="228">
        <f>K465+K479</f>
        <v>0</v>
      </c>
      <c r="L464" s="270">
        <f>L465+L479</f>
        <v>203445.85</v>
      </c>
      <c r="M464" s="106">
        <f t="shared" si="130"/>
        <v>0</v>
      </c>
      <c r="N464" s="106">
        <f t="shared" si="130"/>
        <v>0</v>
      </c>
      <c r="O464" s="106">
        <f t="shared" si="130"/>
        <v>0</v>
      </c>
      <c r="P464" s="106">
        <f t="shared" si="130"/>
        <v>0</v>
      </c>
      <c r="Q464" s="187">
        <f t="shared" si="130"/>
        <v>0</v>
      </c>
      <c r="R464" s="87"/>
    </row>
    <row r="465" spans="1:18" ht="12.75">
      <c r="A465" s="39" t="s">
        <v>49</v>
      </c>
      <c r="B465" s="96"/>
      <c r="C465" s="156">
        <f>SUM(C467:C478)</f>
        <v>85202</v>
      </c>
      <c r="D465" s="115">
        <f>SUM(D467:D478)</f>
        <v>7190.330000000001</v>
      </c>
      <c r="E465" s="173">
        <f>SUM(E466:E478)</f>
        <v>660.5</v>
      </c>
      <c r="F465" s="192">
        <f>SUM(F467:F478)</f>
        <v>93052.83</v>
      </c>
      <c r="G465" s="237">
        <f aca="true" t="shared" si="131" ref="G465:Q465">SUM(G466:G478)</f>
        <v>-10539.900000000001</v>
      </c>
      <c r="H465" s="238">
        <f t="shared" si="131"/>
        <v>8499.53</v>
      </c>
      <c r="I465" s="274">
        <f t="shared" si="131"/>
        <v>91012.46000000002</v>
      </c>
      <c r="J465" s="278">
        <f>SUM(J466:J478)</f>
        <v>-1483.1100000000001</v>
      </c>
      <c r="K465" s="238">
        <f>SUM(K466:K478)</f>
        <v>0</v>
      </c>
      <c r="L465" s="274">
        <f>SUM(L466:L478)</f>
        <v>89529.35</v>
      </c>
      <c r="M465" s="114">
        <f t="shared" si="131"/>
        <v>0</v>
      </c>
      <c r="N465" s="114">
        <f t="shared" si="131"/>
        <v>0</v>
      </c>
      <c r="O465" s="114">
        <f t="shared" si="131"/>
        <v>0</v>
      </c>
      <c r="P465" s="114">
        <f t="shared" si="131"/>
        <v>0</v>
      </c>
      <c r="Q465" s="192">
        <f t="shared" si="131"/>
        <v>0</v>
      </c>
      <c r="R465" s="87"/>
    </row>
    <row r="466" spans="1:18" ht="12.75">
      <c r="A466" s="35" t="s">
        <v>26</v>
      </c>
      <c r="B466" s="92"/>
      <c r="C466" s="135"/>
      <c r="D466" s="108"/>
      <c r="E466" s="136"/>
      <c r="F466" s="188"/>
      <c r="G466" s="229"/>
      <c r="H466" s="230"/>
      <c r="I466" s="271"/>
      <c r="J466" s="305"/>
      <c r="K466" s="7"/>
      <c r="L466" s="271"/>
      <c r="M466" s="21"/>
      <c r="N466" s="7"/>
      <c r="O466" s="22"/>
      <c r="P466" s="75"/>
      <c r="Q466" s="73"/>
      <c r="R466" s="87"/>
    </row>
    <row r="467" spans="1:18" ht="12.75">
      <c r="A467" s="33" t="s">
        <v>246</v>
      </c>
      <c r="B467" s="92">
        <v>1202</v>
      </c>
      <c r="C467" s="135"/>
      <c r="D467" s="108">
        <f>2950+350+3960.36</f>
        <v>7260.360000000001</v>
      </c>
      <c r="E467" s="136">
        <f>-1106.5</f>
        <v>-1106.5</v>
      </c>
      <c r="F467" s="188">
        <f aca="true" t="shared" si="132" ref="F467:F478">C467+D467+E467</f>
        <v>6153.860000000001</v>
      </c>
      <c r="G467" s="229">
        <f>-2500</f>
        <v>-2500</v>
      </c>
      <c r="H467" s="230"/>
      <c r="I467" s="271">
        <f>F467+G467+H467</f>
        <v>3653.8600000000006</v>
      </c>
      <c r="J467" s="305"/>
      <c r="K467" s="7"/>
      <c r="L467" s="271">
        <f>I467+J467+K467</f>
        <v>3653.8600000000006</v>
      </c>
      <c r="M467" s="21"/>
      <c r="N467" s="7"/>
      <c r="O467" s="22"/>
      <c r="P467" s="75"/>
      <c r="Q467" s="73"/>
      <c r="R467" s="87"/>
    </row>
    <row r="468" spans="1:18" ht="12.75">
      <c r="A468" s="33" t="s">
        <v>183</v>
      </c>
      <c r="B468" s="92">
        <v>1207</v>
      </c>
      <c r="C468" s="135"/>
      <c r="D468" s="108">
        <f>11550+1687.53</f>
        <v>13237.53</v>
      </c>
      <c r="E468" s="136"/>
      <c r="F468" s="188">
        <f t="shared" si="132"/>
        <v>13237.53</v>
      </c>
      <c r="G468" s="229">
        <f>4.7</f>
        <v>4.7</v>
      </c>
      <c r="H468" s="230"/>
      <c r="I468" s="271">
        <f aca="true" t="shared" si="133" ref="I468:I478">F468+G468+H468</f>
        <v>13242.230000000001</v>
      </c>
      <c r="J468" s="305"/>
      <c r="K468" s="7"/>
      <c r="L468" s="271">
        <f aca="true" t="shared" si="134" ref="L468:L478">I468+J468+K468</f>
        <v>13242.230000000001</v>
      </c>
      <c r="M468" s="21"/>
      <c r="N468" s="7"/>
      <c r="O468" s="22"/>
      <c r="P468" s="75"/>
      <c r="Q468" s="73"/>
      <c r="R468" s="87"/>
    </row>
    <row r="469" spans="1:18" ht="12.75">
      <c r="A469" s="37" t="s">
        <v>265</v>
      </c>
      <c r="B469" s="92">
        <v>1209</v>
      </c>
      <c r="C469" s="135"/>
      <c r="D469" s="108">
        <f>1730+597.22</f>
        <v>2327.2200000000003</v>
      </c>
      <c r="E469" s="136"/>
      <c r="F469" s="188">
        <f t="shared" si="132"/>
        <v>2327.2200000000003</v>
      </c>
      <c r="G469" s="229"/>
      <c r="H469" s="230"/>
      <c r="I469" s="271">
        <f t="shared" si="133"/>
        <v>2327.2200000000003</v>
      </c>
      <c r="J469" s="305"/>
      <c r="K469" s="7"/>
      <c r="L469" s="271">
        <f t="shared" si="134"/>
        <v>2327.2200000000003</v>
      </c>
      <c r="M469" s="21"/>
      <c r="N469" s="7"/>
      <c r="O469" s="22"/>
      <c r="P469" s="75"/>
      <c r="Q469" s="73"/>
      <c r="R469" s="87"/>
    </row>
    <row r="470" spans="1:18" ht="12.75">
      <c r="A470" s="33" t="s">
        <v>184</v>
      </c>
      <c r="B470" s="92">
        <v>1211</v>
      </c>
      <c r="C470" s="135"/>
      <c r="D470" s="119">
        <f>2322+769.24</f>
        <v>3091.24</v>
      </c>
      <c r="E470" s="150"/>
      <c r="F470" s="188">
        <f t="shared" si="132"/>
        <v>3091.24</v>
      </c>
      <c r="G470" s="229"/>
      <c r="H470" s="230"/>
      <c r="I470" s="271">
        <f t="shared" si="133"/>
        <v>3091.24</v>
      </c>
      <c r="J470" s="305">
        <f>208.95</f>
        <v>208.95</v>
      </c>
      <c r="K470" s="7"/>
      <c r="L470" s="271">
        <f t="shared" si="134"/>
        <v>3300.1899999999996</v>
      </c>
      <c r="M470" s="21"/>
      <c r="N470" s="7"/>
      <c r="O470" s="22"/>
      <c r="P470" s="75"/>
      <c r="Q470" s="73"/>
      <c r="R470" s="87"/>
    </row>
    <row r="471" spans="1:18" ht="12.75">
      <c r="A471" s="33" t="s">
        <v>233</v>
      </c>
      <c r="B471" s="92">
        <v>1214</v>
      </c>
      <c r="C471" s="135"/>
      <c r="D471" s="119">
        <f>1400+83.7</f>
        <v>1483.7</v>
      </c>
      <c r="E471" s="136"/>
      <c r="F471" s="188">
        <f t="shared" si="132"/>
        <v>1483.7</v>
      </c>
      <c r="G471" s="229">
        <f>307</f>
        <v>307</v>
      </c>
      <c r="H471" s="230"/>
      <c r="I471" s="271">
        <f t="shared" si="133"/>
        <v>1790.7</v>
      </c>
      <c r="J471" s="305">
        <f>34</f>
        <v>34</v>
      </c>
      <c r="K471" s="7"/>
      <c r="L471" s="271">
        <f t="shared" si="134"/>
        <v>1824.7</v>
      </c>
      <c r="M471" s="21"/>
      <c r="N471" s="7"/>
      <c r="O471" s="22"/>
      <c r="P471" s="75"/>
      <c r="Q471" s="73"/>
      <c r="R471" s="87"/>
    </row>
    <row r="472" spans="1:18" ht="12.75">
      <c r="A472" s="33" t="s">
        <v>234</v>
      </c>
      <c r="B472" s="92">
        <v>1213</v>
      </c>
      <c r="C472" s="135"/>
      <c r="D472" s="119">
        <f>750+245.74</f>
        <v>995.74</v>
      </c>
      <c r="E472" s="136"/>
      <c r="F472" s="188">
        <f t="shared" si="132"/>
        <v>995.74</v>
      </c>
      <c r="G472" s="229"/>
      <c r="H472" s="230"/>
      <c r="I472" s="271">
        <f t="shared" si="133"/>
        <v>995.74</v>
      </c>
      <c r="J472" s="305"/>
      <c r="K472" s="7"/>
      <c r="L472" s="271">
        <f t="shared" si="134"/>
        <v>995.74</v>
      </c>
      <c r="M472" s="21"/>
      <c r="N472" s="7"/>
      <c r="O472" s="22"/>
      <c r="P472" s="75"/>
      <c r="Q472" s="73"/>
      <c r="R472" s="87"/>
    </row>
    <row r="473" spans="1:18" ht="12.75">
      <c r="A473" s="33" t="s">
        <v>264</v>
      </c>
      <c r="B473" s="92">
        <v>1216</v>
      </c>
      <c r="C473" s="135"/>
      <c r="D473" s="108">
        <f>19300+2067.57</f>
        <v>21367.57</v>
      </c>
      <c r="E473" s="136">
        <f>-395</f>
        <v>-395</v>
      </c>
      <c r="F473" s="188">
        <f t="shared" si="132"/>
        <v>20972.57</v>
      </c>
      <c r="G473" s="229"/>
      <c r="H473" s="230"/>
      <c r="I473" s="271">
        <f t="shared" si="133"/>
        <v>20972.57</v>
      </c>
      <c r="J473" s="305">
        <f>0.95</f>
        <v>0.95</v>
      </c>
      <c r="K473" s="7"/>
      <c r="L473" s="271">
        <f t="shared" si="134"/>
        <v>20973.52</v>
      </c>
      <c r="M473" s="21"/>
      <c r="N473" s="7"/>
      <c r="O473" s="22"/>
      <c r="P473" s="75"/>
      <c r="Q473" s="73"/>
      <c r="R473" s="87"/>
    </row>
    <row r="474" spans="1:18" ht="12.75">
      <c r="A474" s="33" t="s">
        <v>185</v>
      </c>
      <c r="B474" s="92">
        <v>1239</v>
      </c>
      <c r="C474" s="135"/>
      <c r="D474" s="108">
        <f>6600+1000+6344.2</f>
        <v>13944.2</v>
      </c>
      <c r="E474" s="136"/>
      <c r="F474" s="188">
        <f t="shared" si="132"/>
        <v>13944.2</v>
      </c>
      <c r="G474" s="229">
        <f>3000-710+2</f>
        <v>2292</v>
      </c>
      <c r="H474" s="230">
        <f>-2106</f>
        <v>-2106</v>
      </c>
      <c r="I474" s="271">
        <f t="shared" si="133"/>
        <v>14130.2</v>
      </c>
      <c r="J474" s="305">
        <f>-4752+18.99+3000</f>
        <v>-1733.0100000000002</v>
      </c>
      <c r="K474" s="7"/>
      <c r="L474" s="271">
        <f t="shared" si="134"/>
        <v>12397.19</v>
      </c>
      <c r="M474" s="21"/>
      <c r="N474" s="7"/>
      <c r="O474" s="22"/>
      <c r="P474" s="75"/>
      <c r="Q474" s="73"/>
      <c r="R474" s="87"/>
    </row>
    <row r="475" spans="1:18" ht="12.75">
      <c r="A475" s="33" t="s">
        <v>206</v>
      </c>
      <c r="B475" s="92">
        <v>1300</v>
      </c>
      <c r="C475" s="135"/>
      <c r="D475" s="108">
        <f>6950-350+4752.63+700</f>
        <v>12052.630000000001</v>
      </c>
      <c r="E475" s="136">
        <f>1912+250</f>
        <v>2162</v>
      </c>
      <c r="F475" s="188">
        <f t="shared" si="132"/>
        <v>14214.630000000001</v>
      </c>
      <c r="G475" s="229"/>
      <c r="H475" s="230">
        <f>10385+800+200</f>
        <v>11385</v>
      </c>
      <c r="I475" s="271">
        <f t="shared" si="133"/>
        <v>25599.63</v>
      </c>
      <c r="J475" s="305"/>
      <c r="K475" s="7"/>
      <c r="L475" s="271">
        <f t="shared" si="134"/>
        <v>25599.63</v>
      </c>
      <c r="M475" s="21"/>
      <c r="N475" s="7"/>
      <c r="O475" s="22"/>
      <c r="P475" s="75"/>
      <c r="Q475" s="73"/>
      <c r="R475" s="87"/>
    </row>
    <row r="476" spans="1:18" ht="12.75">
      <c r="A476" s="33" t="s">
        <v>186</v>
      </c>
      <c r="B476" s="92">
        <v>1110</v>
      </c>
      <c r="C476" s="135"/>
      <c r="D476" s="108">
        <f>12000+2245.17</f>
        <v>14245.17</v>
      </c>
      <c r="E476" s="136"/>
      <c r="F476" s="188">
        <f t="shared" si="132"/>
        <v>14245.17</v>
      </c>
      <c r="G476" s="229">
        <f>-9143.6</f>
        <v>-9143.6</v>
      </c>
      <c r="H476" s="230"/>
      <c r="I476" s="271">
        <f t="shared" si="133"/>
        <v>5101.57</v>
      </c>
      <c r="J476" s="305">
        <f>6</f>
        <v>6</v>
      </c>
      <c r="K476" s="7"/>
      <c r="L476" s="271">
        <f t="shared" si="134"/>
        <v>5107.57</v>
      </c>
      <c r="M476" s="21"/>
      <c r="N476" s="7"/>
      <c r="O476" s="22"/>
      <c r="P476" s="75"/>
      <c r="Q476" s="73"/>
      <c r="R476" s="87"/>
    </row>
    <row r="477" spans="1:18" ht="12.75">
      <c r="A477" s="33" t="s">
        <v>103</v>
      </c>
      <c r="B477" s="92">
        <v>2148</v>
      </c>
      <c r="C477" s="135">
        <v>85200</v>
      </c>
      <c r="D477" s="108">
        <f>-84402</f>
        <v>-84402</v>
      </c>
      <c r="E477" s="136"/>
      <c r="F477" s="188">
        <f t="shared" si="132"/>
        <v>798</v>
      </c>
      <c r="G477" s="229"/>
      <c r="H477" s="230">
        <f>-798</f>
        <v>-798</v>
      </c>
      <c r="I477" s="271">
        <f t="shared" si="133"/>
        <v>0</v>
      </c>
      <c r="J477" s="305"/>
      <c r="K477" s="7"/>
      <c r="L477" s="271">
        <f t="shared" si="134"/>
        <v>0</v>
      </c>
      <c r="M477" s="21"/>
      <c r="N477" s="7"/>
      <c r="O477" s="22"/>
      <c r="P477" s="75"/>
      <c r="Q477" s="73"/>
      <c r="R477" s="87"/>
    </row>
    <row r="478" spans="1:18" ht="12.75">
      <c r="A478" s="33" t="s">
        <v>316</v>
      </c>
      <c r="B478" s="92"/>
      <c r="C478" s="135">
        <v>2</v>
      </c>
      <c r="D478" s="108">
        <f>1586.97</f>
        <v>1586.97</v>
      </c>
      <c r="E478" s="136"/>
      <c r="F478" s="188">
        <f t="shared" si="132"/>
        <v>1588.97</v>
      </c>
      <c r="G478" s="229">
        <f>-1500</f>
        <v>-1500</v>
      </c>
      <c r="H478" s="230">
        <f>-2+20.53</f>
        <v>18.53</v>
      </c>
      <c r="I478" s="271">
        <f t="shared" si="133"/>
        <v>107.50000000000003</v>
      </c>
      <c r="J478" s="305"/>
      <c r="K478" s="7"/>
      <c r="L478" s="271">
        <f t="shared" si="134"/>
        <v>107.50000000000003</v>
      </c>
      <c r="M478" s="21"/>
      <c r="N478" s="7"/>
      <c r="O478" s="22"/>
      <c r="P478" s="75"/>
      <c r="Q478" s="73"/>
      <c r="R478" s="87"/>
    </row>
    <row r="479" spans="1:18" ht="12.75">
      <c r="A479" s="39" t="s">
        <v>54</v>
      </c>
      <c r="B479" s="96"/>
      <c r="C479" s="156">
        <f>SUM(C481:C488)</f>
        <v>0</v>
      </c>
      <c r="D479" s="115">
        <f aca="true" t="shared" si="135" ref="D479:Q479">SUM(D481:D488)</f>
        <v>59200</v>
      </c>
      <c r="E479" s="173">
        <f t="shared" si="135"/>
        <v>1351.5</v>
      </c>
      <c r="F479" s="192">
        <f t="shared" si="135"/>
        <v>60551.5</v>
      </c>
      <c r="G479" s="237">
        <f t="shared" si="135"/>
        <v>26981.97</v>
      </c>
      <c r="H479" s="238">
        <f t="shared" si="135"/>
        <v>17046</v>
      </c>
      <c r="I479" s="274">
        <f t="shared" si="135"/>
        <v>104579.47</v>
      </c>
      <c r="J479" s="278">
        <f t="shared" si="135"/>
        <v>9337.029999999999</v>
      </c>
      <c r="K479" s="238">
        <f t="shared" si="135"/>
        <v>0</v>
      </c>
      <c r="L479" s="274">
        <f t="shared" si="135"/>
        <v>113916.5</v>
      </c>
      <c r="M479" s="114">
        <f t="shared" si="135"/>
        <v>0</v>
      </c>
      <c r="N479" s="114">
        <f t="shared" si="135"/>
        <v>0</v>
      </c>
      <c r="O479" s="114">
        <f t="shared" si="135"/>
        <v>0</v>
      </c>
      <c r="P479" s="114">
        <f t="shared" si="135"/>
        <v>0</v>
      </c>
      <c r="Q479" s="192">
        <f t="shared" si="135"/>
        <v>0</v>
      </c>
      <c r="R479" s="87"/>
    </row>
    <row r="480" spans="1:18" ht="12.75">
      <c r="A480" s="35" t="s">
        <v>26</v>
      </c>
      <c r="B480" s="92"/>
      <c r="C480" s="135"/>
      <c r="D480" s="108"/>
      <c r="E480" s="136"/>
      <c r="F480" s="188"/>
      <c r="G480" s="229"/>
      <c r="H480" s="230"/>
      <c r="I480" s="271"/>
      <c r="J480" s="305"/>
      <c r="K480" s="7"/>
      <c r="L480" s="271"/>
      <c r="M480" s="21"/>
      <c r="N480" s="7"/>
      <c r="O480" s="22"/>
      <c r="P480" s="75"/>
      <c r="Q480" s="73"/>
      <c r="R480" s="87"/>
    </row>
    <row r="481" spans="1:18" ht="12.75">
      <c r="A481" s="37" t="s">
        <v>277</v>
      </c>
      <c r="B481" s="92">
        <v>1239</v>
      </c>
      <c r="C481" s="135"/>
      <c r="D481" s="108">
        <f>2400</f>
        <v>2400</v>
      </c>
      <c r="E481" s="136"/>
      <c r="F481" s="188">
        <f aca="true" t="shared" si="136" ref="F481:F488">C481+D481+E481</f>
        <v>2400</v>
      </c>
      <c r="G481" s="229"/>
      <c r="H481" s="230"/>
      <c r="I481" s="271">
        <f aca="true" t="shared" si="137" ref="I481:I488">F481+G481+H481</f>
        <v>2400</v>
      </c>
      <c r="J481" s="305"/>
      <c r="K481" s="7"/>
      <c r="L481" s="271">
        <f aca="true" t="shared" si="138" ref="L481:L488">I481+J481+K481</f>
        <v>2400</v>
      </c>
      <c r="M481" s="21"/>
      <c r="N481" s="7"/>
      <c r="O481" s="22"/>
      <c r="P481" s="75"/>
      <c r="Q481" s="73"/>
      <c r="R481" s="87"/>
    </row>
    <row r="482" spans="1:18" ht="12.75" hidden="1">
      <c r="A482" s="37" t="s">
        <v>298</v>
      </c>
      <c r="B482" s="92">
        <v>1214</v>
      </c>
      <c r="C482" s="135"/>
      <c r="D482" s="108"/>
      <c r="E482" s="136"/>
      <c r="F482" s="188">
        <f t="shared" si="136"/>
        <v>0</v>
      </c>
      <c r="G482" s="229"/>
      <c r="H482" s="230"/>
      <c r="I482" s="271">
        <f t="shared" si="137"/>
        <v>0</v>
      </c>
      <c r="J482" s="305"/>
      <c r="K482" s="7"/>
      <c r="L482" s="271">
        <f t="shared" si="138"/>
        <v>0</v>
      </c>
      <c r="M482" s="21"/>
      <c r="N482" s="7"/>
      <c r="O482" s="22"/>
      <c r="P482" s="75"/>
      <c r="Q482" s="73"/>
      <c r="R482" s="87"/>
    </row>
    <row r="483" spans="1:18" ht="12.75">
      <c r="A483" s="37" t="s">
        <v>278</v>
      </c>
      <c r="B483" s="92">
        <v>1209</v>
      </c>
      <c r="C483" s="135"/>
      <c r="D483" s="108">
        <f>600</f>
        <v>600</v>
      </c>
      <c r="E483" s="136"/>
      <c r="F483" s="188">
        <f t="shared" si="136"/>
        <v>600</v>
      </c>
      <c r="G483" s="229"/>
      <c r="H483" s="230"/>
      <c r="I483" s="271">
        <f t="shared" si="137"/>
        <v>600</v>
      </c>
      <c r="J483" s="305"/>
      <c r="K483" s="7"/>
      <c r="L483" s="271">
        <f t="shared" si="138"/>
        <v>600</v>
      </c>
      <c r="M483" s="21"/>
      <c r="N483" s="7"/>
      <c r="O483" s="22"/>
      <c r="P483" s="75"/>
      <c r="Q483" s="73"/>
      <c r="R483" s="87"/>
    </row>
    <row r="484" spans="1:18" ht="12.75">
      <c r="A484" s="33" t="s">
        <v>279</v>
      </c>
      <c r="B484" s="92">
        <v>1202</v>
      </c>
      <c r="C484" s="135"/>
      <c r="D484" s="108"/>
      <c r="E484" s="136">
        <f>1106.5</f>
        <v>1106.5</v>
      </c>
      <c r="F484" s="188">
        <f t="shared" si="136"/>
        <v>1106.5</v>
      </c>
      <c r="G484" s="229"/>
      <c r="H484" s="230"/>
      <c r="I484" s="271">
        <f t="shared" si="137"/>
        <v>1106.5</v>
      </c>
      <c r="J484" s="305"/>
      <c r="K484" s="7"/>
      <c r="L484" s="271">
        <f t="shared" si="138"/>
        <v>1106.5</v>
      </c>
      <c r="M484" s="21"/>
      <c r="N484" s="7"/>
      <c r="O484" s="22"/>
      <c r="P484" s="75"/>
      <c r="Q484" s="73"/>
      <c r="R484" s="87"/>
    </row>
    <row r="485" spans="1:18" ht="12.75">
      <c r="A485" s="33" t="s">
        <v>300</v>
      </c>
      <c r="B485" s="92">
        <v>1216</v>
      </c>
      <c r="C485" s="135"/>
      <c r="D485" s="108"/>
      <c r="E485" s="136">
        <f>395</f>
        <v>395</v>
      </c>
      <c r="F485" s="188">
        <f t="shared" si="136"/>
        <v>395</v>
      </c>
      <c r="G485" s="229"/>
      <c r="H485" s="230"/>
      <c r="I485" s="271">
        <f t="shared" si="137"/>
        <v>395</v>
      </c>
      <c r="J485" s="305"/>
      <c r="K485" s="7"/>
      <c r="L485" s="271">
        <f t="shared" si="138"/>
        <v>395</v>
      </c>
      <c r="M485" s="21"/>
      <c r="N485" s="7"/>
      <c r="O485" s="22"/>
      <c r="P485" s="75"/>
      <c r="Q485" s="73"/>
      <c r="R485" s="87"/>
    </row>
    <row r="486" spans="1:18" ht="12.75">
      <c r="A486" s="33" t="s">
        <v>305</v>
      </c>
      <c r="B486" s="92">
        <v>1239</v>
      </c>
      <c r="C486" s="135"/>
      <c r="D486" s="108">
        <f>18850+1000+6000+8500</f>
        <v>34350</v>
      </c>
      <c r="E486" s="136"/>
      <c r="F486" s="188">
        <f t="shared" si="136"/>
        <v>34350</v>
      </c>
      <c r="G486" s="229">
        <f>98.04</f>
        <v>98.04</v>
      </c>
      <c r="H486" s="230"/>
      <c r="I486" s="271">
        <f t="shared" si="137"/>
        <v>34448.04</v>
      </c>
      <c r="J486" s="305">
        <f>4752+75.03</f>
        <v>4827.03</v>
      </c>
      <c r="K486" s="7"/>
      <c r="L486" s="271">
        <f t="shared" si="138"/>
        <v>39275.07</v>
      </c>
      <c r="M486" s="21"/>
      <c r="N486" s="7"/>
      <c r="O486" s="22"/>
      <c r="P486" s="75"/>
      <c r="Q486" s="73"/>
      <c r="R486" s="87"/>
    </row>
    <row r="487" spans="1:18" ht="12.75">
      <c r="A487" s="37" t="s">
        <v>280</v>
      </c>
      <c r="B487" s="92">
        <v>1300</v>
      </c>
      <c r="C487" s="135"/>
      <c r="D487" s="108">
        <f>350+500+10000</f>
        <v>10850</v>
      </c>
      <c r="E487" s="136">
        <f>100-250</f>
        <v>-150</v>
      </c>
      <c r="F487" s="188">
        <f t="shared" si="136"/>
        <v>10700</v>
      </c>
      <c r="G487" s="229">
        <f>12000+490+292.5</f>
        <v>12782.5</v>
      </c>
      <c r="H487" s="230">
        <f>12140+2106+1600+1200</f>
        <v>17046</v>
      </c>
      <c r="I487" s="271">
        <f t="shared" si="137"/>
        <v>40528.5</v>
      </c>
      <c r="J487" s="305">
        <f>-490+5000</f>
        <v>4510</v>
      </c>
      <c r="K487" s="7"/>
      <c r="L487" s="271">
        <f t="shared" si="138"/>
        <v>45038.5</v>
      </c>
      <c r="M487" s="21"/>
      <c r="N487" s="7"/>
      <c r="O487" s="22"/>
      <c r="P487" s="75"/>
      <c r="Q487" s="73"/>
      <c r="R487" s="87"/>
    </row>
    <row r="488" spans="1:18" ht="13.5" thickBot="1">
      <c r="A488" s="332" t="s">
        <v>299</v>
      </c>
      <c r="B488" s="133">
        <v>1110</v>
      </c>
      <c r="C488" s="333"/>
      <c r="D488" s="134">
        <f>11000</f>
        <v>11000</v>
      </c>
      <c r="E488" s="213"/>
      <c r="F488" s="223">
        <f t="shared" si="136"/>
        <v>11000</v>
      </c>
      <c r="G488" s="325">
        <f>232+13853.6+15.83</f>
        <v>14101.43</v>
      </c>
      <c r="H488" s="326"/>
      <c r="I488" s="327">
        <f t="shared" si="137"/>
        <v>25101.43</v>
      </c>
      <c r="J488" s="334"/>
      <c r="K488" s="329"/>
      <c r="L488" s="327">
        <f t="shared" si="138"/>
        <v>25101.43</v>
      </c>
      <c r="M488" s="21"/>
      <c r="N488" s="7"/>
      <c r="O488" s="22"/>
      <c r="P488" s="75"/>
      <c r="Q488" s="73"/>
      <c r="R488" s="87"/>
    </row>
    <row r="489" spans="1:18" ht="12.75">
      <c r="A489" s="30" t="s">
        <v>141</v>
      </c>
      <c r="B489" s="96"/>
      <c r="C489" s="142">
        <f aca="true" t="shared" si="139" ref="C489:Q489">C490</f>
        <v>1</v>
      </c>
      <c r="D489" s="107">
        <f t="shared" si="139"/>
        <v>2375.18</v>
      </c>
      <c r="E489" s="143">
        <f t="shared" si="139"/>
        <v>0</v>
      </c>
      <c r="F489" s="187">
        <f t="shared" si="139"/>
        <v>2376.18</v>
      </c>
      <c r="G489" s="227">
        <f t="shared" si="139"/>
        <v>0</v>
      </c>
      <c r="H489" s="228">
        <f t="shared" si="139"/>
        <v>0</v>
      </c>
      <c r="I489" s="270">
        <f t="shared" si="139"/>
        <v>2376.18</v>
      </c>
      <c r="J489" s="288">
        <f t="shared" si="139"/>
        <v>0</v>
      </c>
      <c r="K489" s="228">
        <f t="shared" si="139"/>
        <v>0</v>
      </c>
      <c r="L489" s="270">
        <f t="shared" si="139"/>
        <v>2376.18</v>
      </c>
      <c r="M489" s="106">
        <f t="shared" si="139"/>
        <v>0</v>
      </c>
      <c r="N489" s="106">
        <f t="shared" si="139"/>
        <v>0</v>
      </c>
      <c r="O489" s="106">
        <f t="shared" si="139"/>
        <v>2376.18</v>
      </c>
      <c r="P489" s="106">
        <f t="shared" si="139"/>
        <v>0</v>
      </c>
      <c r="Q489" s="187">
        <f t="shared" si="139"/>
        <v>2376.18</v>
      </c>
      <c r="R489" s="87"/>
    </row>
    <row r="490" spans="1:18" ht="12.75">
      <c r="A490" s="39" t="s">
        <v>49</v>
      </c>
      <c r="B490" s="96"/>
      <c r="C490" s="156">
        <f>C492</f>
        <v>1</v>
      </c>
      <c r="D490" s="115">
        <f aca="true" t="shared" si="140" ref="D490:Q490">D492</f>
        <v>2375.18</v>
      </c>
      <c r="E490" s="173">
        <f t="shared" si="140"/>
        <v>0</v>
      </c>
      <c r="F490" s="192">
        <f t="shared" si="140"/>
        <v>2376.18</v>
      </c>
      <c r="G490" s="237">
        <f t="shared" si="140"/>
        <v>0</v>
      </c>
      <c r="H490" s="238">
        <f t="shared" si="140"/>
        <v>0</v>
      </c>
      <c r="I490" s="274">
        <f t="shared" si="140"/>
        <v>2376.18</v>
      </c>
      <c r="J490" s="278">
        <f>J492</f>
        <v>0</v>
      </c>
      <c r="K490" s="238">
        <f>K492</f>
        <v>0</v>
      </c>
      <c r="L490" s="274">
        <f>L492</f>
        <v>2376.18</v>
      </c>
      <c r="M490" s="114">
        <f t="shared" si="140"/>
        <v>0</v>
      </c>
      <c r="N490" s="114">
        <f t="shared" si="140"/>
        <v>0</v>
      </c>
      <c r="O490" s="114">
        <f t="shared" si="140"/>
        <v>2376.18</v>
      </c>
      <c r="P490" s="114">
        <f t="shared" si="140"/>
        <v>0</v>
      </c>
      <c r="Q490" s="192">
        <f t="shared" si="140"/>
        <v>2376.18</v>
      </c>
      <c r="R490" s="87"/>
    </row>
    <row r="491" spans="1:18" ht="12.75">
      <c r="A491" s="35" t="s">
        <v>26</v>
      </c>
      <c r="B491" s="92"/>
      <c r="C491" s="135"/>
      <c r="D491" s="108"/>
      <c r="E491" s="136"/>
      <c r="F491" s="188"/>
      <c r="G491" s="229"/>
      <c r="H491" s="230"/>
      <c r="I491" s="271"/>
      <c r="J491" s="305"/>
      <c r="K491" s="7"/>
      <c r="L491" s="271"/>
      <c r="M491" s="21"/>
      <c r="N491" s="7"/>
      <c r="O491" s="22"/>
      <c r="P491" s="75"/>
      <c r="Q491" s="73"/>
      <c r="R491" s="87"/>
    </row>
    <row r="492" spans="1:18" ht="12.75">
      <c r="A492" s="207" t="s">
        <v>51</v>
      </c>
      <c r="B492" s="208"/>
      <c r="C492" s="209">
        <v>1</v>
      </c>
      <c r="D492" s="116">
        <f>2375.18</f>
        <v>2375.18</v>
      </c>
      <c r="E492" s="217"/>
      <c r="F492" s="224">
        <f>C492+D492+E492</f>
        <v>2376.18</v>
      </c>
      <c r="G492" s="241"/>
      <c r="H492" s="242"/>
      <c r="I492" s="276">
        <f>F492+G492+H492</f>
        <v>2376.18</v>
      </c>
      <c r="J492" s="310"/>
      <c r="K492" s="10"/>
      <c r="L492" s="276">
        <f>I492+J492+K492</f>
        <v>2376.18</v>
      </c>
      <c r="M492" s="25"/>
      <c r="N492" s="10"/>
      <c r="O492" s="26">
        <f>L492+M492+N492</f>
        <v>2376.18</v>
      </c>
      <c r="P492" s="78"/>
      <c r="Q492" s="79">
        <f>O492+P492</f>
        <v>2376.18</v>
      </c>
      <c r="R492" s="87"/>
    </row>
    <row r="493" spans="1:18" ht="12.75">
      <c r="A493" s="30" t="s">
        <v>99</v>
      </c>
      <c r="B493" s="96"/>
      <c r="C493" s="142">
        <f>C495+C496</f>
        <v>339541.5</v>
      </c>
      <c r="D493" s="107">
        <f aca="true" t="shared" si="141" ref="D493:Q493">D495+D496</f>
        <v>399611.69</v>
      </c>
      <c r="E493" s="143">
        <f t="shared" si="141"/>
        <v>0</v>
      </c>
      <c r="F493" s="187">
        <f t="shared" si="141"/>
        <v>739153.1900000001</v>
      </c>
      <c r="G493" s="227">
        <f t="shared" si="141"/>
        <v>-4781.290000000003</v>
      </c>
      <c r="H493" s="228">
        <f t="shared" si="141"/>
        <v>0</v>
      </c>
      <c r="I493" s="270">
        <f t="shared" si="141"/>
        <v>734371.8999999999</v>
      </c>
      <c r="J493" s="288">
        <f t="shared" si="141"/>
        <v>75432.4</v>
      </c>
      <c r="K493" s="228">
        <f t="shared" si="141"/>
        <v>0</v>
      </c>
      <c r="L493" s="270">
        <f t="shared" si="141"/>
        <v>809804.3</v>
      </c>
      <c r="M493" s="106" t="e">
        <f t="shared" si="141"/>
        <v>#REF!</v>
      </c>
      <c r="N493" s="106" t="e">
        <f t="shared" si="141"/>
        <v>#REF!</v>
      </c>
      <c r="O493" s="106" t="e">
        <f t="shared" si="141"/>
        <v>#REF!</v>
      </c>
      <c r="P493" s="106" t="e">
        <f t="shared" si="141"/>
        <v>#REF!</v>
      </c>
      <c r="Q493" s="187" t="e">
        <f t="shared" si="141"/>
        <v>#REF!</v>
      </c>
      <c r="R493" s="87"/>
    </row>
    <row r="494" spans="1:18" ht="12.75">
      <c r="A494" s="32" t="s">
        <v>26</v>
      </c>
      <c r="B494" s="92"/>
      <c r="C494" s="142"/>
      <c r="D494" s="107"/>
      <c r="E494" s="143"/>
      <c r="F494" s="187"/>
      <c r="G494" s="227"/>
      <c r="H494" s="228"/>
      <c r="I494" s="270"/>
      <c r="J494" s="304"/>
      <c r="K494" s="107"/>
      <c r="L494" s="270"/>
      <c r="M494" s="106"/>
      <c r="N494" s="106"/>
      <c r="O494" s="106"/>
      <c r="P494" s="106"/>
      <c r="Q494" s="187"/>
      <c r="R494" s="87"/>
    </row>
    <row r="495" spans="1:18" ht="12.75">
      <c r="A495" s="30" t="s">
        <v>49</v>
      </c>
      <c r="B495" s="96"/>
      <c r="C495" s="129">
        <f>C502+C504+C516+C518+C523+C535+C519+C509+C537+C511+C541+C525</f>
        <v>22321</v>
      </c>
      <c r="D495" s="129">
        <f aca="true" t="shared" si="142" ref="D495:L495">D502+D504+D516+D518+D523+D535+D519+D509+D537+D511+D541+D525</f>
        <v>57107.73</v>
      </c>
      <c r="E495" s="129">
        <f t="shared" si="142"/>
        <v>0</v>
      </c>
      <c r="F495" s="129">
        <f t="shared" si="142"/>
        <v>79428.73</v>
      </c>
      <c r="G495" s="129">
        <f t="shared" si="142"/>
        <v>10923.03</v>
      </c>
      <c r="H495" s="129">
        <f t="shared" si="142"/>
        <v>0</v>
      </c>
      <c r="I495" s="321">
        <f t="shared" si="142"/>
        <v>90351.76000000001</v>
      </c>
      <c r="J495" s="129">
        <f t="shared" si="142"/>
        <v>36705.44</v>
      </c>
      <c r="K495" s="129">
        <f t="shared" si="142"/>
        <v>0</v>
      </c>
      <c r="L495" s="321">
        <f t="shared" si="142"/>
        <v>127057.20000000001</v>
      </c>
      <c r="M495" s="110">
        <f>M502+M504+M516+M518+M523+M535+M519+M509+M537+M511+M541</f>
        <v>0</v>
      </c>
      <c r="N495" s="110">
        <f>N502+N504+N516+N518+N523+N535+N519+N509+N537+N511+N541</f>
        <v>0</v>
      </c>
      <c r="O495" s="110">
        <f>O502+O504+O516+O518+O523+O535+O519+O509+O537+O511+O541</f>
        <v>126826.20000000001</v>
      </c>
      <c r="P495" s="110">
        <f>P502+P504+P516+P518+P523+P535+P519+P509+P537+P511+P541</f>
        <v>0</v>
      </c>
      <c r="Q495" s="190">
        <f>Q502+Q504+Q516+Q518+Q523+Q535+Q519+Q509+Q537+Q511+Q541</f>
        <v>126826.20000000001</v>
      </c>
      <c r="R495" s="87"/>
    </row>
    <row r="496" spans="1:18" ht="12.75">
      <c r="A496" s="30" t="s">
        <v>54</v>
      </c>
      <c r="B496" s="96"/>
      <c r="C496" s="129">
        <f aca="true" t="shared" si="143" ref="C496:L496">+C499+C500+C501+C505+C506+C508+C510+C512+C514+C515+C517+C520+C522+C524+C526+C528+C529+C531+C532+C534+C536+C538+C540</f>
        <v>317220.5</v>
      </c>
      <c r="D496" s="129">
        <f t="shared" si="143"/>
        <v>342503.96</v>
      </c>
      <c r="E496" s="129">
        <f t="shared" si="143"/>
        <v>0</v>
      </c>
      <c r="F496" s="129">
        <f t="shared" si="143"/>
        <v>659724.4600000001</v>
      </c>
      <c r="G496" s="129">
        <f t="shared" si="143"/>
        <v>-15704.320000000003</v>
      </c>
      <c r="H496" s="129">
        <f t="shared" si="143"/>
        <v>0</v>
      </c>
      <c r="I496" s="321">
        <f>+I499+I500+I501+I505+I506+I508+I510+I512+I514+I515+I517+I520+I522+I524+I526+I528+I529+I531+I532+I534+I536+I538+I540</f>
        <v>644020.1399999999</v>
      </c>
      <c r="J496" s="129">
        <f t="shared" si="143"/>
        <v>38726.96</v>
      </c>
      <c r="K496" s="129">
        <f t="shared" si="143"/>
        <v>0</v>
      </c>
      <c r="L496" s="321">
        <f t="shared" si="143"/>
        <v>682747.1000000001</v>
      </c>
      <c r="M496" s="110" t="e">
        <f>#REF!+#REF!+#REF!+#REF!+#REF!+M499+M500+M501+M505+M506+M508+M510+M512+M514+M515+M517+M520+M522+M524+M526+M534+M536+M538+M540</f>
        <v>#REF!</v>
      </c>
      <c r="N496" s="110" t="e">
        <f>#REF!+#REF!+#REF!+#REF!+#REF!+N499+N500+N501+N505+N506+N508+N510+N512+N514+N515+N517+N520+N522+N524+N526+N534+N536+N538+N540</f>
        <v>#REF!</v>
      </c>
      <c r="O496" s="110" t="e">
        <f>#REF!+#REF!+#REF!+#REF!+#REF!+O499+O500+O501+O505+O506+O508+O510+O512+O514+O515+O517+O520+O522+O524+O526+O534+O536+O538+O540</f>
        <v>#REF!</v>
      </c>
      <c r="P496" s="110" t="e">
        <f>#REF!+#REF!+#REF!+#REF!+#REF!+P499+P500+P501+P505+P506+P508+P510+P512+P514+P515+P517+P520+P522+P524+P526+P534+P536+P538+P540</f>
        <v>#REF!</v>
      </c>
      <c r="Q496" s="190" t="e">
        <f>#REF!+#REF!+#REF!+#REF!+#REF!+Q499+Q500+Q501+Q505+Q506+Q508+Q510+Q512+Q514+Q515+Q517+Q520+Q522+Q524+Q526+Q534+Q536+Q538+Q540</f>
        <v>#REF!</v>
      </c>
      <c r="R496" s="87"/>
    </row>
    <row r="497" spans="1:18" ht="12.75">
      <c r="A497" s="31" t="s">
        <v>100</v>
      </c>
      <c r="B497" s="92"/>
      <c r="C497" s="142"/>
      <c r="D497" s="107"/>
      <c r="E497" s="143"/>
      <c r="F497" s="187"/>
      <c r="G497" s="227"/>
      <c r="H497" s="228"/>
      <c r="I497" s="270"/>
      <c r="J497" s="304"/>
      <c r="K497" s="6"/>
      <c r="L497" s="270"/>
      <c r="M497" s="19"/>
      <c r="N497" s="6"/>
      <c r="O497" s="20"/>
      <c r="P497" s="75"/>
      <c r="Q497" s="73"/>
      <c r="R497" s="87"/>
    </row>
    <row r="498" spans="1:18" ht="12.75">
      <c r="A498" s="32" t="s">
        <v>104</v>
      </c>
      <c r="B498" s="92">
        <v>10</v>
      </c>
      <c r="C498" s="135">
        <f>SUM(C499:C502)</f>
        <v>40000</v>
      </c>
      <c r="D498" s="108">
        <f aca="true" t="shared" si="144" ref="D498:Q498">SUM(D499:D502)</f>
        <v>43411.66</v>
      </c>
      <c r="E498" s="136">
        <f t="shared" si="144"/>
        <v>0</v>
      </c>
      <c r="F498" s="188">
        <f t="shared" si="144"/>
        <v>83411.66</v>
      </c>
      <c r="G498" s="229">
        <f t="shared" si="144"/>
        <v>20000</v>
      </c>
      <c r="H498" s="230">
        <f t="shared" si="144"/>
        <v>0</v>
      </c>
      <c r="I498" s="271">
        <f t="shared" si="144"/>
        <v>103411.66</v>
      </c>
      <c r="J498" s="305">
        <f t="shared" si="144"/>
        <v>13000</v>
      </c>
      <c r="K498" s="108">
        <f t="shared" si="144"/>
        <v>0</v>
      </c>
      <c r="L498" s="271">
        <f t="shared" si="144"/>
        <v>116411.66</v>
      </c>
      <c r="M498" s="109">
        <f t="shared" si="144"/>
        <v>0</v>
      </c>
      <c r="N498" s="109">
        <f t="shared" si="144"/>
        <v>0</v>
      </c>
      <c r="O498" s="109">
        <f t="shared" si="144"/>
        <v>116411.66</v>
      </c>
      <c r="P498" s="109">
        <f t="shared" si="144"/>
        <v>0</v>
      </c>
      <c r="Q498" s="188">
        <f t="shared" si="144"/>
        <v>116411.66</v>
      </c>
      <c r="R498" s="87"/>
    </row>
    <row r="499" spans="1:18" ht="12.75" hidden="1">
      <c r="A499" s="32" t="s">
        <v>105</v>
      </c>
      <c r="B499" s="92"/>
      <c r="C499" s="135"/>
      <c r="D499" s="108"/>
      <c r="E499" s="136"/>
      <c r="F499" s="188">
        <f aca="true" t="shared" si="145" ref="F499:F544">C499+D499+E499</f>
        <v>0</v>
      </c>
      <c r="G499" s="229"/>
      <c r="H499" s="230"/>
      <c r="I499" s="271">
        <f>F499+G499+H499</f>
        <v>0</v>
      </c>
      <c r="J499" s="305"/>
      <c r="K499" s="7"/>
      <c r="L499" s="271">
        <f>I499+J499+K499</f>
        <v>0</v>
      </c>
      <c r="M499" s="21"/>
      <c r="N499" s="7"/>
      <c r="O499" s="22">
        <f>L499+M499+N499</f>
        <v>0</v>
      </c>
      <c r="P499" s="75"/>
      <c r="Q499" s="73">
        <f>O499+P499</f>
        <v>0</v>
      </c>
      <c r="R499" s="87"/>
    </row>
    <row r="500" spans="1:18" ht="12.75">
      <c r="A500" s="93" t="s">
        <v>102</v>
      </c>
      <c r="B500" s="92"/>
      <c r="C500" s="135">
        <v>38000</v>
      </c>
      <c r="D500" s="119">
        <f>14238.57+5000</f>
        <v>19238.57</v>
      </c>
      <c r="E500" s="150"/>
      <c r="F500" s="188">
        <f t="shared" si="145"/>
        <v>57238.57</v>
      </c>
      <c r="G500" s="229">
        <f>20000</f>
        <v>20000</v>
      </c>
      <c r="H500" s="230"/>
      <c r="I500" s="271">
        <f>F500+G500+H500</f>
        <v>77238.57</v>
      </c>
      <c r="J500" s="305">
        <f>-10000</f>
        <v>-10000</v>
      </c>
      <c r="K500" s="7"/>
      <c r="L500" s="271">
        <f>I500+J500+K500</f>
        <v>67238.57</v>
      </c>
      <c r="M500" s="21"/>
      <c r="N500" s="7"/>
      <c r="O500" s="22">
        <f>L500+M500+N500</f>
        <v>67238.57</v>
      </c>
      <c r="P500" s="75"/>
      <c r="Q500" s="73">
        <f>O500+P500</f>
        <v>67238.57</v>
      </c>
      <c r="R500" s="87"/>
    </row>
    <row r="501" spans="1:18" ht="12.75">
      <c r="A501" s="32" t="s">
        <v>103</v>
      </c>
      <c r="B501" s="92"/>
      <c r="C501" s="135"/>
      <c r="D501" s="108">
        <f>389.8</f>
        <v>389.8</v>
      </c>
      <c r="E501" s="136"/>
      <c r="F501" s="188">
        <f t="shared" si="145"/>
        <v>389.8</v>
      </c>
      <c r="G501" s="229"/>
      <c r="H501" s="230"/>
      <c r="I501" s="271">
        <f>F501+G501+H501</f>
        <v>389.8</v>
      </c>
      <c r="J501" s="305"/>
      <c r="K501" s="7"/>
      <c r="L501" s="271">
        <f>I501+J501+K501</f>
        <v>389.8</v>
      </c>
      <c r="M501" s="21"/>
      <c r="N501" s="7"/>
      <c r="O501" s="22">
        <f>L501+M501+N501</f>
        <v>389.8</v>
      </c>
      <c r="P501" s="75"/>
      <c r="Q501" s="73">
        <f>O501+P501</f>
        <v>389.8</v>
      </c>
      <c r="R501" s="87"/>
    </row>
    <row r="502" spans="1:18" ht="12.75">
      <c r="A502" s="33" t="s">
        <v>132</v>
      </c>
      <c r="B502" s="92"/>
      <c r="C502" s="135">
        <v>2000</v>
      </c>
      <c r="D502" s="132">
        <f>3783.29+10000+10000</f>
        <v>23783.29</v>
      </c>
      <c r="E502" s="136"/>
      <c r="F502" s="188">
        <f t="shared" si="145"/>
        <v>25783.29</v>
      </c>
      <c r="G502" s="229"/>
      <c r="H502" s="230"/>
      <c r="I502" s="271">
        <f>F502+G502+H502</f>
        <v>25783.29</v>
      </c>
      <c r="J502" s="305">
        <f>10000+13000</f>
        <v>23000</v>
      </c>
      <c r="K502" s="7"/>
      <c r="L502" s="271">
        <f>I502+J502+K502</f>
        <v>48783.29</v>
      </c>
      <c r="M502" s="21"/>
      <c r="N502" s="7"/>
      <c r="O502" s="22">
        <f>L502+M502+N502</f>
        <v>48783.29</v>
      </c>
      <c r="P502" s="75"/>
      <c r="Q502" s="73">
        <f>O502+P502</f>
        <v>48783.29</v>
      </c>
      <c r="R502" s="87"/>
    </row>
    <row r="503" spans="1:18" ht="12.75">
      <c r="A503" s="32" t="s">
        <v>107</v>
      </c>
      <c r="B503" s="92">
        <v>12</v>
      </c>
      <c r="C503" s="135">
        <f aca="true" t="shared" si="146" ref="C503:Q503">C504+C505+C506</f>
        <v>4000</v>
      </c>
      <c r="D503" s="108">
        <f t="shared" si="146"/>
        <v>11837.410000000002</v>
      </c>
      <c r="E503" s="136">
        <f t="shared" si="146"/>
        <v>0</v>
      </c>
      <c r="F503" s="188">
        <f t="shared" si="146"/>
        <v>15837.410000000002</v>
      </c>
      <c r="G503" s="229">
        <f t="shared" si="146"/>
        <v>0</v>
      </c>
      <c r="H503" s="230">
        <f t="shared" si="146"/>
        <v>0</v>
      </c>
      <c r="I503" s="271">
        <f t="shared" si="146"/>
        <v>15837.41</v>
      </c>
      <c r="J503" s="305">
        <f t="shared" si="146"/>
        <v>0</v>
      </c>
      <c r="K503" s="108">
        <f t="shared" si="146"/>
        <v>0</v>
      </c>
      <c r="L503" s="271">
        <f t="shared" si="146"/>
        <v>15837.41</v>
      </c>
      <c r="M503" s="109">
        <f t="shared" si="146"/>
        <v>0</v>
      </c>
      <c r="N503" s="109">
        <f t="shared" si="146"/>
        <v>0</v>
      </c>
      <c r="O503" s="109">
        <f t="shared" si="146"/>
        <v>15837.41</v>
      </c>
      <c r="P503" s="109">
        <f t="shared" si="146"/>
        <v>0</v>
      </c>
      <c r="Q503" s="188">
        <f t="shared" si="146"/>
        <v>15837.41</v>
      </c>
      <c r="R503" s="87"/>
    </row>
    <row r="504" spans="1:18" ht="12.75">
      <c r="A504" s="32" t="s">
        <v>108</v>
      </c>
      <c r="B504" s="92"/>
      <c r="C504" s="135">
        <v>750</v>
      </c>
      <c r="D504" s="108">
        <f>1953.96+3441.84</f>
        <v>5395.8</v>
      </c>
      <c r="E504" s="136"/>
      <c r="F504" s="188">
        <f t="shared" si="145"/>
        <v>6145.8</v>
      </c>
      <c r="G504" s="229">
        <f>1623.03</f>
        <v>1623.03</v>
      </c>
      <c r="H504" s="230"/>
      <c r="I504" s="271">
        <f>F504+G504+H504</f>
        <v>7768.83</v>
      </c>
      <c r="J504" s="305"/>
      <c r="K504" s="7"/>
      <c r="L504" s="271">
        <f>I504+J504+K504</f>
        <v>7768.83</v>
      </c>
      <c r="M504" s="21"/>
      <c r="N504" s="7"/>
      <c r="O504" s="22">
        <f>L504+M504+N504</f>
        <v>7768.83</v>
      </c>
      <c r="P504" s="75"/>
      <c r="Q504" s="73">
        <f>O504+P504</f>
        <v>7768.83</v>
      </c>
      <c r="R504" s="87"/>
    </row>
    <row r="505" spans="1:18" ht="12.75">
      <c r="A505" s="32" t="s">
        <v>106</v>
      </c>
      <c r="B505" s="92"/>
      <c r="C505" s="135">
        <v>3250</v>
      </c>
      <c r="D505" s="108">
        <f>4608.58-90</f>
        <v>4518.58</v>
      </c>
      <c r="E505" s="136"/>
      <c r="F505" s="188">
        <f t="shared" si="145"/>
        <v>7768.58</v>
      </c>
      <c r="G505" s="229">
        <f>300</f>
        <v>300</v>
      </c>
      <c r="H505" s="230"/>
      <c r="I505" s="271">
        <f>F505+G505+H505</f>
        <v>8068.58</v>
      </c>
      <c r="J505" s="305"/>
      <c r="K505" s="7"/>
      <c r="L505" s="271">
        <f>I505+J505+K505</f>
        <v>8068.58</v>
      </c>
      <c r="M505" s="21"/>
      <c r="N505" s="7"/>
      <c r="O505" s="22">
        <f>L505+M505+N505</f>
        <v>8068.58</v>
      </c>
      <c r="P505" s="75"/>
      <c r="Q505" s="73">
        <f>O505+P505</f>
        <v>8068.58</v>
      </c>
      <c r="R505" s="87"/>
    </row>
    <row r="506" spans="1:18" ht="12.75" customHeight="1" hidden="1">
      <c r="A506" s="32" t="s">
        <v>103</v>
      </c>
      <c r="B506" s="92"/>
      <c r="C506" s="135"/>
      <c r="D506" s="108">
        <f>1919.2+3.83</f>
        <v>1923.03</v>
      </c>
      <c r="E506" s="136"/>
      <c r="F506" s="188">
        <f t="shared" si="145"/>
        <v>1923.03</v>
      </c>
      <c r="G506" s="229">
        <f>-1923.03</f>
        <v>-1923.03</v>
      </c>
      <c r="H506" s="230"/>
      <c r="I506" s="271">
        <f>F506+G506+H506</f>
        <v>0</v>
      </c>
      <c r="J506" s="305"/>
      <c r="K506" s="7"/>
      <c r="L506" s="271">
        <f>I506+J506+K506</f>
        <v>0</v>
      </c>
      <c r="M506" s="21"/>
      <c r="N506" s="7"/>
      <c r="O506" s="22">
        <f>L506+M506+N506</f>
        <v>0</v>
      </c>
      <c r="P506" s="75"/>
      <c r="Q506" s="73">
        <f>O506+P506</f>
        <v>0</v>
      </c>
      <c r="R506" s="87"/>
    </row>
    <row r="507" spans="1:18" ht="12.75">
      <c r="A507" s="32" t="s">
        <v>109</v>
      </c>
      <c r="B507" s="92">
        <v>14</v>
      </c>
      <c r="C507" s="135">
        <f>SUM(C508:C512)</f>
        <v>90000</v>
      </c>
      <c r="D507" s="108">
        <f aca="true" t="shared" si="147" ref="D507:Q507">SUM(D508:D512)</f>
        <v>78562.53</v>
      </c>
      <c r="E507" s="136">
        <f t="shared" si="147"/>
        <v>0</v>
      </c>
      <c r="F507" s="188">
        <f t="shared" si="147"/>
        <v>168562.53000000003</v>
      </c>
      <c r="G507" s="229">
        <f t="shared" si="147"/>
        <v>8518.759999999998</v>
      </c>
      <c r="H507" s="230">
        <f t="shared" si="147"/>
        <v>0</v>
      </c>
      <c r="I507" s="271">
        <f t="shared" si="147"/>
        <v>177081.29000000004</v>
      </c>
      <c r="J507" s="305">
        <f t="shared" si="147"/>
        <v>25800</v>
      </c>
      <c r="K507" s="108">
        <f t="shared" si="147"/>
        <v>0</v>
      </c>
      <c r="L507" s="271">
        <f t="shared" si="147"/>
        <v>202881.29000000004</v>
      </c>
      <c r="M507" s="109">
        <f t="shared" si="147"/>
        <v>0</v>
      </c>
      <c r="N507" s="109">
        <f t="shared" si="147"/>
        <v>0</v>
      </c>
      <c r="O507" s="109">
        <f t="shared" si="147"/>
        <v>202881.29000000004</v>
      </c>
      <c r="P507" s="109">
        <f t="shared" si="147"/>
        <v>0</v>
      </c>
      <c r="Q507" s="188">
        <f t="shared" si="147"/>
        <v>202881.29000000004</v>
      </c>
      <c r="R507" s="87"/>
    </row>
    <row r="508" spans="1:18" ht="12.75">
      <c r="A508" s="32" t="s">
        <v>110</v>
      </c>
      <c r="B508" s="92"/>
      <c r="C508" s="135">
        <v>79000</v>
      </c>
      <c r="D508" s="119">
        <f>33166.98-1200-1117+8000</f>
        <v>38849.98</v>
      </c>
      <c r="E508" s="150"/>
      <c r="F508" s="188">
        <f t="shared" si="145"/>
        <v>117849.98000000001</v>
      </c>
      <c r="G508" s="229">
        <f>700+786.31+2250+21.76-1000</f>
        <v>2758.07</v>
      </c>
      <c r="H508" s="230"/>
      <c r="I508" s="271">
        <f>F508+G508+H508</f>
        <v>120608.05000000002</v>
      </c>
      <c r="J508" s="305">
        <f>2312+12800-335.44</f>
        <v>14776.56</v>
      </c>
      <c r="K508" s="7"/>
      <c r="L508" s="271">
        <f>I508+J508+K508</f>
        <v>135384.61000000002</v>
      </c>
      <c r="M508" s="21"/>
      <c r="N508" s="7"/>
      <c r="O508" s="22">
        <f>L508+M508+N508</f>
        <v>135384.61000000002</v>
      </c>
      <c r="P508" s="75"/>
      <c r="Q508" s="73">
        <f aca="true" t="shared" si="148" ref="Q508:Q555">O508+P508</f>
        <v>135384.61000000002</v>
      </c>
      <c r="R508" s="87"/>
    </row>
    <row r="509" spans="1:18" ht="12.75">
      <c r="A509" s="32" t="s">
        <v>111</v>
      </c>
      <c r="B509" s="92"/>
      <c r="C509" s="135">
        <v>11000</v>
      </c>
      <c r="D509" s="108">
        <f>6242.16+1177</f>
        <v>7419.16</v>
      </c>
      <c r="E509" s="136"/>
      <c r="F509" s="188">
        <f t="shared" si="145"/>
        <v>18419.16</v>
      </c>
      <c r="G509" s="229">
        <f>500+562</f>
        <v>1062</v>
      </c>
      <c r="H509" s="230"/>
      <c r="I509" s="271">
        <f>F509+G509+H509</f>
        <v>19481.16</v>
      </c>
      <c r="J509" s="307">
        <f>170+13000+335.44</f>
        <v>13505.44</v>
      </c>
      <c r="K509" s="7"/>
      <c r="L509" s="271">
        <f>I509+J509+K509</f>
        <v>32986.6</v>
      </c>
      <c r="M509" s="21"/>
      <c r="N509" s="7"/>
      <c r="O509" s="22">
        <f>L509+M509+N509</f>
        <v>32986.6</v>
      </c>
      <c r="P509" s="75"/>
      <c r="Q509" s="73">
        <f t="shared" si="148"/>
        <v>32986.6</v>
      </c>
      <c r="R509" s="87"/>
    </row>
    <row r="510" spans="1:18" ht="13.5" customHeight="1">
      <c r="A510" s="32" t="s">
        <v>112</v>
      </c>
      <c r="B510" s="92"/>
      <c r="C510" s="135"/>
      <c r="D510" s="108">
        <f>28388.64</f>
        <v>28388.64</v>
      </c>
      <c r="E510" s="136"/>
      <c r="F510" s="188">
        <f t="shared" si="145"/>
        <v>28388.64</v>
      </c>
      <c r="G510" s="229">
        <f>4000-1065.19+726+1000</f>
        <v>4660.8099999999995</v>
      </c>
      <c r="H510" s="230"/>
      <c r="I510" s="271">
        <f>F510+G510+H510</f>
        <v>33049.45</v>
      </c>
      <c r="J510" s="305">
        <f>-961</f>
        <v>-961</v>
      </c>
      <c r="K510" s="7"/>
      <c r="L510" s="271">
        <f>I510+J510+K510</f>
        <v>32088.449999999997</v>
      </c>
      <c r="M510" s="21"/>
      <c r="N510" s="7"/>
      <c r="O510" s="22">
        <f>L510+M510+N510</f>
        <v>32088.449999999997</v>
      </c>
      <c r="P510" s="75"/>
      <c r="Q510" s="73">
        <f t="shared" si="148"/>
        <v>32088.449999999997</v>
      </c>
      <c r="R510" s="87"/>
    </row>
    <row r="511" spans="1:18" ht="13.5" customHeight="1">
      <c r="A511" s="33" t="s">
        <v>132</v>
      </c>
      <c r="B511" s="92"/>
      <c r="C511" s="135"/>
      <c r="D511" s="108">
        <f>2481.63-60</f>
        <v>2421.63</v>
      </c>
      <c r="E511" s="136"/>
      <c r="F511" s="188">
        <f t="shared" si="145"/>
        <v>2421.63</v>
      </c>
      <c r="G511" s="229"/>
      <c r="H511" s="230"/>
      <c r="I511" s="271">
        <f>F511+G511+H511</f>
        <v>2421.63</v>
      </c>
      <c r="J511" s="305"/>
      <c r="K511" s="7"/>
      <c r="L511" s="271">
        <f>I511+J511+K511</f>
        <v>2421.63</v>
      </c>
      <c r="M511" s="21"/>
      <c r="N511" s="7"/>
      <c r="O511" s="22">
        <f>L511+M511+N511</f>
        <v>2421.63</v>
      </c>
      <c r="P511" s="75"/>
      <c r="Q511" s="73">
        <f t="shared" si="148"/>
        <v>2421.63</v>
      </c>
      <c r="R511" s="87"/>
    </row>
    <row r="512" spans="1:18" ht="12.75">
      <c r="A512" s="32" t="s">
        <v>113</v>
      </c>
      <c r="B512" s="92"/>
      <c r="C512" s="135"/>
      <c r="D512" s="108">
        <f>1483.12</f>
        <v>1483.12</v>
      </c>
      <c r="E512" s="136"/>
      <c r="F512" s="188">
        <f t="shared" si="145"/>
        <v>1483.12</v>
      </c>
      <c r="G512" s="229">
        <f>-1200-283.12+1500+21</f>
        <v>37.88000000000011</v>
      </c>
      <c r="H512" s="230"/>
      <c r="I512" s="271">
        <f>F512+G512+H512</f>
        <v>1521</v>
      </c>
      <c r="J512" s="305">
        <f>-1521</f>
        <v>-1521</v>
      </c>
      <c r="K512" s="7"/>
      <c r="L512" s="271">
        <f>I512+J512+K512</f>
        <v>0</v>
      </c>
      <c r="M512" s="21"/>
      <c r="N512" s="7"/>
      <c r="O512" s="22">
        <f>L512+M512+N512</f>
        <v>0</v>
      </c>
      <c r="P512" s="75"/>
      <c r="Q512" s="73">
        <f t="shared" si="148"/>
        <v>0</v>
      </c>
      <c r="R512" s="87"/>
    </row>
    <row r="513" spans="1:18" ht="12.75">
      <c r="A513" s="32" t="s">
        <v>114</v>
      </c>
      <c r="B513" s="92">
        <v>15</v>
      </c>
      <c r="C513" s="135">
        <f>SUM(C514:C520)</f>
        <v>90000</v>
      </c>
      <c r="D513" s="108">
        <f aca="true" t="shared" si="149" ref="D513:Q513">SUM(D514:D520)</f>
        <v>250011.43</v>
      </c>
      <c r="E513" s="136">
        <f t="shared" si="149"/>
        <v>0</v>
      </c>
      <c r="F513" s="188">
        <f t="shared" si="149"/>
        <v>340011.43</v>
      </c>
      <c r="G513" s="229">
        <f t="shared" si="149"/>
        <v>-29122.050000000007</v>
      </c>
      <c r="H513" s="230">
        <f t="shared" si="149"/>
        <v>0</v>
      </c>
      <c r="I513" s="271">
        <f t="shared" si="149"/>
        <v>310889.38</v>
      </c>
      <c r="J513" s="305">
        <f t="shared" si="149"/>
        <v>40000</v>
      </c>
      <c r="K513" s="108">
        <f t="shared" si="149"/>
        <v>0</v>
      </c>
      <c r="L513" s="271">
        <f t="shared" si="149"/>
        <v>350889.38</v>
      </c>
      <c r="M513" s="109">
        <f t="shared" si="149"/>
        <v>0</v>
      </c>
      <c r="N513" s="109">
        <f t="shared" si="149"/>
        <v>0</v>
      </c>
      <c r="O513" s="109">
        <f t="shared" si="149"/>
        <v>350889.38</v>
      </c>
      <c r="P513" s="109">
        <f t="shared" si="149"/>
        <v>0</v>
      </c>
      <c r="Q513" s="188">
        <f t="shared" si="149"/>
        <v>350889.38</v>
      </c>
      <c r="R513" s="87"/>
    </row>
    <row r="514" spans="1:18" ht="12.75">
      <c r="A514" s="32" t="s">
        <v>115</v>
      </c>
      <c r="B514" s="92"/>
      <c r="C514" s="135">
        <v>52655</v>
      </c>
      <c r="D514" s="108">
        <f>206504.35</f>
        <v>206504.35</v>
      </c>
      <c r="E514" s="136"/>
      <c r="F514" s="188">
        <f t="shared" si="145"/>
        <v>259159.35</v>
      </c>
      <c r="G514" s="229">
        <f>-1243-500-34754.73-100</f>
        <v>-36597.73</v>
      </c>
      <c r="H514" s="230"/>
      <c r="I514" s="271">
        <f aca="true" t="shared" si="150" ref="I514:I520">F514+G514+H514</f>
        <v>222561.62</v>
      </c>
      <c r="J514" s="305">
        <f>20000+10000+10000</f>
        <v>40000</v>
      </c>
      <c r="K514" s="7"/>
      <c r="L514" s="271">
        <f aca="true" t="shared" si="151" ref="L514:L520">I514+J514+K514</f>
        <v>262561.62</v>
      </c>
      <c r="M514" s="21"/>
      <c r="N514" s="7"/>
      <c r="O514" s="22">
        <f aca="true" t="shared" si="152" ref="O514:O520">L514+M514+N514</f>
        <v>262561.62</v>
      </c>
      <c r="P514" s="75"/>
      <c r="Q514" s="73">
        <f t="shared" si="148"/>
        <v>262561.62</v>
      </c>
      <c r="R514" s="87"/>
    </row>
    <row r="515" spans="1:18" ht="12.75" hidden="1">
      <c r="A515" s="32" t="s">
        <v>116</v>
      </c>
      <c r="B515" s="92"/>
      <c r="C515" s="135"/>
      <c r="D515" s="108"/>
      <c r="E515" s="136"/>
      <c r="F515" s="188">
        <f t="shared" si="145"/>
        <v>0</v>
      </c>
      <c r="G515" s="229"/>
      <c r="H515" s="230"/>
      <c r="I515" s="271">
        <f t="shared" si="150"/>
        <v>0</v>
      </c>
      <c r="J515" s="305"/>
      <c r="K515" s="7"/>
      <c r="L515" s="271">
        <f t="shared" si="151"/>
        <v>0</v>
      </c>
      <c r="M515" s="21"/>
      <c r="N515" s="7"/>
      <c r="O515" s="22">
        <f t="shared" si="152"/>
        <v>0</v>
      </c>
      <c r="P515" s="75"/>
      <c r="Q515" s="73">
        <f t="shared" si="148"/>
        <v>0</v>
      </c>
      <c r="R515" s="87"/>
    </row>
    <row r="516" spans="1:18" ht="12.75" hidden="1">
      <c r="A516" s="32" t="s">
        <v>117</v>
      </c>
      <c r="B516" s="92"/>
      <c r="C516" s="135"/>
      <c r="D516" s="119"/>
      <c r="E516" s="150"/>
      <c r="F516" s="188">
        <f t="shared" si="145"/>
        <v>0</v>
      </c>
      <c r="G516" s="229"/>
      <c r="H516" s="230"/>
      <c r="I516" s="271">
        <f t="shared" si="150"/>
        <v>0</v>
      </c>
      <c r="J516" s="305"/>
      <c r="K516" s="7"/>
      <c r="L516" s="271">
        <f t="shared" si="151"/>
        <v>0</v>
      </c>
      <c r="M516" s="21"/>
      <c r="N516" s="7"/>
      <c r="O516" s="22">
        <f t="shared" si="152"/>
        <v>0</v>
      </c>
      <c r="P516" s="75"/>
      <c r="Q516" s="73">
        <f t="shared" si="148"/>
        <v>0</v>
      </c>
      <c r="R516" s="87"/>
    </row>
    <row r="517" spans="1:18" ht="12.75">
      <c r="A517" s="32" t="s">
        <v>118</v>
      </c>
      <c r="B517" s="92"/>
      <c r="C517" s="135">
        <v>30175</v>
      </c>
      <c r="D517" s="108">
        <f>22288.93</f>
        <v>22288.93</v>
      </c>
      <c r="E517" s="136"/>
      <c r="F517" s="188">
        <f t="shared" si="145"/>
        <v>52463.93</v>
      </c>
      <c r="G517" s="229">
        <f>-605+87.95</f>
        <v>-517.05</v>
      </c>
      <c r="H517" s="230"/>
      <c r="I517" s="271">
        <f t="shared" si="150"/>
        <v>51946.88</v>
      </c>
      <c r="J517" s="305"/>
      <c r="K517" s="7"/>
      <c r="L517" s="271">
        <f t="shared" si="151"/>
        <v>51946.88</v>
      </c>
      <c r="M517" s="21"/>
      <c r="N517" s="7"/>
      <c r="O517" s="22">
        <f t="shared" si="152"/>
        <v>51946.88</v>
      </c>
      <c r="P517" s="75"/>
      <c r="Q517" s="73">
        <f t="shared" si="148"/>
        <v>51946.88</v>
      </c>
      <c r="R517" s="87"/>
    </row>
    <row r="518" spans="1:18" ht="12.75">
      <c r="A518" s="32" t="s">
        <v>119</v>
      </c>
      <c r="B518" s="92"/>
      <c r="C518" s="135">
        <v>2200</v>
      </c>
      <c r="D518" s="108"/>
      <c r="E518" s="136"/>
      <c r="F518" s="188">
        <f t="shared" si="145"/>
        <v>2200</v>
      </c>
      <c r="G518" s="229"/>
      <c r="H518" s="230"/>
      <c r="I518" s="271">
        <f t="shared" si="150"/>
        <v>2200</v>
      </c>
      <c r="J518" s="307"/>
      <c r="K518" s="7"/>
      <c r="L518" s="271">
        <f t="shared" si="151"/>
        <v>2200</v>
      </c>
      <c r="M518" s="21"/>
      <c r="N518" s="7"/>
      <c r="O518" s="22">
        <f t="shared" si="152"/>
        <v>2200</v>
      </c>
      <c r="P518" s="75"/>
      <c r="Q518" s="73">
        <f t="shared" si="148"/>
        <v>2200</v>
      </c>
      <c r="R518" s="87"/>
    </row>
    <row r="519" spans="1:18" ht="12.75">
      <c r="A519" s="32" t="s">
        <v>120</v>
      </c>
      <c r="B519" s="92"/>
      <c r="C519" s="135">
        <v>4970</v>
      </c>
      <c r="D519" s="108">
        <f>11977.85</f>
        <v>11977.85</v>
      </c>
      <c r="E519" s="136"/>
      <c r="F519" s="188">
        <f t="shared" si="145"/>
        <v>16947.85</v>
      </c>
      <c r="G519" s="229">
        <f>1848+500+11000+100</f>
        <v>13448</v>
      </c>
      <c r="H519" s="230"/>
      <c r="I519" s="271">
        <f t="shared" si="150"/>
        <v>30395.85</v>
      </c>
      <c r="J519" s="305"/>
      <c r="K519" s="7"/>
      <c r="L519" s="271">
        <f t="shared" si="151"/>
        <v>30395.85</v>
      </c>
      <c r="M519" s="21"/>
      <c r="N519" s="7"/>
      <c r="O519" s="22">
        <f t="shared" si="152"/>
        <v>30395.85</v>
      </c>
      <c r="P519" s="75"/>
      <c r="Q519" s="73">
        <f t="shared" si="148"/>
        <v>30395.85</v>
      </c>
      <c r="R519" s="87"/>
    </row>
    <row r="520" spans="1:18" ht="12.75">
      <c r="A520" s="32" t="s">
        <v>113</v>
      </c>
      <c r="B520" s="92"/>
      <c r="C520" s="135"/>
      <c r="D520" s="108">
        <f>9240.3</f>
        <v>9240.3</v>
      </c>
      <c r="E520" s="136"/>
      <c r="F520" s="188">
        <f t="shared" si="145"/>
        <v>9240.3</v>
      </c>
      <c r="G520" s="229">
        <f>-5455.27</f>
        <v>-5455.27</v>
      </c>
      <c r="H520" s="230"/>
      <c r="I520" s="271">
        <f t="shared" si="150"/>
        <v>3785.029999999999</v>
      </c>
      <c r="J520" s="305"/>
      <c r="K520" s="7"/>
      <c r="L520" s="271">
        <f t="shared" si="151"/>
        <v>3785.029999999999</v>
      </c>
      <c r="M520" s="21"/>
      <c r="N520" s="7"/>
      <c r="O520" s="22">
        <f t="shared" si="152"/>
        <v>3785.029999999999</v>
      </c>
      <c r="P520" s="75"/>
      <c r="Q520" s="73">
        <f t="shared" si="148"/>
        <v>3785.029999999999</v>
      </c>
      <c r="R520" s="87"/>
    </row>
    <row r="521" spans="1:18" ht="12.75">
      <c r="A521" s="32" t="s">
        <v>121</v>
      </c>
      <c r="B521" s="92">
        <v>16</v>
      </c>
      <c r="C521" s="135">
        <f>SUM(C522:C526)</f>
        <v>5000</v>
      </c>
      <c r="D521" s="108">
        <f aca="true" t="shared" si="153" ref="D521:Q521">SUM(D522:D526)</f>
        <v>20942.469999999998</v>
      </c>
      <c r="E521" s="136">
        <f t="shared" si="153"/>
        <v>0</v>
      </c>
      <c r="F521" s="188">
        <f t="shared" si="153"/>
        <v>25942.469999999998</v>
      </c>
      <c r="G521" s="229">
        <f t="shared" si="153"/>
        <v>0</v>
      </c>
      <c r="H521" s="230">
        <f t="shared" si="153"/>
        <v>0</v>
      </c>
      <c r="I521" s="271">
        <f t="shared" si="153"/>
        <v>25942.469999999998</v>
      </c>
      <c r="J521" s="305">
        <f t="shared" si="153"/>
        <v>200</v>
      </c>
      <c r="K521" s="108">
        <f t="shared" si="153"/>
        <v>0</v>
      </c>
      <c r="L521" s="271">
        <f t="shared" si="153"/>
        <v>26142.469999999998</v>
      </c>
      <c r="M521" s="109">
        <f t="shared" si="153"/>
        <v>0</v>
      </c>
      <c r="N521" s="109">
        <f t="shared" si="153"/>
        <v>0</v>
      </c>
      <c r="O521" s="109">
        <f t="shared" si="153"/>
        <v>25942.469999999998</v>
      </c>
      <c r="P521" s="109">
        <f t="shared" si="153"/>
        <v>0</v>
      </c>
      <c r="Q521" s="188">
        <f t="shared" si="153"/>
        <v>25942.469999999998</v>
      </c>
      <c r="R521" s="87"/>
    </row>
    <row r="522" spans="1:18" ht="12.75">
      <c r="A522" s="32" t="s">
        <v>110</v>
      </c>
      <c r="B522" s="92"/>
      <c r="C522" s="135">
        <v>4005</v>
      </c>
      <c r="D522" s="108">
        <f>1941.63-1000</f>
        <v>941.6300000000001</v>
      </c>
      <c r="E522" s="136"/>
      <c r="F522" s="188">
        <f t="shared" si="145"/>
        <v>4946.63</v>
      </c>
      <c r="G522" s="229">
        <f>1310</f>
        <v>1310</v>
      </c>
      <c r="H522" s="230"/>
      <c r="I522" s="271">
        <f>F522+G522+H522</f>
        <v>6256.63</v>
      </c>
      <c r="J522" s="305"/>
      <c r="K522" s="7"/>
      <c r="L522" s="271">
        <f>I522+J522+K522</f>
        <v>6256.63</v>
      </c>
      <c r="M522" s="21"/>
      <c r="N522" s="7"/>
      <c r="O522" s="22">
        <f>L522+M522+N522</f>
        <v>6256.63</v>
      </c>
      <c r="P522" s="75"/>
      <c r="Q522" s="73">
        <f t="shared" si="148"/>
        <v>6256.63</v>
      </c>
      <c r="R522" s="87"/>
    </row>
    <row r="523" spans="1:18" ht="12.75">
      <c r="A523" s="32" t="s">
        <v>111</v>
      </c>
      <c r="B523" s="92"/>
      <c r="C523" s="135">
        <v>400</v>
      </c>
      <c r="D523" s="108">
        <f>1080</f>
        <v>1080</v>
      </c>
      <c r="E523" s="136"/>
      <c r="F523" s="188">
        <f t="shared" si="145"/>
        <v>1480</v>
      </c>
      <c r="G523" s="229">
        <f>-210</f>
        <v>-210</v>
      </c>
      <c r="H523" s="230"/>
      <c r="I523" s="271">
        <f>F523+G523+H523</f>
        <v>1270</v>
      </c>
      <c r="J523" s="305"/>
      <c r="K523" s="7"/>
      <c r="L523" s="271">
        <f>I523+J523+K523</f>
        <v>1270</v>
      </c>
      <c r="M523" s="21"/>
      <c r="N523" s="7"/>
      <c r="O523" s="22">
        <f>L523+M523+N523</f>
        <v>1270</v>
      </c>
      <c r="P523" s="75"/>
      <c r="Q523" s="73">
        <f t="shared" si="148"/>
        <v>1270</v>
      </c>
      <c r="R523" s="87"/>
    </row>
    <row r="524" spans="1:18" ht="12.75">
      <c r="A524" s="32" t="s">
        <v>112</v>
      </c>
      <c r="B524" s="92"/>
      <c r="C524" s="135"/>
      <c r="D524" s="108">
        <f>10507.24+1000+6800</f>
        <v>18307.239999999998</v>
      </c>
      <c r="E524" s="136"/>
      <c r="F524" s="188">
        <f t="shared" si="145"/>
        <v>18307.239999999998</v>
      </c>
      <c r="G524" s="229"/>
      <c r="H524" s="230"/>
      <c r="I524" s="271">
        <f>F524+G524+H524</f>
        <v>18307.239999999998</v>
      </c>
      <c r="J524" s="305">
        <f>12.1</f>
        <v>12.1</v>
      </c>
      <c r="K524" s="7"/>
      <c r="L524" s="271">
        <f>I524+J524+K524</f>
        <v>18319.339999999997</v>
      </c>
      <c r="M524" s="21"/>
      <c r="N524" s="7"/>
      <c r="O524" s="22">
        <f>L524+M524+N524</f>
        <v>18319.339999999997</v>
      </c>
      <c r="P524" s="75"/>
      <c r="Q524" s="73">
        <f t="shared" si="148"/>
        <v>18319.339999999997</v>
      </c>
      <c r="R524" s="87"/>
    </row>
    <row r="525" spans="1:18" ht="12.75">
      <c r="A525" s="32" t="s">
        <v>120</v>
      </c>
      <c r="B525" s="92"/>
      <c r="C525" s="135"/>
      <c r="D525" s="108"/>
      <c r="E525" s="136"/>
      <c r="F525" s="188"/>
      <c r="G525" s="229"/>
      <c r="H525" s="230"/>
      <c r="I525" s="271">
        <f>F525+G525+H525</f>
        <v>0</v>
      </c>
      <c r="J525" s="305">
        <f>200</f>
        <v>200</v>
      </c>
      <c r="K525" s="7"/>
      <c r="L525" s="271">
        <f>I525+J525+K525</f>
        <v>200</v>
      </c>
      <c r="M525" s="21"/>
      <c r="N525" s="7"/>
      <c r="O525" s="22"/>
      <c r="P525" s="75"/>
      <c r="Q525" s="73"/>
      <c r="R525" s="87"/>
    </row>
    <row r="526" spans="1:18" ht="12.75">
      <c r="A526" s="32" t="s">
        <v>113</v>
      </c>
      <c r="B526" s="92"/>
      <c r="C526" s="135">
        <v>595</v>
      </c>
      <c r="D526" s="108">
        <f>613.6</f>
        <v>613.6</v>
      </c>
      <c r="E526" s="136"/>
      <c r="F526" s="188">
        <f t="shared" si="145"/>
        <v>1208.6</v>
      </c>
      <c r="G526" s="229">
        <f>-1100</f>
        <v>-1100</v>
      </c>
      <c r="H526" s="230"/>
      <c r="I526" s="271">
        <f>F526+G526+H526</f>
        <v>108.59999999999991</v>
      </c>
      <c r="J526" s="305">
        <f>-12.1</f>
        <v>-12.1</v>
      </c>
      <c r="K526" s="7"/>
      <c r="L526" s="271">
        <f>I526+J526+K526</f>
        <v>96.49999999999991</v>
      </c>
      <c r="M526" s="21"/>
      <c r="N526" s="7"/>
      <c r="O526" s="22">
        <f>L526+M526+N526</f>
        <v>96.49999999999991</v>
      </c>
      <c r="P526" s="75"/>
      <c r="Q526" s="73">
        <f t="shared" si="148"/>
        <v>96.49999999999991</v>
      </c>
      <c r="R526" s="87"/>
    </row>
    <row r="527" spans="1:18" ht="12.75">
      <c r="A527" s="32" t="s">
        <v>101</v>
      </c>
      <c r="B527" s="92">
        <v>18</v>
      </c>
      <c r="C527" s="135">
        <f aca="true" t="shared" si="154" ref="C527:L527">C528+C529</f>
        <v>0</v>
      </c>
      <c r="D527" s="108">
        <f t="shared" si="154"/>
        <v>1148.96</v>
      </c>
      <c r="E527" s="136">
        <f t="shared" si="154"/>
        <v>0</v>
      </c>
      <c r="F527" s="188">
        <f t="shared" si="154"/>
        <v>1148.96</v>
      </c>
      <c r="G527" s="229">
        <f t="shared" si="154"/>
        <v>0</v>
      </c>
      <c r="H527" s="230">
        <f t="shared" si="154"/>
        <v>0</v>
      </c>
      <c r="I527" s="271">
        <f t="shared" si="154"/>
        <v>1148.96</v>
      </c>
      <c r="J527" s="289">
        <f t="shared" si="154"/>
        <v>0</v>
      </c>
      <c r="K527" s="230">
        <f t="shared" si="154"/>
        <v>0</v>
      </c>
      <c r="L527" s="271">
        <f t="shared" si="154"/>
        <v>1148.96</v>
      </c>
      <c r="M527" s="21"/>
      <c r="N527" s="127"/>
      <c r="O527" s="81"/>
      <c r="P527" s="75"/>
      <c r="Q527" s="73"/>
      <c r="R527" s="87"/>
    </row>
    <row r="528" spans="1:18" ht="12.75">
      <c r="A528" s="32" t="s">
        <v>102</v>
      </c>
      <c r="B528" s="92"/>
      <c r="C528" s="135"/>
      <c r="D528" s="108">
        <f>1148.96</f>
        <v>1148.96</v>
      </c>
      <c r="E528" s="136"/>
      <c r="F528" s="188">
        <f>C528+D528+E528</f>
        <v>1148.96</v>
      </c>
      <c r="G528" s="229"/>
      <c r="H528" s="230"/>
      <c r="I528" s="271">
        <f>F528+G528+H528</f>
        <v>1148.96</v>
      </c>
      <c r="J528" s="305"/>
      <c r="K528" s="7"/>
      <c r="L528" s="271">
        <f>I528+J528+K528</f>
        <v>1148.96</v>
      </c>
      <c r="M528" s="21"/>
      <c r="N528" s="127"/>
      <c r="O528" s="81"/>
      <c r="P528" s="75"/>
      <c r="Q528" s="73"/>
      <c r="R528" s="87"/>
    </row>
    <row r="529" spans="1:18" ht="12.75" hidden="1">
      <c r="A529" s="32" t="s">
        <v>103</v>
      </c>
      <c r="B529" s="92"/>
      <c r="C529" s="135">
        <v>0</v>
      </c>
      <c r="D529" s="108"/>
      <c r="E529" s="136"/>
      <c r="F529" s="188">
        <f>C529+D529+E529</f>
        <v>0</v>
      </c>
      <c r="G529" s="229"/>
      <c r="H529" s="230"/>
      <c r="I529" s="271">
        <f>F529+G529+H529</f>
        <v>0</v>
      </c>
      <c r="J529" s="305"/>
      <c r="K529" s="7"/>
      <c r="L529" s="271"/>
      <c r="M529" s="21"/>
      <c r="N529" s="127"/>
      <c r="O529" s="81"/>
      <c r="P529" s="75"/>
      <c r="Q529" s="73"/>
      <c r="R529" s="87"/>
    </row>
    <row r="530" spans="1:18" ht="12.75">
      <c r="A530" s="93" t="s">
        <v>247</v>
      </c>
      <c r="B530" s="92">
        <v>19</v>
      </c>
      <c r="C530" s="135">
        <f aca="true" t="shared" si="155" ref="C530:L530">C531+C532</f>
        <v>5540.5</v>
      </c>
      <c r="D530" s="108">
        <f t="shared" si="155"/>
        <v>7526.429999999999</v>
      </c>
      <c r="E530" s="136">
        <f t="shared" si="155"/>
        <v>0</v>
      </c>
      <c r="F530" s="188">
        <f t="shared" si="155"/>
        <v>13066.93</v>
      </c>
      <c r="G530" s="229">
        <f t="shared" si="155"/>
        <v>822</v>
      </c>
      <c r="H530" s="230">
        <f t="shared" si="155"/>
        <v>0</v>
      </c>
      <c r="I530" s="271">
        <f t="shared" si="155"/>
        <v>13888.93</v>
      </c>
      <c r="J530" s="289">
        <f t="shared" si="155"/>
        <v>0</v>
      </c>
      <c r="K530" s="230">
        <f t="shared" si="155"/>
        <v>0</v>
      </c>
      <c r="L530" s="271">
        <f t="shared" si="155"/>
        <v>13888.93</v>
      </c>
      <c r="M530" s="21"/>
      <c r="N530" s="127"/>
      <c r="O530" s="81"/>
      <c r="P530" s="75"/>
      <c r="Q530" s="73"/>
      <c r="R530" s="87"/>
    </row>
    <row r="531" spans="1:18" ht="12.75">
      <c r="A531" s="32" t="s">
        <v>102</v>
      </c>
      <c r="B531" s="92"/>
      <c r="C531" s="135">
        <v>5540.5</v>
      </c>
      <c r="D531" s="108">
        <f>5983.61+90</f>
        <v>6073.61</v>
      </c>
      <c r="E531" s="136"/>
      <c r="F531" s="188">
        <f>C531+D531+E531</f>
        <v>11614.11</v>
      </c>
      <c r="G531" s="229">
        <f>822</f>
        <v>822</v>
      </c>
      <c r="H531" s="230"/>
      <c r="I531" s="271">
        <f>F531+G531+H531</f>
        <v>12436.11</v>
      </c>
      <c r="J531" s="305"/>
      <c r="K531" s="7"/>
      <c r="L531" s="271">
        <f>I531+J531+K531</f>
        <v>12436.11</v>
      </c>
      <c r="M531" s="21"/>
      <c r="N531" s="127"/>
      <c r="O531" s="81"/>
      <c r="P531" s="75"/>
      <c r="Q531" s="73"/>
      <c r="R531" s="87"/>
    </row>
    <row r="532" spans="1:18" ht="12.75">
      <c r="A532" s="32" t="s">
        <v>103</v>
      </c>
      <c r="B532" s="92"/>
      <c r="C532" s="135"/>
      <c r="D532" s="108">
        <v>1452.82</v>
      </c>
      <c r="E532" s="136"/>
      <c r="F532" s="188">
        <f>C532+D532+E532</f>
        <v>1452.82</v>
      </c>
      <c r="G532" s="229"/>
      <c r="H532" s="230"/>
      <c r="I532" s="271">
        <f>F532+G532+H532</f>
        <v>1452.82</v>
      </c>
      <c r="J532" s="305"/>
      <c r="K532" s="7"/>
      <c r="L532" s="271">
        <f>I532+J532+K532</f>
        <v>1452.82</v>
      </c>
      <c r="M532" s="21"/>
      <c r="N532" s="127"/>
      <c r="O532" s="81"/>
      <c r="P532" s="75"/>
      <c r="Q532" s="73"/>
      <c r="R532" s="87"/>
    </row>
    <row r="533" spans="1:18" ht="12.75">
      <c r="A533" s="32" t="s">
        <v>122</v>
      </c>
      <c r="B533" s="92">
        <v>28</v>
      </c>
      <c r="C533" s="135">
        <f>SUM(C534:C538)</f>
        <v>100000</v>
      </c>
      <c r="D533" s="108">
        <f aca="true" t="shared" si="156" ref="D533:Q533">SUM(D534:D538)</f>
        <v>-20500.48</v>
      </c>
      <c r="E533" s="136">
        <f t="shared" si="156"/>
        <v>0</v>
      </c>
      <c r="F533" s="188">
        <f t="shared" si="156"/>
        <v>79499.51999999999</v>
      </c>
      <c r="G533" s="229">
        <f t="shared" si="156"/>
        <v>0</v>
      </c>
      <c r="H533" s="230">
        <f t="shared" si="156"/>
        <v>0</v>
      </c>
      <c r="I533" s="271">
        <f t="shared" si="156"/>
        <v>79499.51999999999</v>
      </c>
      <c r="J533" s="305">
        <f t="shared" si="156"/>
        <v>-3567.5999999999995</v>
      </c>
      <c r="K533" s="108">
        <f t="shared" si="156"/>
        <v>0</v>
      </c>
      <c r="L533" s="271">
        <f t="shared" si="156"/>
        <v>75931.91999999998</v>
      </c>
      <c r="M533" s="109">
        <f t="shared" si="156"/>
        <v>0</v>
      </c>
      <c r="N533" s="109">
        <f t="shared" si="156"/>
        <v>0</v>
      </c>
      <c r="O533" s="109">
        <f t="shared" si="156"/>
        <v>75931.91999999998</v>
      </c>
      <c r="P533" s="109">
        <f t="shared" si="156"/>
        <v>0</v>
      </c>
      <c r="Q533" s="188">
        <f t="shared" si="156"/>
        <v>75931.91999999998</v>
      </c>
      <c r="R533" s="87"/>
    </row>
    <row r="534" spans="1:18" ht="12.75">
      <c r="A534" s="32" t="s">
        <v>110</v>
      </c>
      <c r="B534" s="92"/>
      <c r="C534" s="135">
        <v>4200</v>
      </c>
      <c r="D534" s="108">
        <f>6266.14+15500</f>
        <v>21766.14</v>
      </c>
      <c r="E534" s="136"/>
      <c r="F534" s="188">
        <f t="shared" si="145"/>
        <v>25966.14</v>
      </c>
      <c r="G534" s="229"/>
      <c r="H534" s="230"/>
      <c r="I534" s="271">
        <f>F534+G534+H534</f>
        <v>25966.14</v>
      </c>
      <c r="J534" s="305">
        <f>836.42</f>
        <v>836.42</v>
      </c>
      <c r="K534" s="7"/>
      <c r="L534" s="271">
        <f>I534+J534+K534</f>
        <v>26802.559999999998</v>
      </c>
      <c r="M534" s="21"/>
      <c r="N534" s="7"/>
      <c r="O534" s="22">
        <f>L534+M534+N534</f>
        <v>26802.559999999998</v>
      </c>
      <c r="P534" s="75"/>
      <c r="Q534" s="73">
        <f t="shared" si="148"/>
        <v>26802.559999999998</v>
      </c>
      <c r="R534" s="87"/>
    </row>
    <row r="535" spans="1:18" ht="12.75">
      <c r="A535" s="32" t="s">
        <v>111</v>
      </c>
      <c r="B535" s="92"/>
      <c r="C535" s="135">
        <v>1000</v>
      </c>
      <c r="D535" s="108"/>
      <c r="E535" s="136"/>
      <c r="F535" s="188">
        <f t="shared" si="145"/>
        <v>1000</v>
      </c>
      <c r="G535" s="229"/>
      <c r="H535" s="230"/>
      <c r="I535" s="271">
        <f>F535+G535+H535</f>
        <v>1000</v>
      </c>
      <c r="J535" s="305"/>
      <c r="K535" s="7"/>
      <c r="L535" s="271">
        <f>I535+J535+K535</f>
        <v>1000</v>
      </c>
      <c r="M535" s="21"/>
      <c r="N535" s="7"/>
      <c r="O535" s="22">
        <f>L535+M535+N535</f>
        <v>1000</v>
      </c>
      <c r="P535" s="75"/>
      <c r="Q535" s="73">
        <f t="shared" si="148"/>
        <v>1000</v>
      </c>
      <c r="R535" s="87"/>
    </row>
    <row r="536" spans="1:18" ht="12.75">
      <c r="A536" s="32" t="s">
        <v>123</v>
      </c>
      <c r="B536" s="92"/>
      <c r="C536" s="135">
        <v>94800</v>
      </c>
      <c r="D536" s="108">
        <f>30845.57-60000-15500</f>
        <v>-44654.43</v>
      </c>
      <c r="E536" s="136"/>
      <c r="F536" s="188">
        <f t="shared" si="145"/>
        <v>50145.57</v>
      </c>
      <c r="G536" s="229"/>
      <c r="H536" s="230"/>
      <c r="I536" s="271">
        <f>F536+G536+H536</f>
        <v>50145.57</v>
      </c>
      <c r="J536" s="305">
        <f>-9598.39</f>
        <v>-9598.39</v>
      </c>
      <c r="K536" s="7"/>
      <c r="L536" s="271">
        <f>I536+J536+K536</f>
        <v>40547.18</v>
      </c>
      <c r="M536" s="21"/>
      <c r="N536" s="7"/>
      <c r="O536" s="22">
        <f>L536+M536+N536</f>
        <v>40547.18</v>
      </c>
      <c r="P536" s="75"/>
      <c r="Q536" s="73">
        <f t="shared" si="148"/>
        <v>40547.18</v>
      </c>
      <c r="R536" s="87"/>
    </row>
    <row r="537" spans="1:18" ht="12.75" hidden="1">
      <c r="A537" s="32" t="s">
        <v>120</v>
      </c>
      <c r="B537" s="92"/>
      <c r="C537" s="135"/>
      <c r="D537" s="108"/>
      <c r="E537" s="136"/>
      <c r="F537" s="188">
        <f t="shared" si="145"/>
        <v>0</v>
      </c>
      <c r="G537" s="229"/>
      <c r="H537" s="230"/>
      <c r="I537" s="271">
        <f>F537+G537+H537</f>
        <v>0</v>
      </c>
      <c r="J537" s="305"/>
      <c r="K537" s="7"/>
      <c r="L537" s="271">
        <f>I537+J537+K537</f>
        <v>0</v>
      </c>
      <c r="M537" s="21"/>
      <c r="N537" s="7"/>
      <c r="O537" s="22">
        <f>L537+M537+N537</f>
        <v>0</v>
      </c>
      <c r="P537" s="75"/>
      <c r="Q537" s="73">
        <f t="shared" si="148"/>
        <v>0</v>
      </c>
      <c r="R537" s="87"/>
    </row>
    <row r="538" spans="1:18" ht="12.75">
      <c r="A538" s="32" t="s">
        <v>113</v>
      </c>
      <c r="B538" s="92"/>
      <c r="C538" s="135"/>
      <c r="D538" s="119">
        <f>2387.81</f>
        <v>2387.81</v>
      </c>
      <c r="E538" s="136"/>
      <c r="F538" s="188">
        <f t="shared" si="145"/>
        <v>2387.81</v>
      </c>
      <c r="G538" s="229"/>
      <c r="H538" s="230"/>
      <c r="I538" s="271">
        <f>F538+G538+H538</f>
        <v>2387.81</v>
      </c>
      <c r="J538" s="305">
        <f>5194.37</f>
        <v>5194.37</v>
      </c>
      <c r="K538" s="7"/>
      <c r="L538" s="271">
        <f>I538+J538+K538</f>
        <v>7582.18</v>
      </c>
      <c r="M538" s="21"/>
      <c r="N538" s="7"/>
      <c r="O538" s="22">
        <f>L538+M538+N538</f>
        <v>7582.18</v>
      </c>
      <c r="P538" s="75"/>
      <c r="Q538" s="73">
        <f t="shared" si="148"/>
        <v>7582.18</v>
      </c>
      <c r="R538" s="87"/>
    </row>
    <row r="539" spans="1:18" ht="12.75">
      <c r="A539" s="33" t="s">
        <v>124</v>
      </c>
      <c r="B539" s="92"/>
      <c r="C539" s="135">
        <f>C540+C541</f>
        <v>5001</v>
      </c>
      <c r="D539" s="108">
        <f aca="true" t="shared" si="157" ref="D539:Q539">D540+D541</f>
        <v>6671.28</v>
      </c>
      <c r="E539" s="136">
        <f t="shared" si="157"/>
        <v>0</v>
      </c>
      <c r="F539" s="188">
        <f t="shared" si="157"/>
        <v>11672.279999999999</v>
      </c>
      <c r="G539" s="229">
        <f t="shared" si="157"/>
        <v>-5000</v>
      </c>
      <c r="H539" s="230">
        <f t="shared" si="157"/>
        <v>0</v>
      </c>
      <c r="I539" s="271">
        <f t="shared" si="157"/>
        <v>6672.28</v>
      </c>
      <c r="J539" s="305">
        <f t="shared" si="157"/>
        <v>0</v>
      </c>
      <c r="K539" s="108">
        <f t="shared" si="157"/>
        <v>0</v>
      </c>
      <c r="L539" s="271">
        <f t="shared" si="157"/>
        <v>6672.28</v>
      </c>
      <c r="M539" s="135">
        <f t="shared" si="157"/>
        <v>0</v>
      </c>
      <c r="N539" s="135">
        <f t="shared" si="157"/>
        <v>0</v>
      </c>
      <c r="O539" s="135">
        <f t="shared" si="157"/>
        <v>0</v>
      </c>
      <c r="P539" s="135">
        <f t="shared" si="157"/>
        <v>0</v>
      </c>
      <c r="Q539" s="188">
        <f t="shared" si="157"/>
        <v>0</v>
      </c>
      <c r="R539" s="87"/>
    </row>
    <row r="540" spans="1:18" ht="12.75">
      <c r="A540" s="33" t="s">
        <v>232</v>
      </c>
      <c r="B540" s="92"/>
      <c r="C540" s="135">
        <v>5000</v>
      </c>
      <c r="D540" s="108">
        <f>1641.28</f>
        <v>1641.28</v>
      </c>
      <c r="E540" s="136"/>
      <c r="F540" s="188">
        <f t="shared" si="145"/>
        <v>6641.28</v>
      </c>
      <c r="G540" s="229"/>
      <c r="H540" s="230"/>
      <c r="I540" s="271">
        <f>F540+G540+H540</f>
        <v>6641.28</v>
      </c>
      <c r="J540" s="305"/>
      <c r="K540" s="7"/>
      <c r="L540" s="271">
        <f>I540+J540+K540</f>
        <v>6641.28</v>
      </c>
      <c r="M540" s="21"/>
      <c r="N540" s="7"/>
      <c r="O540" s="22"/>
      <c r="P540" s="75"/>
      <c r="Q540" s="73"/>
      <c r="R540" s="87"/>
    </row>
    <row r="541" spans="1:18" ht="12.75">
      <c r="A541" s="36" t="s">
        <v>271</v>
      </c>
      <c r="B541" s="95"/>
      <c r="C541" s="157">
        <v>1</v>
      </c>
      <c r="D541" s="116">
        <f>5000+30</f>
        <v>5030</v>
      </c>
      <c r="E541" s="214"/>
      <c r="F541" s="224">
        <f t="shared" si="145"/>
        <v>5031</v>
      </c>
      <c r="G541" s="241">
        <f>-5000</f>
        <v>-5000</v>
      </c>
      <c r="H541" s="242"/>
      <c r="I541" s="276">
        <f>F541+G541+H541</f>
        <v>31</v>
      </c>
      <c r="J541" s="309"/>
      <c r="K541" s="10"/>
      <c r="L541" s="271">
        <f>I541+J541+K541</f>
        <v>31</v>
      </c>
      <c r="M541" s="21"/>
      <c r="N541" s="7"/>
      <c r="O541" s="22"/>
      <c r="P541" s="75"/>
      <c r="Q541" s="73"/>
      <c r="R541" s="87"/>
    </row>
    <row r="542" spans="1:18" ht="13.5" thickBot="1">
      <c r="A542" s="45" t="s">
        <v>125</v>
      </c>
      <c r="B542" s="96"/>
      <c r="C542" s="129">
        <v>9568.78</v>
      </c>
      <c r="D542" s="108">
        <f>270</f>
        <v>270</v>
      </c>
      <c r="E542" s="130"/>
      <c r="F542" s="190">
        <f t="shared" si="145"/>
        <v>9838.78</v>
      </c>
      <c r="G542" s="233"/>
      <c r="H542" s="234">
        <f>4154.61</f>
        <v>4154.61</v>
      </c>
      <c r="I542" s="272">
        <f>SUM(F542:H542)</f>
        <v>13993.39</v>
      </c>
      <c r="J542" s="308"/>
      <c r="K542" s="8"/>
      <c r="L542" s="303">
        <f>SUM(I542:K542)</f>
        <v>13993.39</v>
      </c>
      <c r="M542" s="23"/>
      <c r="N542" s="8"/>
      <c r="O542" s="24">
        <f>SUM(L542:N542)</f>
        <v>13993.39</v>
      </c>
      <c r="P542" s="76"/>
      <c r="Q542" s="27">
        <f>O542+P542</f>
        <v>13993.39</v>
      </c>
      <c r="R542" s="87"/>
    </row>
    <row r="543" spans="1:18" ht="15.75" thickBot="1">
      <c r="A543" s="46" t="s">
        <v>126</v>
      </c>
      <c r="B543" s="99"/>
      <c r="C543" s="139">
        <f>+C82+C102+C113+C131+C143+C176+C233+C255+C285+C306+C388+C426+C450+C457+C489+C493+C542+C464+C330+C278</f>
        <v>4869240.36</v>
      </c>
      <c r="D543" s="121">
        <f>+D82+D102+D113+D131+D143+D176+D233+D255+D285+D306+D388+D426+D450+D457+D489+D493+D542+D464+D330+D278</f>
        <v>13201803.469999995</v>
      </c>
      <c r="E543" s="140">
        <f>+E82+E102+E113+E131+E143+E176+E233+E255+E285+E306+E388+E426+E450+E457+E489+E493+E542+E464+E330</f>
        <v>2062</v>
      </c>
      <c r="F543" s="195">
        <f aca="true" t="shared" si="158" ref="F543:L543">+F82+F102+F113+F131+F143+F176+F233+F255+F285+F306+F388+F426+F450+F457+F489+F493+F542+F464+F330+F278</f>
        <v>18073105.829999994</v>
      </c>
      <c r="G543" s="246">
        <f t="shared" si="158"/>
        <v>773487.52</v>
      </c>
      <c r="H543" s="247">
        <f t="shared" si="158"/>
        <v>144981.54</v>
      </c>
      <c r="I543" s="280">
        <f t="shared" si="158"/>
        <v>18991574.890000004</v>
      </c>
      <c r="J543" s="294">
        <f t="shared" si="158"/>
        <v>1045759.9800000001</v>
      </c>
      <c r="K543" s="247">
        <f t="shared" si="158"/>
        <v>0</v>
      </c>
      <c r="L543" s="280">
        <f t="shared" si="158"/>
        <v>20037334.869999997</v>
      </c>
      <c r="M543" s="139" t="e">
        <f>+M82+M102+M113+M131+M143+M176+M233+M255+M285+M306+M388+M426+M450+M457+M489+M493+M542+M464+M330</f>
        <v>#REF!</v>
      </c>
      <c r="N543" s="139" t="e">
        <f>+N82+N102+N113+N131+N143+N176+N233+N255+N285+N306+N388+N426+N450+N457+N489+N493+N542+N464+N330</f>
        <v>#REF!</v>
      </c>
      <c r="O543" s="139" t="e">
        <f>+O82+O102+O113+O131+O143+O176+O233+O255+O285+O306+O388+O426+O450+O457+O489+O493+O542+O464+O330</f>
        <v>#REF!</v>
      </c>
      <c r="P543" s="139" t="e">
        <f>+P82+P102+P113+P131+P143+P176+P233+P255+P285+P306+P388+P426+P450+P457+P489+P493+P542+P464+P330</f>
        <v>#REF!</v>
      </c>
      <c r="Q543" s="195" t="e">
        <f>+Q82+Q102+Q113+Q131+Q143+Q176+Q233+Q255+Q285+Q306+Q388+Q426+Q450+Q457+Q489+Q493+Q542+Q464+Q330</f>
        <v>#REF!</v>
      </c>
      <c r="R543" s="87"/>
    </row>
    <row r="544" spans="1:18" ht="13.5" thickBot="1">
      <c r="A544" s="47" t="s">
        <v>127</v>
      </c>
      <c r="B544" s="99"/>
      <c r="C544" s="161">
        <v>-9568.78</v>
      </c>
      <c r="D544" s="185">
        <f>-270</f>
        <v>-270</v>
      </c>
      <c r="E544" s="175"/>
      <c r="F544" s="225">
        <f t="shared" si="145"/>
        <v>-9838.78</v>
      </c>
      <c r="G544" s="248"/>
      <c r="H544" s="249"/>
      <c r="I544" s="272">
        <f>SUM(F544:H544)</f>
        <v>-9838.78</v>
      </c>
      <c r="J544" s="314"/>
      <c r="K544" s="300"/>
      <c r="L544" s="303">
        <f>SUM(I544:K544)</f>
        <v>-9838.78</v>
      </c>
      <c r="M544" s="161"/>
      <c r="N544" s="161"/>
      <c r="O544" s="161"/>
      <c r="P544" s="161"/>
      <c r="Q544" s="196"/>
      <c r="R544" s="87"/>
    </row>
    <row r="545" spans="1:18" ht="16.5" thickBot="1">
      <c r="A545" s="48" t="s">
        <v>128</v>
      </c>
      <c r="B545" s="99"/>
      <c r="C545" s="162">
        <f aca="true" t="shared" si="159" ref="C545:Q545">C543+C544</f>
        <v>4859671.58</v>
      </c>
      <c r="D545" s="113">
        <f t="shared" si="159"/>
        <v>13201533.469999995</v>
      </c>
      <c r="E545" s="176">
        <f t="shared" si="159"/>
        <v>2062</v>
      </c>
      <c r="F545" s="197">
        <f t="shared" si="159"/>
        <v>18063267.049999993</v>
      </c>
      <c r="G545" s="250">
        <f t="shared" si="159"/>
        <v>773487.52</v>
      </c>
      <c r="H545" s="251">
        <f t="shared" si="159"/>
        <v>144981.54</v>
      </c>
      <c r="I545" s="281">
        <f t="shared" si="159"/>
        <v>18981736.110000003</v>
      </c>
      <c r="J545" s="295">
        <f>J543+J544</f>
        <v>1045759.9800000001</v>
      </c>
      <c r="K545" s="251">
        <f>K543+K544</f>
        <v>0</v>
      </c>
      <c r="L545" s="281">
        <f>L543+L544</f>
        <v>20027496.089999996</v>
      </c>
      <c r="M545" s="162" t="e">
        <f t="shared" si="159"/>
        <v>#REF!</v>
      </c>
      <c r="N545" s="162" t="e">
        <f t="shared" si="159"/>
        <v>#REF!</v>
      </c>
      <c r="O545" s="162" t="e">
        <f t="shared" si="159"/>
        <v>#REF!</v>
      </c>
      <c r="P545" s="162" t="e">
        <f t="shared" si="159"/>
        <v>#REF!</v>
      </c>
      <c r="Q545" s="197" t="e">
        <f t="shared" si="159"/>
        <v>#REF!</v>
      </c>
      <c r="R545" s="87"/>
    </row>
    <row r="546" spans="1:18" ht="15.75">
      <c r="A546" s="49" t="s">
        <v>26</v>
      </c>
      <c r="B546" s="100"/>
      <c r="C546" s="163"/>
      <c r="D546" s="122"/>
      <c r="E546" s="177"/>
      <c r="F546" s="198"/>
      <c r="G546" s="252"/>
      <c r="H546" s="253"/>
      <c r="I546" s="282"/>
      <c r="J546" s="296"/>
      <c r="K546" s="253"/>
      <c r="L546" s="282"/>
      <c r="M546" s="163"/>
      <c r="N546" s="163"/>
      <c r="O546" s="163"/>
      <c r="P546" s="163"/>
      <c r="Q546" s="198"/>
      <c r="R546" s="87"/>
    </row>
    <row r="547" spans="1:18" ht="15.75">
      <c r="A547" s="50" t="s">
        <v>221</v>
      </c>
      <c r="B547" s="101"/>
      <c r="C547" s="164">
        <f>+C83+C103+C114+C132+C144+C177+C234+C256+C286+C307+C389+C427+C451+C458+C490+C495+C542+C544+C465+C331+C279</f>
        <v>4013386.4899999998</v>
      </c>
      <c r="D547" s="205">
        <f>+D83+D103+D114+D132+D144+D177+D234+D256+D286+D307+D389+D427+D451+D458+D490+D495+D542+D544+D465+D331+D279</f>
        <v>10730848.969999997</v>
      </c>
      <c r="E547" s="178">
        <f>+E83+E103+E114+E132+E144+E177+E234+E256+E286+E307+E389+E427+E451+E458+E490+E495+E542+E544+E465+E331</f>
        <v>710.5</v>
      </c>
      <c r="F547" s="199">
        <f aca="true" t="shared" si="160" ref="F547:L547">+F83+F103+F114+F132+F144+F177+F234+F256+F286+F307+F389+F427+F451+F458+F490+F495+F542+F544+F465+F331+F279</f>
        <v>14744945.959999999</v>
      </c>
      <c r="G547" s="254">
        <f t="shared" si="160"/>
        <v>403481.12999999995</v>
      </c>
      <c r="H547" s="255">
        <f t="shared" si="160"/>
        <v>40836.55</v>
      </c>
      <c r="I547" s="283">
        <f t="shared" si="160"/>
        <v>15189263.640000002</v>
      </c>
      <c r="J547" s="297">
        <f t="shared" si="160"/>
        <v>742485.72</v>
      </c>
      <c r="K547" s="255">
        <f t="shared" si="160"/>
        <v>0</v>
      </c>
      <c r="L547" s="283">
        <f t="shared" si="160"/>
        <v>15931749.359999996</v>
      </c>
      <c r="M547" s="164">
        <f>+M83+M103+M114+M132+M144+M177+M234+M256+M286+M307+M389+M427+M451+M458+M490+M495+M542+M544+M465+M331</f>
        <v>0</v>
      </c>
      <c r="N547" s="164">
        <f>+N83+N103+N114+N132+N144+N177+N234+N256+N286+N307+N389+N427+N451+N458+N490+N495+N542+N544+N465+N331</f>
        <v>0</v>
      </c>
      <c r="O547" s="164">
        <f>+O83+O103+O114+O132+O144+O177+O234+O256+O286+O307+O389+O427+O451+O458+O490+O495+O542+O544+O465+O331</f>
        <v>4961871.699999999</v>
      </c>
      <c r="P547" s="164">
        <f>+P83+P103+P114+P132+P144+P177+P234+P256+P286+P307+P389+P427+P451+P458+P490+P495+P542+P544+P465+P331</f>
        <v>0</v>
      </c>
      <c r="Q547" s="199">
        <f>+Q83+Q103+Q114+Q132+Q144+Q177+Q234+Q256+Q286+Q307+Q389+Q427+Q451+Q458+Q490+Q495+Q542+Q544+Q465+Q331</f>
        <v>4961871.699999999</v>
      </c>
      <c r="R547" s="87"/>
    </row>
    <row r="548" spans="1:18" ht="16.5" thickBot="1">
      <c r="A548" s="38" t="s">
        <v>222</v>
      </c>
      <c r="B548" s="102"/>
      <c r="C548" s="165">
        <f>+C92+C110+C126+C137+C166+C221+C248+C271+C299+C326+C421+C441+C454+C496+C479+C356+C282</f>
        <v>846285.09</v>
      </c>
      <c r="D548" s="206">
        <f>+D92+D110+D126+D137+D166+D221+D248+D271+D299+D326+D421+D441+D454+D496+D479+D356+D282</f>
        <v>2470684.5</v>
      </c>
      <c r="E548" s="179">
        <f>+E92+E110+E126+E137+E166+E221+E248+E271+E299+E326+E421+E441+E454+E496+E479+E356</f>
        <v>1351.5</v>
      </c>
      <c r="F548" s="200">
        <f aca="true" t="shared" si="161" ref="F548:L548">+F92+F110+F126+F137+F166+F221+F248+F271+F299+F326+F421+F441+F454+F496+F479+F356+F282</f>
        <v>3318321.09</v>
      </c>
      <c r="G548" s="256">
        <f t="shared" si="161"/>
        <v>370006.39</v>
      </c>
      <c r="H548" s="257">
        <f t="shared" si="161"/>
        <v>104144.99</v>
      </c>
      <c r="I548" s="284">
        <f t="shared" si="161"/>
        <v>3792472.4699999997</v>
      </c>
      <c r="J548" s="298">
        <f t="shared" si="161"/>
        <v>303274.26</v>
      </c>
      <c r="K548" s="257">
        <f t="shared" si="161"/>
        <v>0</v>
      </c>
      <c r="L548" s="284">
        <f t="shared" si="161"/>
        <v>4095746.7299999995</v>
      </c>
      <c r="M548" s="165" t="e">
        <f>+M92+M110+M126+M137+M166+M221+M248+M271+M299+M326+M421+M441+M454+M496+M479+M356</f>
        <v>#REF!</v>
      </c>
      <c r="N548" s="165" t="e">
        <f>+N92+N110+N126+N137+N166+N221+N248+N271+N299+N326+N421+N441+N454+N496+N479+N356</f>
        <v>#REF!</v>
      </c>
      <c r="O548" s="165" t="e">
        <f>+O92+O110+O126+O137+O166+O221+O248+O271+O299+O326+O421+O441+O454+O496+O479+O356</f>
        <v>#REF!</v>
      </c>
      <c r="P548" s="165" t="e">
        <f>+P92+P110+P126+P137+P166+P221+P248+P271+P299+P326+P421+P441+P454+P496+P479+P356</f>
        <v>#REF!</v>
      </c>
      <c r="Q548" s="200" t="e">
        <f>+Q92+Q110+Q126+Q137+Q166+Q221+Q248+Q271+Q299+Q326+Q421+Q441+Q454+Q496+Q479+Q356</f>
        <v>#REF!</v>
      </c>
      <c r="R548" s="87"/>
    </row>
    <row r="549" spans="1:18" ht="16.5" thickBot="1">
      <c r="A549" s="50" t="s">
        <v>215</v>
      </c>
      <c r="B549" s="101"/>
      <c r="C549" s="139">
        <f aca="true" t="shared" si="162" ref="C549:Q549">C80-C545</f>
        <v>0</v>
      </c>
      <c r="D549" s="121">
        <f t="shared" si="162"/>
        <v>-2325927.1899999976</v>
      </c>
      <c r="E549" s="140">
        <f t="shared" si="162"/>
        <v>-2062</v>
      </c>
      <c r="F549" s="195">
        <f t="shared" si="162"/>
        <v>-2327989.1899999958</v>
      </c>
      <c r="G549" s="246">
        <f t="shared" si="162"/>
        <v>-17582.099999999977</v>
      </c>
      <c r="H549" s="247">
        <f t="shared" si="162"/>
        <v>-56669.5</v>
      </c>
      <c r="I549" s="280">
        <f t="shared" si="162"/>
        <v>-2402240.7900000047</v>
      </c>
      <c r="J549" s="294">
        <f t="shared" si="162"/>
        <v>0</v>
      </c>
      <c r="K549" s="247">
        <f t="shared" si="162"/>
        <v>0</v>
      </c>
      <c r="L549" s="280">
        <f t="shared" si="162"/>
        <v>-2402240.789999999</v>
      </c>
      <c r="M549" s="139" t="e">
        <f t="shared" si="162"/>
        <v>#REF!</v>
      </c>
      <c r="N549" s="139" t="e">
        <f t="shared" si="162"/>
        <v>#REF!</v>
      </c>
      <c r="O549" s="139" t="e">
        <f t="shared" si="162"/>
        <v>#REF!</v>
      </c>
      <c r="P549" s="139" t="e">
        <f t="shared" si="162"/>
        <v>#REF!</v>
      </c>
      <c r="Q549" s="195" t="e">
        <f t="shared" si="162"/>
        <v>#REF!</v>
      </c>
      <c r="R549" s="87"/>
    </row>
    <row r="550" spans="1:18" ht="15.75">
      <c r="A550" s="49" t="s">
        <v>223</v>
      </c>
      <c r="B550" s="100"/>
      <c r="C550" s="166">
        <f>SUM(C552:C555)</f>
        <v>0</v>
      </c>
      <c r="D550" s="123">
        <f aca="true" t="shared" si="163" ref="D550:Q550">SUM(D552:D555)</f>
        <v>2325927.1900000004</v>
      </c>
      <c r="E550" s="180">
        <f t="shared" si="163"/>
        <v>2062</v>
      </c>
      <c r="F550" s="201">
        <f t="shared" si="163"/>
        <v>2327989.1900000004</v>
      </c>
      <c r="G550" s="258">
        <f t="shared" si="163"/>
        <v>17582.1</v>
      </c>
      <c r="H550" s="259">
        <f t="shared" si="163"/>
        <v>56669.5</v>
      </c>
      <c r="I550" s="285">
        <f t="shared" si="163"/>
        <v>2402240.79</v>
      </c>
      <c r="J550" s="299">
        <f>SUM(J552:J555)</f>
        <v>0</v>
      </c>
      <c r="K550" s="259">
        <f>SUM(K552:K555)</f>
        <v>0</v>
      </c>
      <c r="L550" s="285">
        <f>SUM(L552:L555)</f>
        <v>2402240.79</v>
      </c>
      <c r="M550" s="128">
        <f t="shared" si="163"/>
        <v>0</v>
      </c>
      <c r="N550" s="128">
        <f t="shared" si="163"/>
        <v>0</v>
      </c>
      <c r="O550" s="128">
        <f t="shared" si="163"/>
        <v>2402240.79</v>
      </c>
      <c r="P550" s="128">
        <f t="shared" si="163"/>
        <v>0</v>
      </c>
      <c r="Q550" s="201">
        <f t="shared" si="163"/>
        <v>2402240.79</v>
      </c>
      <c r="R550" s="87"/>
    </row>
    <row r="551" spans="1:18" ht="12.75" customHeight="1">
      <c r="A551" s="51" t="s">
        <v>26</v>
      </c>
      <c r="B551" s="103"/>
      <c r="C551" s="167"/>
      <c r="D551" s="124"/>
      <c r="E551" s="218"/>
      <c r="F551" s="226"/>
      <c r="G551" s="260"/>
      <c r="H551" s="261"/>
      <c r="I551" s="286"/>
      <c r="J551" s="315"/>
      <c r="K551" s="11"/>
      <c r="L551" s="286"/>
      <c r="M551" s="14"/>
      <c r="N551" s="11"/>
      <c r="O551" s="59"/>
      <c r="P551" s="75"/>
      <c r="Q551" s="73"/>
      <c r="R551" s="87"/>
    </row>
    <row r="552" spans="1:18" ht="14.25">
      <c r="A552" s="51" t="s">
        <v>129</v>
      </c>
      <c r="B552" s="103"/>
      <c r="C552" s="168"/>
      <c r="D552" s="147">
        <f>269393.98</f>
        <v>269393.98</v>
      </c>
      <c r="E552" s="219"/>
      <c r="F552" s="226">
        <f>SUM(C552:E552)</f>
        <v>269393.98</v>
      </c>
      <c r="G552" s="262"/>
      <c r="H552" s="263"/>
      <c r="I552" s="286">
        <f>SUM(F552:H552)</f>
        <v>269393.98</v>
      </c>
      <c r="J552" s="316"/>
      <c r="K552" s="12"/>
      <c r="L552" s="286">
        <f>SUM(I552:K552)</f>
        <v>269393.98</v>
      </c>
      <c r="M552" s="15"/>
      <c r="N552" s="12"/>
      <c r="O552" s="59">
        <f>SUM(L552:N552)</f>
        <v>269393.98</v>
      </c>
      <c r="P552" s="75"/>
      <c r="Q552" s="73">
        <f t="shared" si="148"/>
        <v>269393.98</v>
      </c>
      <c r="R552" s="87"/>
    </row>
    <row r="553" spans="1:18" ht="14.25" hidden="1">
      <c r="A553" s="52" t="s">
        <v>137</v>
      </c>
      <c r="B553" s="103"/>
      <c r="C553" s="168"/>
      <c r="D553" s="147"/>
      <c r="E553" s="219"/>
      <c r="F553" s="226">
        <f>SUM(C553:E553)</f>
        <v>0</v>
      </c>
      <c r="G553" s="262"/>
      <c r="H553" s="263"/>
      <c r="I553" s="286">
        <f>SUM(F553:H553)</f>
        <v>0</v>
      </c>
      <c r="J553" s="316"/>
      <c r="K553" s="12"/>
      <c r="L553" s="286">
        <f>SUM(I553:K553)</f>
        <v>0</v>
      </c>
      <c r="M553" s="15"/>
      <c r="N553" s="12"/>
      <c r="O553" s="59">
        <f>SUM(L553:N553)</f>
        <v>0</v>
      </c>
      <c r="P553" s="75"/>
      <c r="Q553" s="73">
        <f t="shared" si="148"/>
        <v>0</v>
      </c>
      <c r="R553" s="87"/>
    </row>
    <row r="554" spans="1:18" ht="15" thickBot="1">
      <c r="A554" s="52" t="s">
        <v>130</v>
      </c>
      <c r="B554" s="267"/>
      <c r="C554" s="168"/>
      <c r="D554" s="147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54" s="219">
        <f>50+2012</f>
        <v>2062</v>
      </c>
      <c r="F554" s="226">
        <f>SUM(C554:E554)</f>
        <v>2058595.2100000002</v>
      </c>
      <c r="G554" s="262">
        <f>3000+1092.1+1600+4000+7890</f>
        <v>17582.1</v>
      </c>
      <c r="H554" s="263">
        <f>22525+1600+1200+8618.75+18571.14</f>
        <v>52514.89</v>
      </c>
      <c r="I554" s="286">
        <f>SUM(F554:H554)</f>
        <v>2128692.2</v>
      </c>
      <c r="J554" s="317"/>
      <c r="K554" s="12"/>
      <c r="L554" s="286">
        <f>SUM(I554:K554)</f>
        <v>2128692.2</v>
      </c>
      <c r="M554" s="63"/>
      <c r="N554" s="13"/>
      <c r="O554" s="61">
        <f>SUM(L554:N554)</f>
        <v>2128692.2</v>
      </c>
      <c r="P554" s="77"/>
      <c r="Q554" s="74">
        <f t="shared" si="148"/>
        <v>2128692.2</v>
      </c>
      <c r="R554" s="87"/>
    </row>
    <row r="555" spans="1:18" ht="15" thickBot="1">
      <c r="A555" s="64" t="s">
        <v>149</v>
      </c>
      <c r="B555" s="104"/>
      <c r="C555" s="169"/>
      <c r="D555" s="148" t="s">
        <v>195</v>
      </c>
      <c r="E555" s="268"/>
      <c r="F555" s="269">
        <f>SUM(C555:E555)</f>
        <v>0</v>
      </c>
      <c r="G555" s="265"/>
      <c r="H555" s="264">
        <f>4154.61</f>
        <v>4154.61</v>
      </c>
      <c r="I555" s="287">
        <f>SUM(F555:H555)</f>
        <v>4154.61</v>
      </c>
      <c r="J555" s="318">
        <v>0</v>
      </c>
      <c r="K555" s="13">
        <v>0</v>
      </c>
      <c r="L555" s="287">
        <f>SUM(I555:K555)</f>
        <v>4154.61</v>
      </c>
      <c r="M555" s="63"/>
      <c r="N555" s="13"/>
      <c r="O555" s="61">
        <f>SUM(L555:N555)</f>
        <v>4154.61</v>
      </c>
      <c r="P555" s="77"/>
      <c r="Q555" s="74">
        <f t="shared" si="148"/>
        <v>4154.61</v>
      </c>
      <c r="R555" s="87"/>
    </row>
    <row r="556" spans="2:17" ht="12.75" hidden="1">
      <c r="B556" s="105"/>
      <c r="C556" s="120">
        <f aca="true" t="shared" si="164" ref="C556:Q556">C80+C550-C545</f>
        <v>0</v>
      </c>
      <c r="D556" s="120">
        <f t="shared" si="164"/>
        <v>0</v>
      </c>
      <c r="E556" s="120">
        <f t="shared" si="164"/>
        <v>0</v>
      </c>
      <c r="F556" s="120">
        <f t="shared" si="164"/>
        <v>0</v>
      </c>
      <c r="G556" s="138">
        <f t="shared" si="164"/>
        <v>0</v>
      </c>
      <c r="H556" s="138">
        <f t="shared" si="164"/>
        <v>0</v>
      </c>
      <c r="I556" s="138">
        <f t="shared" si="164"/>
        <v>0</v>
      </c>
      <c r="J556" s="138">
        <f t="shared" si="164"/>
        <v>0</v>
      </c>
      <c r="K556" s="62">
        <f t="shared" si="164"/>
        <v>0</v>
      </c>
      <c r="L556" s="138">
        <f t="shared" si="164"/>
        <v>0</v>
      </c>
      <c r="M556" s="62" t="e">
        <f t="shared" si="164"/>
        <v>#REF!</v>
      </c>
      <c r="N556" s="62" t="e">
        <f t="shared" si="164"/>
        <v>#REF!</v>
      </c>
      <c r="O556" s="62" t="e">
        <f t="shared" si="164"/>
        <v>#REF!</v>
      </c>
      <c r="P556" s="62" t="e">
        <f t="shared" si="164"/>
        <v>#REF!</v>
      </c>
      <c r="Q556" s="62" t="e">
        <f t="shared" si="164"/>
        <v>#REF!</v>
      </c>
    </row>
    <row r="557" spans="2:16" ht="12.75">
      <c r="B557" s="105"/>
      <c r="J557" s="138"/>
      <c r="P557" s="62"/>
    </row>
    <row r="558" spans="2:16" ht="12.75">
      <c r="B558" s="105"/>
      <c r="D558" s="138"/>
      <c r="I558" s="138"/>
      <c r="J558" s="138"/>
      <c r="P558" s="62"/>
    </row>
    <row r="559" spans="2:16" ht="12.75">
      <c r="B559" s="105"/>
      <c r="I559" s="138"/>
      <c r="J559" s="138"/>
      <c r="P559" s="62"/>
    </row>
    <row r="560" spans="2:16" ht="12.75">
      <c r="B560" s="105"/>
      <c r="I560" s="138"/>
      <c r="J560" s="138"/>
      <c r="P560" s="62"/>
    </row>
    <row r="561" spans="2:16" ht="12.75">
      <c r="B561" s="105"/>
      <c r="J561" s="138"/>
      <c r="P561" s="62"/>
    </row>
    <row r="562" spans="2:16" ht="12.75">
      <c r="B562" s="105"/>
      <c r="J562" s="138"/>
      <c r="P562" s="62"/>
    </row>
    <row r="563" spans="2:16" ht="12.75">
      <c r="B563" s="105"/>
      <c r="P563" s="62"/>
    </row>
    <row r="564" spans="2:16" ht="12.75">
      <c r="B564" s="105"/>
      <c r="P564" s="62"/>
    </row>
    <row r="565" spans="2:16" ht="12.75">
      <c r="B565" s="105"/>
      <c r="P565" s="62"/>
    </row>
    <row r="566" spans="2:16" ht="12.75">
      <c r="B566" s="105"/>
      <c r="P566" s="62"/>
    </row>
    <row r="567" spans="2:16" ht="12.75">
      <c r="B567" s="105"/>
      <c r="P567" s="62"/>
    </row>
    <row r="568" spans="2:16" ht="12.75">
      <c r="B568" s="105"/>
      <c r="P568" s="62"/>
    </row>
    <row r="569" spans="2:16" ht="12.75">
      <c r="B569" s="105"/>
      <c r="P569" s="62"/>
    </row>
    <row r="570" spans="2:16" ht="12.75">
      <c r="B570" s="105"/>
      <c r="P570" s="62"/>
    </row>
    <row r="571" spans="2:16" ht="12.75">
      <c r="B571" s="105"/>
      <c r="P571" s="62"/>
    </row>
    <row r="572" spans="2:16" ht="12.75">
      <c r="B572" s="105"/>
      <c r="P572" s="62"/>
    </row>
    <row r="573" spans="2:16" ht="12.75">
      <c r="B573" s="105"/>
      <c r="P573" s="62"/>
    </row>
    <row r="574" ht="12.75">
      <c r="P574" s="62"/>
    </row>
    <row r="575" ht="12.75">
      <c r="P575" s="62"/>
    </row>
    <row r="576" ht="12.75">
      <c r="P576" s="62"/>
    </row>
    <row r="577" ht="12.75">
      <c r="P577" s="62"/>
    </row>
    <row r="578" ht="12.75">
      <c r="P578" s="62"/>
    </row>
    <row r="579" ht="12.75">
      <c r="P579" s="62"/>
    </row>
    <row r="580" ht="12.75">
      <c r="P580" s="62"/>
    </row>
    <row r="581" ht="12.75">
      <c r="P581" s="62"/>
    </row>
    <row r="582" ht="12.75">
      <c r="P582" s="62"/>
    </row>
    <row r="583" ht="12.75">
      <c r="P583" s="62"/>
    </row>
    <row r="584" ht="12.75">
      <c r="P584" s="62"/>
    </row>
    <row r="585" ht="12.75">
      <c r="P585" s="62"/>
    </row>
    <row r="586" ht="12.75">
      <c r="P586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80" r:id="rId1"/>
  <headerFooter alignWithMargins="0">
    <oddFooter>&amp;CStránka &amp;P</oddFooter>
  </headerFooter>
  <rowBreaks count="5" manualBreakCount="5">
    <brk id="80" max="8" man="1"/>
    <brk id="206" max="11" man="1"/>
    <brk id="298" max="11" man="1"/>
    <brk id="394" max="8" man="1"/>
    <brk id="4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6"/>
  <sheetViews>
    <sheetView tabSelected="1" zoomScale="110" zoomScaleNormal="110" zoomScaleSheetLayoutView="69" zoomScalePageLayoutView="0" workbookViewId="0" topLeftCell="A1">
      <pane xSplit="1" ySplit="9" topLeftCell="C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3" sqref="J23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hidden="1" customWidth="1"/>
    <col min="7" max="7" width="13.125" style="0" hidden="1" customWidth="1"/>
    <col min="8" max="8" width="12.75390625" style="0" hidden="1" customWidth="1"/>
    <col min="9" max="9" width="16.125" style="0" customWidth="1"/>
    <col min="10" max="10" width="14.875" style="0" customWidth="1"/>
    <col min="11" max="11" width="13.00390625" style="0" customWidth="1"/>
    <col min="12" max="12" width="16.25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0.37109375" style="0" hidden="1" customWidth="1"/>
    <col min="18" max="18" width="17.75390625" style="0" customWidth="1"/>
    <col min="19" max="19" width="15.625" style="0" customWidth="1"/>
    <col min="20" max="20" width="16.625" style="0" customWidth="1"/>
  </cols>
  <sheetData>
    <row r="1" spans="3:17" ht="12.75">
      <c r="C1" s="1"/>
      <c r="D1" s="1"/>
      <c r="E1" s="1"/>
      <c r="F1" s="2"/>
      <c r="I1" s="2"/>
      <c r="L1" s="2" t="s">
        <v>134</v>
      </c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.75">
      <c r="A3" s="336" t="s">
        <v>239</v>
      </c>
      <c r="B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5.75">
      <c r="A4" s="338" t="s">
        <v>309</v>
      </c>
      <c r="B4" s="338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15">
      <c r="A5" s="339" t="s">
        <v>0</v>
      </c>
      <c r="B5" s="339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12.75">
      <c r="A6" s="340" t="s">
        <v>1</v>
      </c>
      <c r="B6" s="340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3" ht="18" customHeight="1" thickBot="1">
      <c r="A7" s="3"/>
      <c r="B7" s="3"/>
      <c r="C7" s="4"/>
      <c r="D7" s="131"/>
      <c r="E7" s="4"/>
      <c r="F7" s="4"/>
      <c r="J7" s="66"/>
      <c r="M7" s="60"/>
    </row>
    <row r="8" spans="1:18" ht="12.75">
      <c r="A8" s="341" t="s">
        <v>2</v>
      </c>
      <c r="B8" s="82" t="s">
        <v>227</v>
      </c>
      <c r="C8" s="152" t="s">
        <v>3</v>
      </c>
      <c r="D8" s="17" t="s">
        <v>4</v>
      </c>
      <c r="E8" s="170" t="s">
        <v>5</v>
      </c>
      <c r="F8" s="220" t="s">
        <v>6</v>
      </c>
      <c r="G8" s="16" t="s">
        <v>7</v>
      </c>
      <c r="H8" s="17" t="s">
        <v>5</v>
      </c>
      <c r="I8" s="18" t="s">
        <v>6</v>
      </c>
      <c r="J8" s="170" t="s">
        <v>8</v>
      </c>
      <c r="K8" s="17" t="s">
        <v>5</v>
      </c>
      <c r="L8" s="18" t="s">
        <v>6</v>
      </c>
      <c r="M8" s="16" t="s">
        <v>9</v>
      </c>
      <c r="N8" s="17" t="s">
        <v>5</v>
      </c>
      <c r="O8" s="18" t="s">
        <v>6</v>
      </c>
      <c r="P8" s="16" t="s">
        <v>159</v>
      </c>
      <c r="Q8" s="68" t="s">
        <v>6</v>
      </c>
      <c r="R8" s="87"/>
    </row>
    <row r="9" spans="1:18" ht="13.5" thickBot="1">
      <c r="A9" s="342"/>
      <c r="B9" s="145" t="s">
        <v>174</v>
      </c>
      <c r="C9" s="153" t="s">
        <v>10</v>
      </c>
      <c r="D9" s="57" t="s">
        <v>11</v>
      </c>
      <c r="E9" s="171" t="s">
        <v>12</v>
      </c>
      <c r="F9" s="221" t="s">
        <v>13</v>
      </c>
      <c r="G9" s="56" t="s">
        <v>11</v>
      </c>
      <c r="H9" s="57" t="s">
        <v>12</v>
      </c>
      <c r="I9" s="58" t="s">
        <v>14</v>
      </c>
      <c r="J9" s="171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58" t="s">
        <v>16</v>
      </c>
      <c r="P9" s="56" t="s">
        <v>11</v>
      </c>
      <c r="Q9" s="69" t="s">
        <v>160</v>
      </c>
      <c r="R9" s="87"/>
    </row>
    <row r="10" spans="1:18" ht="15.75" customHeight="1">
      <c r="A10" s="54" t="s">
        <v>17</v>
      </c>
      <c r="B10" s="83"/>
      <c r="C10" s="154"/>
      <c r="D10" s="5"/>
      <c r="E10" s="172"/>
      <c r="F10" s="222"/>
      <c r="G10" s="28"/>
      <c r="H10" s="5"/>
      <c r="I10" s="55"/>
      <c r="J10" s="172"/>
      <c r="K10" s="5"/>
      <c r="L10" s="55"/>
      <c r="M10" s="28"/>
      <c r="N10" s="5"/>
      <c r="O10" s="55"/>
      <c r="P10" s="71"/>
      <c r="Q10" s="72"/>
      <c r="R10" s="87"/>
    </row>
    <row r="11" spans="1:18" ht="12.75">
      <c r="A11" s="30" t="s">
        <v>217</v>
      </c>
      <c r="B11" s="84"/>
      <c r="C11" s="142">
        <f>C13+C14+C15+C16</f>
        <v>4500000</v>
      </c>
      <c r="D11" s="107">
        <f>D13+D14+D15+D16</f>
        <v>34675.19</v>
      </c>
      <c r="E11" s="143">
        <f>E13+E14+E15</f>
        <v>0</v>
      </c>
      <c r="F11" s="187">
        <f aca="true" t="shared" si="0" ref="F11:L11">F13+F14+F15+F16</f>
        <v>4534675.19</v>
      </c>
      <c r="G11" s="227">
        <f t="shared" si="0"/>
        <v>55460.4</v>
      </c>
      <c r="H11" s="228">
        <f t="shared" si="0"/>
        <v>200</v>
      </c>
      <c r="I11" s="270">
        <f t="shared" si="0"/>
        <v>4590335.59</v>
      </c>
      <c r="J11" s="288">
        <f t="shared" si="0"/>
        <v>169033.30000000002</v>
      </c>
      <c r="K11" s="228">
        <f t="shared" si="0"/>
        <v>17792.32</v>
      </c>
      <c r="L11" s="270">
        <f t="shared" si="0"/>
        <v>4777161.21</v>
      </c>
      <c r="M11" s="143">
        <f>M13+M14+M15</f>
        <v>0</v>
      </c>
      <c r="N11" s="143">
        <f>N13+N14+N15</f>
        <v>0</v>
      </c>
      <c r="O11" s="143">
        <f>O13+O14+O15</f>
        <v>32755.340000000004</v>
      </c>
      <c r="P11" s="143">
        <f>P13+P14+P15</f>
        <v>0</v>
      </c>
      <c r="Q11" s="151">
        <f>Q13+Q14+Q15</f>
        <v>32755.340000000004</v>
      </c>
      <c r="R11" s="87"/>
    </row>
    <row r="12" spans="1:18" ht="12.75">
      <c r="A12" s="31" t="s">
        <v>18</v>
      </c>
      <c r="B12" s="85"/>
      <c r="C12" s="142"/>
      <c r="D12" s="107"/>
      <c r="E12" s="143"/>
      <c r="F12" s="187"/>
      <c r="G12" s="227"/>
      <c r="H12" s="228"/>
      <c r="I12" s="270"/>
      <c r="J12" s="304"/>
      <c r="K12" s="6"/>
      <c r="L12" s="270"/>
      <c r="M12" s="19"/>
      <c r="N12" s="6"/>
      <c r="O12" s="20"/>
      <c r="P12" s="75"/>
      <c r="Q12" s="73"/>
      <c r="R12" s="87"/>
    </row>
    <row r="13" spans="1:18" ht="12.75">
      <c r="A13" s="93" t="s">
        <v>224</v>
      </c>
      <c r="B13" s="85"/>
      <c r="C13" s="135">
        <v>4467580</v>
      </c>
      <c r="D13" s="108"/>
      <c r="E13" s="143"/>
      <c r="F13" s="188">
        <f>C13+D13+E13</f>
        <v>4467580</v>
      </c>
      <c r="G13" s="229">
        <f>4840+232+307+12000+4629.25+7800+24572+3000</f>
        <v>57380.25</v>
      </c>
      <c r="H13" s="230">
        <f>200</f>
        <v>200</v>
      </c>
      <c r="I13" s="271">
        <f>F13+G13+H13</f>
        <v>4525160.25</v>
      </c>
      <c r="J13" s="305">
        <f>3000+1000+55000+9000+13000+1960.7+15000+1200+23000+10000+6000+2800+5000+10000+10000+3000</f>
        <v>168960.7</v>
      </c>
      <c r="K13" s="230">
        <f>1000+2822+1400+11628.79+941.53</f>
        <v>17792.32</v>
      </c>
      <c r="L13" s="271">
        <f>I13+J13+K13</f>
        <v>4711913.2700000005</v>
      </c>
      <c r="M13" s="19"/>
      <c r="N13" s="6"/>
      <c r="O13" s="20"/>
      <c r="P13" s="75"/>
      <c r="Q13" s="73"/>
      <c r="R13" s="87"/>
    </row>
    <row r="14" spans="1:18" ht="12.75">
      <c r="A14" s="32" t="s">
        <v>19</v>
      </c>
      <c r="B14" s="86"/>
      <c r="C14" s="135"/>
      <c r="D14" s="119">
        <f>34675.19</f>
        <v>34675.19</v>
      </c>
      <c r="E14" s="136"/>
      <c r="F14" s="188">
        <f>C14+D14+E14</f>
        <v>34675.19</v>
      </c>
      <c r="G14" s="229">
        <f>-1919.85</f>
        <v>-1919.85</v>
      </c>
      <c r="H14" s="228"/>
      <c r="I14" s="271">
        <f>F14+G14+H14</f>
        <v>32755.340000000004</v>
      </c>
      <c r="J14" s="305"/>
      <c r="K14" s="228"/>
      <c r="L14" s="271">
        <f>I14+J14+K14</f>
        <v>32755.340000000004</v>
      </c>
      <c r="M14" s="21"/>
      <c r="N14" s="6"/>
      <c r="O14" s="22">
        <f>L14+M14+N14</f>
        <v>32755.340000000004</v>
      </c>
      <c r="P14" s="75"/>
      <c r="Q14" s="73">
        <f aca="true" t="shared" si="1" ref="Q14:Q79">O14+P14</f>
        <v>32755.340000000004</v>
      </c>
      <c r="R14" s="87"/>
    </row>
    <row r="15" spans="1:18" ht="12.75">
      <c r="A15" s="93" t="s">
        <v>225</v>
      </c>
      <c r="B15" s="86"/>
      <c r="C15" s="135">
        <v>2420</v>
      </c>
      <c r="D15" s="119"/>
      <c r="E15" s="136"/>
      <c r="F15" s="188">
        <f>C15+D15+E15</f>
        <v>2420</v>
      </c>
      <c r="G15" s="229"/>
      <c r="H15" s="228"/>
      <c r="I15" s="271">
        <f>F15+G15+H15</f>
        <v>2420</v>
      </c>
      <c r="J15" s="305">
        <f>72.6</f>
        <v>72.6</v>
      </c>
      <c r="K15" s="228"/>
      <c r="L15" s="271">
        <f>I15+J15+K15</f>
        <v>2492.6</v>
      </c>
      <c r="M15" s="127"/>
      <c r="N15" s="6"/>
      <c r="O15" s="22"/>
      <c r="P15" s="141"/>
      <c r="Q15" s="73"/>
      <c r="R15" s="87"/>
    </row>
    <row r="16" spans="1:18" ht="12.75">
      <c r="A16" s="93" t="s">
        <v>285</v>
      </c>
      <c r="B16" s="86"/>
      <c r="C16" s="135">
        <v>30000</v>
      </c>
      <c r="D16" s="119"/>
      <c r="E16" s="136"/>
      <c r="F16" s="188">
        <f>C16+D16+E16</f>
        <v>30000</v>
      </c>
      <c r="G16" s="229"/>
      <c r="H16" s="228"/>
      <c r="I16" s="271">
        <f>F16+G16+H16</f>
        <v>30000</v>
      </c>
      <c r="J16" s="305"/>
      <c r="K16" s="228"/>
      <c r="L16" s="271">
        <f>I16+J16+K16</f>
        <v>30000</v>
      </c>
      <c r="M16" s="127"/>
      <c r="N16" s="203"/>
      <c r="O16" s="81"/>
      <c r="P16" s="141"/>
      <c r="Q16" s="73"/>
      <c r="R16" s="87"/>
    </row>
    <row r="17" spans="1:18" ht="12.75">
      <c r="A17" s="30" t="s">
        <v>218</v>
      </c>
      <c r="B17" s="84"/>
      <c r="C17" s="142">
        <f aca="true" t="shared" si="2" ref="C17:Q17">SUM(C19:C24)+C31</f>
        <v>240864.88</v>
      </c>
      <c r="D17" s="107">
        <f t="shared" si="2"/>
        <v>18107.46</v>
      </c>
      <c r="E17" s="143">
        <f t="shared" si="2"/>
        <v>0</v>
      </c>
      <c r="F17" s="187">
        <f t="shared" si="2"/>
        <v>258972.34000000003</v>
      </c>
      <c r="G17" s="227">
        <f t="shared" si="2"/>
        <v>44877.26</v>
      </c>
      <c r="H17" s="228">
        <f t="shared" si="2"/>
        <v>80839.93000000001</v>
      </c>
      <c r="I17" s="270">
        <f t="shared" si="2"/>
        <v>384689.52999999997</v>
      </c>
      <c r="J17" s="288">
        <f t="shared" si="2"/>
        <v>42476.63999999999</v>
      </c>
      <c r="K17" s="228">
        <f t="shared" si="2"/>
        <v>0</v>
      </c>
      <c r="L17" s="270">
        <f t="shared" si="2"/>
        <v>427166.17</v>
      </c>
      <c r="M17" s="106">
        <f t="shared" si="2"/>
        <v>0</v>
      </c>
      <c r="N17" s="106">
        <f t="shared" si="2"/>
        <v>0</v>
      </c>
      <c r="O17" s="106">
        <f t="shared" si="2"/>
        <v>409847.57</v>
      </c>
      <c r="P17" s="106">
        <f t="shared" si="2"/>
        <v>0</v>
      </c>
      <c r="Q17" s="187">
        <f t="shared" si="2"/>
        <v>409847.57</v>
      </c>
      <c r="R17" s="87"/>
    </row>
    <row r="18" spans="1:18" ht="10.5" customHeight="1">
      <c r="A18" s="31" t="s">
        <v>20</v>
      </c>
      <c r="B18" s="85"/>
      <c r="C18" s="142"/>
      <c r="D18" s="107"/>
      <c r="E18" s="143"/>
      <c r="F18" s="187"/>
      <c r="G18" s="227"/>
      <c r="H18" s="228"/>
      <c r="I18" s="270"/>
      <c r="J18" s="304"/>
      <c r="K18" s="228"/>
      <c r="L18" s="270"/>
      <c r="M18" s="19"/>
      <c r="N18" s="6"/>
      <c r="O18" s="20"/>
      <c r="P18" s="75"/>
      <c r="Q18" s="73"/>
      <c r="R18" s="87"/>
    </row>
    <row r="19" spans="1:18" ht="12.75">
      <c r="A19" s="32" t="s">
        <v>21</v>
      </c>
      <c r="B19" s="86"/>
      <c r="C19" s="135">
        <v>6000</v>
      </c>
      <c r="D19" s="108"/>
      <c r="E19" s="136"/>
      <c r="F19" s="188">
        <f>C19+D19+E19</f>
        <v>6000</v>
      </c>
      <c r="G19" s="229">
        <f>34.92+1.62</f>
        <v>36.54</v>
      </c>
      <c r="H19" s="230"/>
      <c r="I19" s="271">
        <f>F19+G19+H19</f>
        <v>6036.54</v>
      </c>
      <c r="J19" s="305">
        <f>12.31+10.33</f>
        <v>22.64</v>
      </c>
      <c r="K19" s="230"/>
      <c r="L19" s="271">
        <f>I19+J19+K19</f>
        <v>6059.18</v>
      </c>
      <c r="M19" s="21"/>
      <c r="N19" s="7"/>
      <c r="O19" s="22">
        <f>L19+M19+N19</f>
        <v>6059.18</v>
      </c>
      <c r="P19" s="75"/>
      <c r="Q19" s="73">
        <f t="shared" si="1"/>
        <v>6059.18</v>
      </c>
      <c r="R19" s="87"/>
    </row>
    <row r="20" spans="1:18" ht="12.75">
      <c r="A20" s="93" t="s">
        <v>252</v>
      </c>
      <c r="B20" s="86"/>
      <c r="C20" s="135"/>
      <c r="D20" s="108">
        <f>167.06</f>
        <v>167.06</v>
      </c>
      <c r="E20" s="136"/>
      <c r="F20" s="188">
        <f aca="true" t="shared" si="3" ref="F20:F31">C20+D20+E20</f>
        <v>167.06</v>
      </c>
      <c r="G20" s="229">
        <f>18.55+7114.8+4599.77+5071.73+4967.28+3401.93+6100.66+4039.43</f>
        <v>35314.149999999994</v>
      </c>
      <c r="H20" s="230">
        <f>78872.33</f>
        <v>78872.33</v>
      </c>
      <c r="I20" s="271">
        <f>F20+G20+H20</f>
        <v>114353.54</v>
      </c>
      <c r="J20" s="305">
        <f>958.69+2970.55+7618.15</f>
        <v>11547.39</v>
      </c>
      <c r="K20" s="230"/>
      <c r="L20" s="271">
        <f>I20+J20+K20</f>
        <v>125900.93</v>
      </c>
      <c r="M20" s="21"/>
      <c r="N20" s="7"/>
      <c r="O20" s="22">
        <f>L20+M20+N20</f>
        <v>125900.93</v>
      </c>
      <c r="P20" s="75"/>
      <c r="Q20" s="73">
        <f t="shared" si="1"/>
        <v>125900.93</v>
      </c>
      <c r="R20" s="87"/>
    </row>
    <row r="21" spans="1:18" ht="12.75">
      <c r="A21" s="33" t="s">
        <v>253</v>
      </c>
      <c r="B21" s="87"/>
      <c r="C21" s="135">
        <v>122835.38</v>
      </c>
      <c r="D21" s="108"/>
      <c r="E21" s="136"/>
      <c r="F21" s="188">
        <f t="shared" si="3"/>
        <v>122835.38</v>
      </c>
      <c r="G21" s="229">
        <f>-48.56</f>
        <v>-48.56</v>
      </c>
      <c r="H21" s="230"/>
      <c r="I21" s="271">
        <f>F21+G21+H21</f>
        <v>122786.82</v>
      </c>
      <c r="J21" s="305"/>
      <c r="K21" s="230"/>
      <c r="L21" s="271">
        <f>I21+J21+K21</f>
        <v>122786.82</v>
      </c>
      <c r="M21" s="21"/>
      <c r="N21" s="7"/>
      <c r="O21" s="22">
        <f>L21+M21+N21</f>
        <v>122786.82</v>
      </c>
      <c r="P21" s="75"/>
      <c r="Q21" s="73">
        <f t="shared" si="1"/>
        <v>122786.82</v>
      </c>
      <c r="R21" s="87"/>
    </row>
    <row r="22" spans="1:18" ht="12.75" hidden="1">
      <c r="A22" s="33" t="s">
        <v>254</v>
      </c>
      <c r="B22" s="87"/>
      <c r="C22" s="135"/>
      <c r="D22" s="108"/>
      <c r="E22" s="136"/>
      <c r="F22" s="188">
        <f t="shared" si="3"/>
        <v>0</v>
      </c>
      <c r="G22" s="229"/>
      <c r="H22" s="230"/>
      <c r="I22" s="271"/>
      <c r="J22" s="305"/>
      <c r="K22" s="230"/>
      <c r="L22" s="271"/>
      <c r="M22" s="21"/>
      <c r="N22" s="7"/>
      <c r="O22" s="22"/>
      <c r="P22" s="75"/>
      <c r="Q22" s="73"/>
      <c r="R22" s="87"/>
    </row>
    <row r="23" spans="1:18" ht="12.75">
      <c r="A23" s="33" t="s">
        <v>255</v>
      </c>
      <c r="B23" s="87"/>
      <c r="C23" s="135"/>
      <c r="D23" s="108">
        <f>249.2+610+972.6+2636.68+401.69</f>
        <v>4870.169999999999</v>
      </c>
      <c r="E23" s="136"/>
      <c r="F23" s="188">
        <f t="shared" si="3"/>
        <v>4870.169999999999</v>
      </c>
      <c r="G23" s="229">
        <f>155+4553.82+136.73-15+471.68+53.89+102.5+413.07+42.76+87.95</f>
        <v>6002.4</v>
      </c>
      <c r="H23" s="230">
        <f>20.53</f>
        <v>20.53</v>
      </c>
      <c r="I23" s="271">
        <f>F23+G23+H23</f>
        <v>10893.1</v>
      </c>
      <c r="J23" s="305">
        <f>533+1800.57+80.38+220.7-72.6+1.6+100+20000+5343.92+1654.16+713.5</f>
        <v>30375.23</v>
      </c>
      <c r="K23" s="230"/>
      <c r="L23" s="271">
        <f>I23+J23+K23</f>
        <v>41268.33</v>
      </c>
      <c r="M23" s="29"/>
      <c r="N23" s="7"/>
      <c r="O23" s="22">
        <f>L23+M23+N23</f>
        <v>41268.33</v>
      </c>
      <c r="P23" s="75"/>
      <c r="Q23" s="73">
        <f t="shared" si="1"/>
        <v>41268.33</v>
      </c>
      <c r="R23" s="87"/>
    </row>
    <row r="24" spans="1:18" ht="12.75">
      <c r="A24" s="32" t="s">
        <v>22</v>
      </c>
      <c r="B24" s="86"/>
      <c r="C24" s="135">
        <f>SUM(C25:C30)</f>
        <v>112029.5</v>
      </c>
      <c r="D24" s="108">
        <f>SUM(D25:D30)</f>
        <v>659.71</v>
      </c>
      <c r="E24" s="136">
        <f aca="true" t="shared" si="4" ref="E24:Q24">SUM(E25:E30)</f>
        <v>0</v>
      </c>
      <c r="F24" s="188">
        <f t="shared" si="4"/>
        <v>112689.21000000002</v>
      </c>
      <c r="G24" s="229">
        <f t="shared" si="4"/>
        <v>611.72</v>
      </c>
      <c r="H24" s="230">
        <f t="shared" si="4"/>
        <v>0</v>
      </c>
      <c r="I24" s="271">
        <f t="shared" si="4"/>
        <v>113300.93</v>
      </c>
      <c r="J24" s="289">
        <f t="shared" si="4"/>
        <v>531.38</v>
      </c>
      <c r="K24" s="230">
        <f t="shared" si="4"/>
        <v>0</v>
      </c>
      <c r="L24" s="271">
        <f t="shared" si="4"/>
        <v>113832.31</v>
      </c>
      <c r="M24" s="109">
        <f t="shared" si="4"/>
        <v>0</v>
      </c>
      <c r="N24" s="109">
        <f t="shared" si="4"/>
        <v>0</v>
      </c>
      <c r="O24" s="109">
        <f t="shared" si="4"/>
        <v>113832.31</v>
      </c>
      <c r="P24" s="109">
        <f t="shared" si="4"/>
        <v>0</v>
      </c>
      <c r="Q24" s="188">
        <f t="shared" si="4"/>
        <v>113832.31</v>
      </c>
      <c r="R24" s="87"/>
    </row>
    <row r="25" spans="1:18" ht="12.75">
      <c r="A25" s="32" t="s">
        <v>23</v>
      </c>
      <c r="B25" s="86"/>
      <c r="C25" s="135">
        <v>46111.3</v>
      </c>
      <c r="D25" s="108">
        <f>710.52</f>
        <v>710.52</v>
      </c>
      <c r="E25" s="136"/>
      <c r="F25" s="188">
        <f t="shared" si="3"/>
        <v>46821.82</v>
      </c>
      <c r="G25" s="229">
        <f>39.02</f>
        <v>39.02</v>
      </c>
      <c r="H25" s="230"/>
      <c r="I25" s="271">
        <f aca="true" t="shared" si="5" ref="I25:I31">F25+G25+H25</f>
        <v>46860.84</v>
      </c>
      <c r="J25" s="305">
        <f>531.38</f>
        <v>531.38</v>
      </c>
      <c r="K25" s="230"/>
      <c r="L25" s="271">
        <f aca="true" t="shared" si="6" ref="L25:L31">I25+J25+K25</f>
        <v>47392.219999999994</v>
      </c>
      <c r="M25" s="21"/>
      <c r="N25" s="7"/>
      <c r="O25" s="22">
        <f aca="true" t="shared" si="7" ref="O25:O30">L25+M25+N25</f>
        <v>47392.219999999994</v>
      </c>
      <c r="P25" s="75"/>
      <c r="Q25" s="73">
        <f t="shared" si="1"/>
        <v>47392.219999999994</v>
      </c>
      <c r="R25" s="87"/>
    </row>
    <row r="26" spans="1:18" ht="12.75">
      <c r="A26" s="33" t="s">
        <v>146</v>
      </c>
      <c r="B26" s="87"/>
      <c r="C26" s="135">
        <v>912.69</v>
      </c>
      <c r="D26" s="108"/>
      <c r="E26" s="136"/>
      <c r="F26" s="188">
        <f t="shared" si="3"/>
        <v>912.69</v>
      </c>
      <c r="G26" s="229"/>
      <c r="H26" s="230"/>
      <c r="I26" s="271">
        <f t="shared" si="5"/>
        <v>912.69</v>
      </c>
      <c r="J26" s="305"/>
      <c r="K26" s="230"/>
      <c r="L26" s="271">
        <f t="shared" si="6"/>
        <v>912.69</v>
      </c>
      <c r="M26" s="21"/>
      <c r="N26" s="7"/>
      <c r="O26" s="22">
        <f t="shared" si="7"/>
        <v>912.69</v>
      </c>
      <c r="P26" s="75"/>
      <c r="Q26" s="73">
        <f t="shared" si="1"/>
        <v>912.69</v>
      </c>
      <c r="R26" s="87"/>
    </row>
    <row r="27" spans="1:18" ht="12.75">
      <c r="A27" s="32" t="s">
        <v>24</v>
      </c>
      <c r="B27" s="86"/>
      <c r="C27" s="135">
        <v>24789</v>
      </c>
      <c r="D27" s="108"/>
      <c r="E27" s="136"/>
      <c r="F27" s="188">
        <f t="shared" si="3"/>
        <v>24789</v>
      </c>
      <c r="G27" s="229"/>
      <c r="H27" s="230"/>
      <c r="I27" s="271">
        <f t="shared" si="5"/>
        <v>24789</v>
      </c>
      <c r="J27" s="305"/>
      <c r="K27" s="230"/>
      <c r="L27" s="271">
        <f t="shared" si="6"/>
        <v>24789</v>
      </c>
      <c r="M27" s="21"/>
      <c r="N27" s="7"/>
      <c r="O27" s="22">
        <f t="shared" si="7"/>
        <v>24789</v>
      </c>
      <c r="P27" s="75"/>
      <c r="Q27" s="73">
        <f t="shared" si="1"/>
        <v>24789</v>
      </c>
      <c r="R27" s="87"/>
    </row>
    <row r="28" spans="1:18" ht="12.75">
      <c r="A28" s="33" t="s">
        <v>147</v>
      </c>
      <c r="B28" s="87"/>
      <c r="C28" s="135">
        <v>9857.2</v>
      </c>
      <c r="D28" s="108"/>
      <c r="E28" s="136"/>
      <c r="F28" s="188">
        <f t="shared" si="3"/>
        <v>9857.2</v>
      </c>
      <c r="G28" s="229">
        <f>572.7</f>
        <v>572.7</v>
      </c>
      <c r="H28" s="230"/>
      <c r="I28" s="271">
        <f t="shared" si="5"/>
        <v>10429.900000000001</v>
      </c>
      <c r="J28" s="305"/>
      <c r="K28" s="230"/>
      <c r="L28" s="271">
        <f t="shared" si="6"/>
        <v>10429.900000000001</v>
      </c>
      <c r="M28" s="21"/>
      <c r="N28" s="7"/>
      <c r="O28" s="22">
        <f t="shared" si="7"/>
        <v>10429.900000000001</v>
      </c>
      <c r="P28" s="75"/>
      <c r="Q28" s="73">
        <f t="shared" si="1"/>
        <v>10429.900000000001</v>
      </c>
      <c r="R28" s="87"/>
    </row>
    <row r="29" spans="1:18" ht="12.75">
      <c r="A29" s="33" t="s">
        <v>240</v>
      </c>
      <c r="B29" s="87"/>
      <c r="C29" s="135">
        <v>420.41</v>
      </c>
      <c r="D29" s="108">
        <f>-50.81</f>
        <v>-50.81</v>
      </c>
      <c r="E29" s="136"/>
      <c r="F29" s="188">
        <f t="shared" si="3"/>
        <v>369.6</v>
      </c>
      <c r="G29" s="229"/>
      <c r="H29" s="230"/>
      <c r="I29" s="271">
        <f t="shared" si="5"/>
        <v>369.6</v>
      </c>
      <c r="J29" s="305"/>
      <c r="K29" s="230"/>
      <c r="L29" s="271">
        <f t="shared" si="6"/>
        <v>369.6</v>
      </c>
      <c r="M29" s="21"/>
      <c r="N29" s="7"/>
      <c r="O29" s="22">
        <f t="shared" si="7"/>
        <v>369.6</v>
      </c>
      <c r="P29" s="75"/>
      <c r="Q29" s="73">
        <f t="shared" si="1"/>
        <v>369.6</v>
      </c>
      <c r="R29" s="87"/>
    </row>
    <row r="30" spans="1:18" ht="12.75">
      <c r="A30" s="33" t="s">
        <v>148</v>
      </c>
      <c r="B30" s="87"/>
      <c r="C30" s="135">
        <v>29938.9</v>
      </c>
      <c r="D30" s="108"/>
      <c r="E30" s="136"/>
      <c r="F30" s="188">
        <f t="shared" si="3"/>
        <v>29938.9</v>
      </c>
      <c r="G30" s="229"/>
      <c r="H30" s="230"/>
      <c r="I30" s="271">
        <f t="shared" si="5"/>
        <v>29938.9</v>
      </c>
      <c r="J30" s="305"/>
      <c r="K30" s="230"/>
      <c r="L30" s="271">
        <f t="shared" si="6"/>
        <v>29938.9</v>
      </c>
      <c r="M30" s="21"/>
      <c r="N30" s="7"/>
      <c r="O30" s="22">
        <f t="shared" si="7"/>
        <v>29938.9</v>
      </c>
      <c r="P30" s="75"/>
      <c r="Q30" s="73">
        <f>O30+P30</f>
        <v>29938.9</v>
      </c>
      <c r="R30" s="87"/>
    </row>
    <row r="31" spans="1:18" ht="12.75">
      <c r="A31" s="33" t="s">
        <v>187</v>
      </c>
      <c r="B31" s="87"/>
      <c r="C31" s="135"/>
      <c r="D31" s="132">
        <f>201.67+464.3+825.8+78.87+510+9329.88+1000</f>
        <v>12410.519999999999</v>
      </c>
      <c r="E31" s="136"/>
      <c r="F31" s="188">
        <f t="shared" si="3"/>
        <v>12410.519999999999</v>
      </c>
      <c r="G31" s="231">
        <f>1548.09+336.92+39.72+371.29+61.35+99.48+12.1+492.06</f>
        <v>2961.0099999999998</v>
      </c>
      <c r="H31" s="232">
        <f>1947.07</f>
        <v>1947.07</v>
      </c>
      <c r="I31" s="271">
        <f t="shared" si="5"/>
        <v>17318.6</v>
      </c>
      <c r="J31" s="306"/>
      <c r="K31" s="232"/>
      <c r="L31" s="271">
        <f t="shared" si="6"/>
        <v>17318.6</v>
      </c>
      <c r="M31" s="189"/>
      <c r="N31" s="189"/>
      <c r="O31" s="189"/>
      <c r="P31" s="189"/>
      <c r="Q31" s="72"/>
      <c r="R31" s="87"/>
    </row>
    <row r="32" spans="1:18" ht="12.75">
      <c r="A32" s="34" t="s">
        <v>219</v>
      </c>
      <c r="B32" s="88"/>
      <c r="C32" s="129">
        <f>SUM(C34:C38)</f>
        <v>5000</v>
      </c>
      <c r="D32" s="111">
        <f aca="true" t="shared" si="8" ref="D32:Q32">SUM(D34:D38)</f>
        <v>801</v>
      </c>
      <c r="E32" s="130">
        <f t="shared" si="8"/>
        <v>0</v>
      </c>
      <c r="F32" s="190">
        <f t="shared" si="8"/>
        <v>5801</v>
      </c>
      <c r="G32" s="233">
        <f t="shared" si="8"/>
        <v>38284.6</v>
      </c>
      <c r="H32" s="234">
        <f t="shared" si="8"/>
        <v>0</v>
      </c>
      <c r="I32" s="272">
        <f t="shared" si="8"/>
        <v>44085.6</v>
      </c>
      <c r="J32" s="290">
        <f t="shared" si="8"/>
        <v>0</v>
      </c>
      <c r="K32" s="234">
        <f t="shared" si="8"/>
        <v>0</v>
      </c>
      <c r="L32" s="272">
        <f t="shared" si="8"/>
        <v>44085.6</v>
      </c>
      <c r="M32" s="110">
        <f t="shared" si="8"/>
        <v>0</v>
      </c>
      <c r="N32" s="110">
        <f t="shared" si="8"/>
        <v>0</v>
      </c>
      <c r="O32" s="110">
        <f t="shared" si="8"/>
        <v>44085.6</v>
      </c>
      <c r="P32" s="110">
        <f t="shared" si="8"/>
        <v>0</v>
      </c>
      <c r="Q32" s="190">
        <f t="shared" si="8"/>
        <v>44085.6</v>
      </c>
      <c r="R32" s="87"/>
    </row>
    <row r="33" spans="1:18" ht="11.25" customHeight="1">
      <c r="A33" s="31" t="s">
        <v>20</v>
      </c>
      <c r="B33" s="85"/>
      <c r="C33" s="135"/>
      <c r="D33" s="108"/>
      <c r="E33" s="136"/>
      <c r="F33" s="188"/>
      <c r="G33" s="229"/>
      <c r="H33" s="230"/>
      <c r="I33" s="271"/>
      <c r="J33" s="305"/>
      <c r="K33" s="230"/>
      <c r="L33" s="271"/>
      <c r="M33" s="21"/>
      <c r="N33" s="7"/>
      <c r="O33" s="22"/>
      <c r="P33" s="75"/>
      <c r="Q33" s="73"/>
      <c r="R33" s="87"/>
    </row>
    <row r="34" spans="1:18" ht="12.75">
      <c r="A34" s="93" t="s">
        <v>109</v>
      </c>
      <c r="B34" s="86"/>
      <c r="C34" s="135"/>
      <c r="D34" s="108">
        <f>801</f>
        <v>801</v>
      </c>
      <c r="E34" s="136"/>
      <c r="F34" s="188">
        <f>C34+D34+E34</f>
        <v>801</v>
      </c>
      <c r="G34" s="229"/>
      <c r="H34" s="230"/>
      <c r="I34" s="271">
        <f>F34+G34+H34</f>
        <v>801</v>
      </c>
      <c r="J34" s="305"/>
      <c r="K34" s="230"/>
      <c r="L34" s="271">
        <f>I34+J34+K34</f>
        <v>801</v>
      </c>
      <c r="M34" s="21"/>
      <c r="N34" s="7"/>
      <c r="O34" s="22">
        <f>L34+M34+N34</f>
        <v>801</v>
      </c>
      <c r="P34" s="75"/>
      <c r="Q34" s="73">
        <f t="shared" si="1"/>
        <v>801</v>
      </c>
      <c r="R34" s="87"/>
    </row>
    <row r="35" spans="1:18" ht="12.75" hidden="1">
      <c r="A35" s="33" t="s">
        <v>104</v>
      </c>
      <c r="B35" s="87"/>
      <c r="C35" s="135"/>
      <c r="D35" s="108"/>
      <c r="E35" s="136"/>
      <c r="F35" s="188">
        <f>C35+D35+E35</f>
        <v>0</v>
      </c>
      <c r="G35" s="229"/>
      <c r="H35" s="230"/>
      <c r="I35" s="271">
        <f>F35+G35+H35</f>
        <v>0</v>
      </c>
      <c r="J35" s="307"/>
      <c r="K35" s="230"/>
      <c r="L35" s="271">
        <f>I35+J35+K35</f>
        <v>0</v>
      </c>
      <c r="M35" s="29"/>
      <c r="N35" s="7"/>
      <c r="O35" s="22">
        <f>L35+M35+N35</f>
        <v>0</v>
      </c>
      <c r="P35" s="75"/>
      <c r="Q35" s="73">
        <f t="shared" si="1"/>
        <v>0</v>
      </c>
      <c r="R35" s="87"/>
    </row>
    <row r="36" spans="1:18" ht="12.75" hidden="1">
      <c r="A36" s="33" t="s">
        <v>107</v>
      </c>
      <c r="B36" s="87"/>
      <c r="C36" s="135"/>
      <c r="D36" s="108"/>
      <c r="E36" s="136"/>
      <c r="F36" s="188">
        <f>C36+D36+E36</f>
        <v>0</v>
      </c>
      <c r="G36" s="229"/>
      <c r="H36" s="230"/>
      <c r="I36" s="271"/>
      <c r="J36" s="307"/>
      <c r="K36" s="230"/>
      <c r="L36" s="271"/>
      <c r="M36" s="29"/>
      <c r="N36" s="7"/>
      <c r="O36" s="22"/>
      <c r="P36" s="75"/>
      <c r="Q36" s="73"/>
      <c r="R36" s="87"/>
    </row>
    <row r="37" spans="1:18" ht="12.75" hidden="1">
      <c r="A37" s="33" t="s">
        <v>114</v>
      </c>
      <c r="B37" s="87"/>
      <c r="C37" s="135"/>
      <c r="D37" s="108"/>
      <c r="E37" s="136"/>
      <c r="F37" s="188">
        <f>C37+D37+E37</f>
        <v>0</v>
      </c>
      <c r="G37" s="229"/>
      <c r="H37" s="230"/>
      <c r="I37" s="271">
        <f>F37+G37+H37</f>
        <v>0</v>
      </c>
      <c r="J37" s="307"/>
      <c r="K37" s="230"/>
      <c r="L37" s="271">
        <f>I37+J37+K37</f>
        <v>0</v>
      </c>
      <c r="M37" s="29"/>
      <c r="N37" s="7"/>
      <c r="O37" s="22">
        <f>L37+M37+N37</f>
        <v>0</v>
      </c>
      <c r="P37" s="75"/>
      <c r="Q37" s="73">
        <f t="shared" si="1"/>
        <v>0</v>
      </c>
      <c r="R37" s="87"/>
    </row>
    <row r="38" spans="1:18" ht="12.75">
      <c r="A38" s="93" t="s">
        <v>241</v>
      </c>
      <c r="B38" s="86"/>
      <c r="C38" s="135">
        <v>5000</v>
      </c>
      <c r="D38" s="108"/>
      <c r="E38" s="136"/>
      <c r="F38" s="188">
        <f>C38+D38+E38</f>
        <v>5000</v>
      </c>
      <c r="G38" s="229">
        <f>38284.6</f>
        <v>38284.6</v>
      </c>
      <c r="H38" s="230"/>
      <c r="I38" s="271">
        <f>F38+G38+H38</f>
        <v>43284.6</v>
      </c>
      <c r="J38" s="305"/>
      <c r="K38" s="230"/>
      <c r="L38" s="271">
        <f>I38+J38+K38</f>
        <v>43284.6</v>
      </c>
      <c r="M38" s="21"/>
      <c r="N38" s="7"/>
      <c r="O38" s="22">
        <f>L38+M38+N38</f>
        <v>43284.6</v>
      </c>
      <c r="P38" s="75"/>
      <c r="Q38" s="73">
        <f t="shared" si="1"/>
        <v>43284.6</v>
      </c>
      <c r="R38" s="87"/>
    </row>
    <row r="39" spans="1:18" ht="12.75">
      <c r="A39" s="34" t="s">
        <v>220</v>
      </c>
      <c r="B39" s="86"/>
      <c r="C39" s="135"/>
      <c r="D39" s="108"/>
      <c r="E39" s="136"/>
      <c r="F39" s="188"/>
      <c r="G39" s="229"/>
      <c r="H39" s="230"/>
      <c r="I39" s="271"/>
      <c r="J39" s="305"/>
      <c r="K39" s="230"/>
      <c r="L39" s="271"/>
      <c r="M39" s="21"/>
      <c r="N39" s="7"/>
      <c r="O39" s="22"/>
      <c r="P39" s="75"/>
      <c r="Q39" s="73"/>
      <c r="R39" s="87"/>
    </row>
    <row r="40" spans="1:18" ht="12.75">
      <c r="A40" s="30" t="s">
        <v>25</v>
      </c>
      <c r="B40" s="84"/>
      <c r="C40" s="142">
        <f>SUM(C42:C62)</f>
        <v>113806.7</v>
      </c>
      <c r="D40" s="107">
        <f aca="true" t="shared" si="9" ref="D40:Q40">SUM(D42:D62)</f>
        <v>10263352.259999998</v>
      </c>
      <c r="E40" s="143">
        <f t="shared" si="9"/>
        <v>0</v>
      </c>
      <c r="F40" s="187">
        <f t="shared" si="9"/>
        <v>10377158.959999999</v>
      </c>
      <c r="G40" s="227">
        <f t="shared" si="9"/>
        <v>321866.93000000005</v>
      </c>
      <c r="H40" s="228">
        <f t="shared" si="9"/>
        <v>4257.73</v>
      </c>
      <c r="I40" s="270">
        <f t="shared" si="9"/>
        <v>10703283.62</v>
      </c>
      <c r="J40" s="288">
        <f t="shared" si="9"/>
        <v>651655.37</v>
      </c>
      <c r="K40" s="228">
        <f t="shared" si="9"/>
        <v>0</v>
      </c>
      <c r="L40" s="270">
        <f t="shared" si="9"/>
        <v>11354938.989999996</v>
      </c>
      <c r="M40" s="106">
        <f t="shared" si="9"/>
        <v>0</v>
      </c>
      <c r="N40" s="106">
        <f t="shared" si="9"/>
        <v>0</v>
      </c>
      <c r="O40" s="106">
        <f t="shared" si="9"/>
        <v>11354338.989999996</v>
      </c>
      <c r="P40" s="106">
        <f t="shared" si="9"/>
        <v>0</v>
      </c>
      <c r="Q40" s="187">
        <f t="shared" si="9"/>
        <v>11354338.989999996</v>
      </c>
      <c r="R40" s="87"/>
    </row>
    <row r="41" spans="1:18" ht="10.5" customHeight="1">
      <c r="A41" s="35" t="s">
        <v>26</v>
      </c>
      <c r="B41" s="89"/>
      <c r="C41" s="135"/>
      <c r="D41" s="108"/>
      <c r="E41" s="136"/>
      <c r="F41" s="188"/>
      <c r="G41" s="229"/>
      <c r="H41" s="230"/>
      <c r="I41" s="271"/>
      <c r="J41" s="305"/>
      <c r="K41" s="230"/>
      <c r="L41" s="271"/>
      <c r="M41" s="21"/>
      <c r="N41" s="7"/>
      <c r="O41" s="22"/>
      <c r="P41" s="75"/>
      <c r="Q41" s="73"/>
      <c r="R41" s="87"/>
    </row>
    <row r="42" spans="1:18" ht="12.75">
      <c r="A42" s="33" t="s">
        <v>27</v>
      </c>
      <c r="B42" s="87"/>
      <c r="C42" s="135">
        <v>113556.7</v>
      </c>
      <c r="D42" s="108"/>
      <c r="E42" s="136"/>
      <c r="F42" s="188">
        <f aca="true" t="shared" si="10" ref="F42:F62">C42+D42+E42</f>
        <v>113556.7</v>
      </c>
      <c r="G42" s="229"/>
      <c r="H42" s="230"/>
      <c r="I42" s="271">
        <f>F42+G42+H42</f>
        <v>113556.7</v>
      </c>
      <c r="J42" s="305"/>
      <c r="K42" s="230"/>
      <c r="L42" s="271">
        <f>I42+J42+K42</f>
        <v>113556.7</v>
      </c>
      <c r="M42" s="21"/>
      <c r="N42" s="7"/>
      <c r="O42" s="22">
        <f>L42+M42+N42</f>
        <v>113556.7</v>
      </c>
      <c r="P42" s="75"/>
      <c r="Q42" s="73">
        <f t="shared" si="1"/>
        <v>113556.7</v>
      </c>
      <c r="R42" s="87"/>
    </row>
    <row r="43" spans="1:18" ht="12.75">
      <c r="A43" s="33" t="s">
        <v>28</v>
      </c>
      <c r="B43" s="87"/>
      <c r="C43" s="135"/>
      <c r="D43" s="108">
        <f>35.9+18+64+99.5+12+15+36.07+83.5+6+15.5+6+50+15+6+6+10000+63.99+40.61+39.34+35.33+128.79+23.59</f>
        <v>10800.12</v>
      </c>
      <c r="E43" s="136"/>
      <c r="F43" s="188">
        <f t="shared" si="10"/>
        <v>10800.12</v>
      </c>
      <c r="G43" s="229">
        <f>14179.66+1481.98</f>
        <v>15661.64</v>
      </c>
      <c r="H43" s="230"/>
      <c r="I43" s="271">
        <f aca="true" t="shared" si="11" ref="I43:I62">F43+G43+H43</f>
        <v>26461.760000000002</v>
      </c>
      <c r="J43" s="305">
        <f>60.88+60+36.07+92.98+69.44+11.45+30.43+10.5+67.5+64.09+63.63+45.45+55420.18+15.44+17.16+12.53+126.16+75+41.8+11.9+68.64+1000+15</f>
        <v>57416.23000000001</v>
      </c>
      <c r="K43" s="230"/>
      <c r="L43" s="271">
        <f aca="true" t="shared" si="12" ref="L43:L62">I43+J43+K43</f>
        <v>83877.99000000002</v>
      </c>
      <c r="M43" s="21"/>
      <c r="N43" s="7"/>
      <c r="O43" s="22">
        <f aca="true" t="shared" si="13" ref="O43:O62">L43+M43+N43</f>
        <v>83877.99000000002</v>
      </c>
      <c r="P43" s="75"/>
      <c r="Q43" s="73">
        <f t="shared" si="1"/>
        <v>83877.99000000002</v>
      </c>
      <c r="R43" s="87"/>
    </row>
    <row r="44" spans="1:18" ht="12.75">
      <c r="A44" s="33" t="s">
        <v>29</v>
      </c>
      <c r="B44" s="87"/>
      <c r="C44" s="135"/>
      <c r="D44" s="108">
        <f>8955820.02+115949.1+1805+1443.45</f>
        <v>9075017.569999998</v>
      </c>
      <c r="E44" s="136"/>
      <c r="F44" s="188">
        <f t="shared" si="10"/>
        <v>9075017.569999998</v>
      </c>
      <c r="G44" s="229">
        <f>111324.54+1500+7600+96.9+5884.29</f>
        <v>126405.72999999998</v>
      </c>
      <c r="H44" s="230"/>
      <c r="I44" s="271">
        <f t="shared" si="11"/>
        <v>9201423.299999999</v>
      </c>
      <c r="J44" s="305">
        <f>638.03+2087.18+63681.24+1286.51+116717.2+12692.03+1301.72+301.89-59.89+696.2+195.75</f>
        <v>199537.86</v>
      </c>
      <c r="K44" s="230"/>
      <c r="L44" s="271">
        <f t="shared" si="12"/>
        <v>9400961.159999998</v>
      </c>
      <c r="M44" s="21"/>
      <c r="N44" s="7"/>
      <c r="O44" s="22">
        <f t="shared" si="13"/>
        <v>9400961.159999998</v>
      </c>
      <c r="P44" s="75"/>
      <c r="Q44" s="73">
        <f t="shared" si="1"/>
        <v>9400961.159999998</v>
      </c>
      <c r="R44" s="87"/>
    </row>
    <row r="45" spans="1:18" ht="12.75">
      <c r="A45" s="33" t="s">
        <v>30</v>
      </c>
      <c r="B45" s="87"/>
      <c r="C45" s="135"/>
      <c r="D45" s="108">
        <f>7000+1100267.08+463.21+614.77+380</f>
        <v>1108725.06</v>
      </c>
      <c r="E45" s="136"/>
      <c r="F45" s="188">
        <f t="shared" si="10"/>
        <v>1108725.06</v>
      </c>
      <c r="G45" s="229">
        <f>7377.27+2528.99+88.03+1074.6+1340.02+4424.26+2831.68+217.5+98768.08+1851.11+180.63+9203.05</f>
        <v>129885.22000000002</v>
      </c>
      <c r="H45" s="230">
        <f>664.86+3592.87</f>
        <v>4257.73</v>
      </c>
      <c r="I45" s="271">
        <f t="shared" si="11"/>
        <v>1242868.01</v>
      </c>
      <c r="J45" s="305">
        <f>664.86+80.28+59055.51+2949.51+24975.66+736.1+40414.14</f>
        <v>128876.06000000001</v>
      </c>
      <c r="K45" s="230"/>
      <c r="L45" s="271">
        <f t="shared" si="12"/>
        <v>1371744.07</v>
      </c>
      <c r="M45" s="21"/>
      <c r="N45" s="7"/>
      <c r="O45" s="22">
        <f t="shared" si="13"/>
        <v>1371744.07</v>
      </c>
      <c r="P45" s="75"/>
      <c r="Q45" s="73">
        <f t="shared" si="1"/>
        <v>1371744.07</v>
      </c>
      <c r="R45" s="87"/>
    </row>
    <row r="46" spans="1:18" ht="12.75">
      <c r="A46" s="33" t="s">
        <v>31</v>
      </c>
      <c r="B46" s="87"/>
      <c r="C46" s="135"/>
      <c r="D46" s="108">
        <f>115.35</f>
        <v>115.35</v>
      </c>
      <c r="E46" s="136"/>
      <c r="F46" s="188">
        <f t="shared" si="10"/>
        <v>115.35</v>
      </c>
      <c r="G46" s="229">
        <f>6.07+20.27+20.1+958.69+2821.82+15.83</f>
        <v>3842.78</v>
      </c>
      <c r="H46" s="230"/>
      <c r="I46" s="271">
        <f t="shared" si="11"/>
        <v>3958.13</v>
      </c>
      <c r="J46" s="305">
        <f>3.02+17.31+17.32+131+17.5+1119.76</f>
        <v>1305.91</v>
      </c>
      <c r="K46" s="230"/>
      <c r="L46" s="271">
        <f t="shared" si="12"/>
        <v>5264.04</v>
      </c>
      <c r="M46" s="21"/>
      <c r="N46" s="7"/>
      <c r="O46" s="22">
        <f t="shared" si="13"/>
        <v>5264.04</v>
      </c>
      <c r="P46" s="75"/>
      <c r="Q46" s="73">
        <f t="shared" si="1"/>
        <v>5264.04</v>
      </c>
      <c r="R46" s="87"/>
    </row>
    <row r="47" spans="1:18" ht="12.75">
      <c r="A47" s="33" t="s">
        <v>369</v>
      </c>
      <c r="B47" s="87"/>
      <c r="C47" s="135"/>
      <c r="D47" s="108"/>
      <c r="E47" s="136"/>
      <c r="F47" s="188"/>
      <c r="G47" s="229"/>
      <c r="H47" s="230"/>
      <c r="I47" s="271">
        <f t="shared" si="11"/>
        <v>0</v>
      </c>
      <c r="J47" s="305">
        <f>600</f>
        <v>600</v>
      </c>
      <c r="K47" s="230"/>
      <c r="L47" s="271">
        <f t="shared" si="12"/>
        <v>600</v>
      </c>
      <c r="M47" s="21"/>
      <c r="N47" s="7"/>
      <c r="O47" s="22"/>
      <c r="P47" s="75"/>
      <c r="Q47" s="73"/>
      <c r="R47" s="87"/>
    </row>
    <row r="48" spans="1:18" ht="12.75">
      <c r="A48" s="33" t="s">
        <v>32</v>
      </c>
      <c r="B48" s="87"/>
      <c r="C48" s="135"/>
      <c r="D48" s="108"/>
      <c r="E48" s="136"/>
      <c r="F48" s="188">
        <f t="shared" si="10"/>
        <v>0</v>
      </c>
      <c r="G48" s="266">
        <f>41.13+400+334+860+122+137+31.29</f>
        <v>1925.42</v>
      </c>
      <c r="H48" s="230"/>
      <c r="I48" s="271">
        <f t="shared" si="11"/>
        <v>1925.42</v>
      </c>
      <c r="J48" s="305">
        <f>25+213.86+110+345+160+124+121+99+93+59+160</f>
        <v>1509.8600000000001</v>
      </c>
      <c r="K48" s="230"/>
      <c r="L48" s="271">
        <f t="shared" si="12"/>
        <v>3435.28</v>
      </c>
      <c r="M48" s="21"/>
      <c r="N48" s="7"/>
      <c r="O48" s="22">
        <f t="shared" si="13"/>
        <v>3435.28</v>
      </c>
      <c r="P48" s="75"/>
      <c r="Q48" s="73">
        <f t="shared" si="1"/>
        <v>3435.28</v>
      </c>
      <c r="R48" s="87"/>
    </row>
    <row r="49" spans="1:18" ht="12.75">
      <c r="A49" s="33" t="s">
        <v>33</v>
      </c>
      <c r="B49" s="87"/>
      <c r="C49" s="135"/>
      <c r="D49" s="108">
        <f>6112.93+648.32+2000</f>
        <v>8761.25</v>
      </c>
      <c r="E49" s="136"/>
      <c r="F49" s="188">
        <f t="shared" si="10"/>
        <v>8761.25</v>
      </c>
      <c r="G49" s="229">
        <f>21481.06+3508.03-151.44</f>
        <v>24837.65</v>
      </c>
      <c r="H49" s="230"/>
      <c r="I49" s="271">
        <f t="shared" si="11"/>
        <v>33598.9</v>
      </c>
      <c r="J49" s="305">
        <f>24+280+448</f>
        <v>752</v>
      </c>
      <c r="K49" s="230"/>
      <c r="L49" s="271">
        <f t="shared" si="12"/>
        <v>34350.9</v>
      </c>
      <c r="M49" s="21"/>
      <c r="N49" s="7"/>
      <c r="O49" s="22">
        <f t="shared" si="13"/>
        <v>34350.9</v>
      </c>
      <c r="P49" s="75"/>
      <c r="Q49" s="73">
        <f t="shared" si="1"/>
        <v>34350.9</v>
      </c>
      <c r="R49" s="87"/>
    </row>
    <row r="50" spans="1:18" ht="12.75">
      <c r="A50" s="33" t="s">
        <v>34</v>
      </c>
      <c r="B50" s="87"/>
      <c r="C50" s="135"/>
      <c r="D50" s="108">
        <f>1835</f>
        <v>1835</v>
      </c>
      <c r="E50" s="136"/>
      <c r="F50" s="188">
        <f t="shared" si="10"/>
        <v>1835</v>
      </c>
      <c r="G50" s="229">
        <f>192</f>
        <v>192</v>
      </c>
      <c r="H50" s="230"/>
      <c r="I50" s="271">
        <f t="shared" si="11"/>
        <v>2027</v>
      </c>
      <c r="J50" s="305"/>
      <c r="K50" s="230"/>
      <c r="L50" s="271">
        <f t="shared" si="12"/>
        <v>2027</v>
      </c>
      <c r="M50" s="21"/>
      <c r="N50" s="7"/>
      <c r="O50" s="22">
        <f t="shared" si="13"/>
        <v>2027</v>
      </c>
      <c r="P50" s="75"/>
      <c r="Q50" s="73">
        <f t="shared" si="1"/>
        <v>2027</v>
      </c>
      <c r="R50" s="87"/>
    </row>
    <row r="51" spans="1:18" ht="12.75">
      <c r="A51" s="33" t="s">
        <v>139</v>
      </c>
      <c r="B51" s="87"/>
      <c r="C51" s="135"/>
      <c r="D51" s="108"/>
      <c r="E51" s="136"/>
      <c r="F51" s="188">
        <f t="shared" si="10"/>
        <v>0</v>
      </c>
      <c r="G51" s="229"/>
      <c r="H51" s="230"/>
      <c r="I51" s="271">
        <f t="shared" si="11"/>
        <v>0</v>
      </c>
      <c r="J51" s="305">
        <f>225997.46</f>
        <v>225997.46</v>
      </c>
      <c r="K51" s="230"/>
      <c r="L51" s="271">
        <f t="shared" si="12"/>
        <v>225997.46</v>
      </c>
      <c r="M51" s="21"/>
      <c r="N51" s="7"/>
      <c r="O51" s="22">
        <f t="shared" si="13"/>
        <v>225997.46</v>
      </c>
      <c r="P51" s="75"/>
      <c r="Q51" s="73">
        <f t="shared" si="1"/>
        <v>225997.46</v>
      </c>
      <c r="R51" s="87"/>
    </row>
    <row r="52" spans="1:18" ht="12.75">
      <c r="A52" s="33" t="s">
        <v>152</v>
      </c>
      <c r="B52" s="87"/>
      <c r="C52" s="135"/>
      <c r="D52" s="108"/>
      <c r="E52" s="136"/>
      <c r="F52" s="188">
        <f t="shared" si="10"/>
        <v>0</v>
      </c>
      <c r="G52" s="229">
        <f>185.49</f>
        <v>185.49</v>
      </c>
      <c r="H52" s="230"/>
      <c r="I52" s="271">
        <f t="shared" si="11"/>
        <v>185.49</v>
      </c>
      <c r="J52" s="305">
        <f>-34.1</f>
        <v>-34.1</v>
      </c>
      <c r="K52" s="230"/>
      <c r="L52" s="271">
        <f t="shared" si="12"/>
        <v>151.39000000000001</v>
      </c>
      <c r="M52" s="21"/>
      <c r="N52" s="7"/>
      <c r="O52" s="22">
        <f t="shared" si="13"/>
        <v>151.39000000000001</v>
      </c>
      <c r="P52" s="75"/>
      <c r="Q52" s="73">
        <f t="shared" si="1"/>
        <v>151.39000000000001</v>
      </c>
      <c r="R52" s="87"/>
    </row>
    <row r="53" spans="1:18" ht="12.75">
      <c r="A53" s="33" t="s">
        <v>35</v>
      </c>
      <c r="B53" s="87"/>
      <c r="C53" s="135"/>
      <c r="D53" s="108"/>
      <c r="E53" s="136"/>
      <c r="F53" s="188">
        <f t="shared" si="10"/>
        <v>0</v>
      </c>
      <c r="G53" s="229">
        <f>165.15+269.02+242.53</f>
        <v>676.6999999999999</v>
      </c>
      <c r="H53" s="230"/>
      <c r="I53" s="271">
        <f t="shared" si="11"/>
        <v>676.6999999999999</v>
      </c>
      <c r="J53" s="305">
        <f>22.22+3400+297.58</f>
        <v>3719.7999999999997</v>
      </c>
      <c r="K53" s="230"/>
      <c r="L53" s="271">
        <f t="shared" si="12"/>
        <v>4396.5</v>
      </c>
      <c r="M53" s="21"/>
      <c r="N53" s="7"/>
      <c r="O53" s="22">
        <f t="shared" si="13"/>
        <v>4396.5</v>
      </c>
      <c r="P53" s="80"/>
      <c r="Q53" s="73">
        <f t="shared" si="1"/>
        <v>4396.5</v>
      </c>
      <c r="R53" s="87"/>
    </row>
    <row r="54" spans="1:18" ht="12.75">
      <c r="A54" s="33" t="s">
        <v>36</v>
      </c>
      <c r="B54" s="87"/>
      <c r="C54" s="135"/>
      <c r="D54" s="108"/>
      <c r="E54" s="136"/>
      <c r="F54" s="188">
        <f t="shared" si="10"/>
        <v>0</v>
      </c>
      <c r="G54" s="229">
        <f>500</f>
        <v>500</v>
      </c>
      <c r="H54" s="230"/>
      <c r="I54" s="271">
        <f t="shared" si="11"/>
        <v>500</v>
      </c>
      <c r="J54" s="307"/>
      <c r="K54" s="230"/>
      <c r="L54" s="271">
        <f t="shared" si="12"/>
        <v>500</v>
      </c>
      <c r="M54" s="21"/>
      <c r="N54" s="7"/>
      <c r="O54" s="22">
        <f t="shared" si="13"/>
        <v>500</v>
      </c>
      <c r="P54" s="75"/>
      <c r="Q54" s="73">
        <f t="shared" si="1"/>
        <v>500</v>
      </c>
      <c r="R54" s="87"/>
    </row>
    <row r="55" spans="1:18" ht="12.75" hidden="1">
      <c r="A55" s="33" t="s">
        <v>196</v>
      </c>
      <c r="B55" s="87"/>
      <c r="C55" s="135"/>
      <c r="D55" s="108"/>
      <c r="E55" s="136"/>
      <c r="F55" s="188">
        <f t="shared" si="10"/>
        <v>0</v>
      </c>
      <c r="G55" s="229"/>
      <c r="H55" s="230"/>
      <c r="I55" s="271">
        <f t="shared" si="11"/>
        <v>0</v>
      </c>
      <c r="J55" s="307"/>
      <c r="K55" s="230"/>
      <c r="L55" s="271"/>
      <c r="M55" s="21"/>
      <c r="N55" s="7"/>
      <c r="O55" s="22"/>
      <c r="P55" s="75"/>
      <c r="Q55" s="73"/>
      <c r="R55" s="87"/>
    </row>
    <row r="56" spans="1:18" ht="12.75" hidden="1">
      <c r="A56" s="33" t="s">
        <v>153</v>
      </c>
      <c r="B56" s="87"/>
      <c r="C56" s="135"/>
      <c r="D56" s="108"/>
      <c r="E56" s="136"/>
      <c r="F56" s="188">
        <f t="shared" si="10"/>
        <v>0</v>
      </c>
      <c r="G56" s="229"/>
      <c r="H56" s="230"/>
      <c r="I56" s="271">
        <f t="shared" si="11"/>
        <v>0</v>
      </c>
      <c r="J56" s="307"/>
      <c r="K56" s="230"/>
      <c r="L56" s="271"/>
      <c r="M56" s="21"/>
      <c r="N56" s="7"/>
      <c r="O56" s="22">
        <f t="shared" si="13"/>
        <v>0</v>
      </c>
      <c r="P56" s="75"/>
      <c r="Q56" s="73">
        <f t="shared" si="1"/>
        <v>0</v>
      </c>
      <c r="R56" s="87"/>
    </row>
    <row r="57" spans="1:18" ht="12.75" hidden="1">
      <c r="A57" s="33" t="s">
        <v>37</v>
      </c>
      <c r="B57" s="87"/>
      <c r="C57" s="135"/>
      <c r="D57" s="108"/>
      <c r="E57" s="136"/>
      <c r="F57" s="188">
        <f t="shared" si="10"/>
        <v>0</v>
      </c>
      <c r="G57" s="229"/>
      <c r="H57" s="230"/>
      <c r="I57" s="271">
        <f t="shared" si="11"/>
        <v>0</v>
      </c>
      <c r="J57" s="305"/>
      <c r="K57" s="230"/>
      <c r="L57" s="271">
        <f t="shared" si="12"/>
        <v>0</v>
      </c>
      <c r="M57" s="21"/>
      <c r="N57" s="7"/>
      <c r="O57" s="22">
        <f t="shared" si="13"/>
        <v>0</v>
      </c>
      <c r="P57" s="75"/>
      <c r="Q57" s="73">
        <f t="shared" si="1"/>
        <v>0</v>
      </c>
      <c r="R57" s="87"/>
    </row>
    <row r="58" spans="1:18" ht="12.75" hidden="1">
      <c r="A58" s="33" t="s">
        <v>44</v>
      </c>
      <c r="B58" s="87"/>
      <c r="C58" s="135"/>
      <c r="D58" s="108"/>
      <c r="E58" s="136"/>
      <c r="F58" s="188">
        <f t="shared" si="10"/>
        <v>0</v>
      </c>
      <c r="G58" s="229"/>
      <c r="H58" s="230"/>
      <c r="I58" s="271">
        <f t="shared" si="11"/>
        <v>0</v>
      </c>
      <c r="J58" s="305"/>
      <c r="K58" s="230"/>
      <c r="L58" s="271">
        <f t="shared" si="12"/>
        <v>0</v>
      </c>
      <c r="M58" s="21"/>
      <c r="N58" s="7"/>
      <c r="O58" s="22">
        <f t="shared" si="13"/>
        <v>0</v>
      </c>
      <c r="P58" s="75"/>
      <c r="Q58" s="73">
        <f t="shared" si="1"/>
        <v>0</v>
      </c>
      <c r="R58" s="87"/>
    </row>
    <row r="59" spans="1:18" ht="12.75">
      <c r="A59" s="33" t="s">
        <v>38</v>
      </c>
      <c r="B59" s="87"/>
      <c r="C59" s="135"/>
      <c r="D59" s="108">
        <f>20000</f>
        <v>20000</v>
      </c>
      <c r="E59" s="136"/>
      <c r="F59" s="188">
        <f t="shared" si="10"/>
        <v>20000</v>
      </c>
      <c r="G59" s="229">
        <f>17735.87</f>
        <v>17735.87</v>
      </c>
      <c r="H59" s="230"/>
      <c r="I59" s="271">
        <f t="shared" si="11"/>
        <v>37735.869999999995</v>
      </c>
      <c r="J59" s="305">
        <f>28130</f>
        <v>28130</v>
      </c>
      <c r="K59" s="230"/>
      <c r="L59" s="271">
        <f t="shared" si="12"/>
        <v>65865.87</v>
      </c>
      <c r="M59" s="21"/>
      <c r="N59" s="7"/>
      <c r="O59" s="22">
        <f t="shared" si="13"/>
        <v>65865.87</v>
      </c>
      <c r="P59" s="75"/>
      <c r="Q59" s="73">
        <f t="shared" si="1"/>
        <v>65865.87</v>
      </c>
      <c r="R59" s="87"/>
    </row>
    <row r="60" spans="1:18" ht="12.75">
      <c r="A60" s="33" t="s">
        <v>39</v>
      </c>
      <c r="B60" s="87"/>
      <c r="C60" s="135"/>
      <c r="D60" s="108">
        <f>1960.91</f>
        <v>1960.91</v>
      </c>
      <c r="E60" s="136"/>
      <c r="F60" s="188">
        <f t="shared" si="10"/>
        <v>1960.91</v>
      </c>
      <c r="G60" s="229"/>
      <c r="H60" s="230"/>
      <c r="I60" s="271">
        <f t="shared" si="11"/>
        <v>1960.91</v>
      </c>
      <c r="J60" s="305">
        <f>294.23+51.26</f>
        <v>345.49</v>
      </c>
      <c r="K60" s="230"/>
      <c r="L60" s="271">
        <f t="shared" si="12"/>
        <v>2306.4</v>
      </c>
      <c r="M60" s="21"/>
      <c r="N60" s="7"/>
      <c r="O60" s="22">
        <f t="shared" si="13"/>
        <v>2306.4</v>
      </c>
      <c r="P60" s="75"/>
      <c r="Q60" s="73">
        <f t="shared" si="1"/>
        <v>2306.4</v>
      </c>
      <c r="R60" s="87"/>
    </row>
    <row r="61" spans="1:18" ht="12.75">
      <c r="A61" s="33" t="s">
        <v>40</v>
      </c>
      <c r="B61" s="87"/>
      <c r="C61" s="135">
        <v>250</v>
      </c>
      <c r="D61" s="108"/>
      <c r="E61" s="136"/>
      <c r="F61" s="188">
        <f t="shared" si="10"/>
        <v>250</v>
      </c>
      <c r="G61" s="229">
        <f>18.43</f>
        <v>18.43</v>
      </c>
      <c r="H61" s="230"/>
      <c r="I61" s="271">
        <f t="shared" si="11"/>
        <v>268.43</v>
      </c>
      <c r="J61" s="305">
        <f>2026.94</f>
        <v>2026.94</v>
      </c>
      <c r="K61" s="230"/>
      <c r="L61" s="271">
        <f t="shared" si="12"/>
        <v>2295.37</v>
      </c>
      <c r="M61" s="21"/>
      <c r="N61" s="7"/>
      <c r="O61" s="22">
        <f t="shared" si="13"/>
        <v>2295.37</v>
      </c>
      <c r="P61" s="75"/>
      <c r="Q61" s="73">
        <f t="shared" si="1"/>
        <v>2295.37</v>
      </c>
      <c r="R61" s="87"/>
    </row>
    <row r="62" spans="1:18" ht="12.75">
      <c r="A62" s="33" t="s">
        <v>157</v>
      </c>
      <c r="B62" s="87"/>
      <c r="C62" s="135"/>
      <c r="D62" s="108">
        <f>36137</f>
        <v>36137</v>
      </c>
      <c r="E62" s="136"/>
      <c r="F62" s="188">
        <f t="shared" si="10"/>
        <v>36137</v>
      </c>
      <c r="G62" s="229"/>
      <c r="H62" s="230"/>
      <c r="I62" s="271">
        <f t="shared" si="11"/>
        <v>36137</v>
      </c>
      <c r="J62" s="305">
        <f>1471.86</f>
        <v>1471.86</v>
      </c>
      <c r="K62" s="230"/>
      <c r="L62" s="271">
        <f t="shared" si="12"/>
        <v>37608.86</v>
      </c>
      <c r="M62" s="21"/>
      <c r="N62" s="7"/>
      <c r="O62" s="22">
        <f t="shared" si="13"/>
        <v>37608.86</v>
      </c>
      <c r="P62" s="75"/>
      <c r="Q62" s="73">
        <f t="shared" si="1"/>
        <v>37608.86</v>
      </c>
      <c r="R62" s="87"/>
    </row>
    <row r="63" spans="1:18" ht="12.75">
      <c r="A63" s="30" t="s">
        <v>41</v>
      </c>
      <c r="B63" s="84"/>
      <c r="C63" s="142">
        <f>SUM(C65:C79)</f>
        <v>0</v>
      </c>
      <c r="D63" s="107">
        <f aca="true" t="shared" si="14" ref="D63:Q63">SUM(D65:D79)</f>
        <v>558670.37</v>
      </c>
      <c r="E63" s="143">
        <f t="shared" si="14"/>
        <v>0</v>
      </c>
      <c r="F63" s="187">
        <f t="shared" si="14"/>
        <v>558670.37</v>
      </c>
      <c r="G63" s="227">
        <f t="shared" si="14"/>
        <v>295416.23</v>
      </c>
      <c r="H63" s="228">
        <f t="shared" si="14"/>
        <v>3014.38</v>
      </c>
      <c r="I63" s="270">
        <f t="shared" si="14"/>
        <v>857100.98</v>
      </c>
      <c r="J63" s="288">
        <f t="shared" si="14"/>
        <v>182594.66999999998</v>
      </c>
      <c r="K63" s="228">
        <f t="shared" si="14"/>
        <v>0</v>
      </c>
      <c r="L63" s="270">
        <f t="shared" si="14"/>
        <v>1039695.6500000001</v>
      </c>
      <c r="M63" s="106">
        <f t="shared" si="14"/>
        <v>0</v>
      </c>
      <c r="N63" s="106">
        <f t="shared" si="14"/>
        <v>0</v>
      </c>
      <c r="O63" s="106">
        <f t="shared" si="14"/>
        <v>1031988.3300000001</v>
      </c>
      <c r="P63" s="106">
        <f t="shared" si="14"/>
        <v>0</v>
      </c>
      <c r="Q63" s="187">
        <f t="shared" si="14"/>
        <v>1031988.3300000001</v>
      </c>
      <c r="R63" s="87"/>
    </row>
    <row r="64" spans="1:18" ht="12.75">
      <c r="A64" s="35" t="s">
        <v>26</v>
      </c>
      <c r="B64" s="89"/>
      <c r="C64" s="135"/>
      <c r="D64" s="108"/>
      <c r="E64" s="136"/>
      <c r="F64" s="188"/>
      <c r="G64" s="229"/>
      <c r="H64" s="230"/>
      <c r="I64" s="271"/>
      <c r="J64" s="305"/>
      <c r="K64" s="230"/>
      <c r="L64" s="271"/>
      <c r="M64" s="21"/>
      <c r="N64" s="7"/>
      <c r="O64" s="22"/>
      <c r="P64" s="75"/>
      <c r="Q64" s="73"/>
      <c r="R64" s="87"/>
    </row>
    <row r="65" spans="1:18" ht="12.75">
      <c r="A65" s="33" t="s">
        <v>29</v>
      </c>
      <c r="B65" s="87"/>
      <c r="C65" s="135"/>
      <c r="D65" s="108"/>
      <c r="E65" s="136"/>
      <c r="F65" s="188">
        <f aca="true" t="shared" si="15" ref="F65:F79">C65+D65+E65</f>
        <v>0</v>
      </c>
      <c r="G65" s="229">
        <f>79.99</f>
        <v>79.99</v>
      </c>
      <c r="H65" s="230"/>
      <c r="I65" s="271">
        <f>F65+G65+H65</f>
        <v>79.99</v>
      </c>
      <c r="J65" s="305">
        <f>7969.24</f>
        <v>7969.24</v>
      </c>
      <c r="K65" s="230"/>
      <c r="L65" s="271">
        <f>I65+J65+K65</f>
        <v>8049.23</v>
      </c>
      <c r="M65" s="21"/>
      <c r="N65" s="7"/>
      <c r="O65" s="22">
        <f>L65+M65+N65</f>
        <v>8049.23</v>
      </c>
      <c r="P65" s="75"/>
      <c r="Q65" s="73">
        <f t="shared" si="1"/>
        <v>8049.23</v>
      </c>
      <c r="R65" s="87"/>
    </row>
    <row r="66" spans="1:18" ht="12.75">
      <c r="A66" s="37" t="s">
        <v>30</v>
      </c>
      <c r="B66" s="90"/>
      <c r="C66" s="135"/>
      <c r="D66" s="108"/>
      <c r="E66" s="136"/>
      <c r="F66" s="188">
        <f t="shared" si="15"/>
        <v>0</v>
      </c>
      <c r="G66" s="229">
        <f>334.69+17906.13+3730.65</f>
        <v>21971.47</v>
      </c>
      <c r="H66" s="230">
        <f>3014.38</f>
        <v>3014.38</v>
      </c>
      <c r="I66" s="271">
        <f aca="true" t="shared" si="16" ref="I66:I79">F66+G66+H66</f>
        <v>24985.850000000002</v>
      </c>
      <c r="J66" s="305">
        <f>10888.44+5748.14</f>
        <v>16636.58</v>
      </c>
      <c r="K66" s="230"/>
      <c r="L66" s="271">
        <f aca="true" t="shared" si="17" ref="L66:L79">I66+J66+K66</f>
        <v>41622.43000000001</v>
      </c>
      <c r="M66" s="21"/>
      <c r="N66" s="7"/>
      <c r="O66" s="22">
        <f aca="true" t="shared" si="18" ref="O66:O79">L66+M66+N66</f>
        <v>41622.43000000001</v>
      </c>
      <c r="P66" s="75"/>
      <c r="Q66" s="73">
        <f t="shared" si="1"/>
        <v>41622.43000000001</v>
      </c>
      <c r="R66" s="87"/>
    </row>
    <row r="67" spans="1:18" ht="12.75" hidden="1">
      <c r="A67" s="37" t="s">
        <v>28</v>
      </c>
      <c r="B67" s="90"/>
      <c r="C67" s="135"/>
      <c r="D67" s="108"/>
      <c r="E67" s="136"/>
      <c r="F67" s="188">
        <f t="shared" si="15"/>
        <v>0</v>
      </c>
      <c r="G67" s="229"/>
      <c r="H67" s="230"/>
      <c r="I67" s="271">
        <f t="shared" si="16"/>
        <v>0</v>
      </c>
      <c r="J67" s="305"/>
      <c r="K67" s="230"/>
      <c r="L67" s="271">
        <f t="shared" si="17"/>
        <v>0</v>
      </c>
      <c r="M67" s="21"/>
      <c r="N67" s="7"/>
      <c r="O67" s="22">
        <f t="shared" si="18"/>
        <v>0</v>
      </c>
      <c r="P67" s="75"/>
      <c r="Q67" s="73">
        <f t="shared" si="1"/>
        <v>0</v>
      </c>
      <c r="R67" s="87"/>
    </row>
    <row r="68" spans="1:18" ht="12.75" hidden="1">
      <c r="A68" s="37" t="s">
        <v>42</v>
      </c>
      <c r="B68" s="90"/>
      <c r="C68" s="135"/>
      <c r="D68" s="108"/>
      <c r="E68" s="136"/>
      <c r="F68" s="188">
        <f t="shared" si="15"/>
        <v>0</v>
      </c>
      <c r="G68" s="229"/>
      <c r="H68" s="230"/>
      <c r="I68" s="271">
        <f t="shared" si="16"/>
        <v>0</v>
      </c>
      <c r="J68" s="305"/>
      <c r="K68" s="230"/>
      <c r="L68" s="271">
        <f t="shared" si="17"/>
        <v>0</v>
      </c>
      <c r="M68" s="21"/>
      <c r="N68" s="7"/>
      <c r="O68" s="22">
        <f t="shared" si="18"/>
        <v>0</v>
      </c>
      <c r="P68" s="75"/>
      <c r="Q68" s="73">
        <f t="shared" si="1"/>
        <v>0</v>
      </c>
      <c r="R68" s="87"/>
    </row>
    <row r="69" spans="1:18" ht="12.75">
      <c r="A69" s="33" t="s">
        <v>31</v>
      </c>
      <c r="B69" s="87"/>
      <c r="C69" s="135"/>
      <c r="D69" s="108">
        <f>411.59+11950.2+7646.42+5229.18</f>
        <v>25237.39</v>
      </c>
      <c r="E69" s="136"/>
      <c r="F69" s="188">
        <f t="shared" si="15"/>
        <v>25237.39</v>
      </c>
      <c r="G69" s="229">
        <f>1164.22+2496.78+3572.4+45726.99+5291.83+4469.65+1777.95+5071.73+228.4+48615.18+16983.93+4152.71</f>
        <v>139551.77</v>
      </c>
      <c r="H69" s="230"/>
      <c r="I69" s="271">
        <f t="shared" si="16"/>
        <v>164789.15999999997</v>
      </c>
      <c r="J69" s="305">
        <f>3979.69+2762.01+2970.55+44205.52+10841.31+42930.51+926.7</f>
        <v>108616.29</v>
      </c>
      <c r="K69" s="230"/>
      <c r="L69" s="271">
        <f t="shared" si="17"/>
        <v>273405.44999999995</v>
      </c>
      <c r="M69" s="21"/>
      <c r="N69" s="7"/>
      <c r="O69" s="22">
        <f t="shared" si="18"/>
        <v>273405.44999999995</v>
      </c>
      <c r="P69" s="75"/>
      <c r="Q69" s="73">
        <f t="shared" si="1"/>
        <v>273405.44999999995</v>
      </c>
      <c r="R69" s="87"/>
    </row>
    <row r="70" spans="1:18" ht="12.75">
      <c r="A70" s="33" t="s">
        <v>32</v>
      </c>
      <c r="B70" s="87"/>
      <c r="C70" s="135"/>
      <c r="D70" s="108"/>
      <c r="E70" s="136"/>
      <c r="F70" s="188">
        <f t="shared" si="15"/>
        <v>0</v>
      </c>
      <c r="G70" s="229">
        <f>79</f>
        <v>79</v>
      </c>
      <c r="H70" s="230"/>
      <c r="I70" s="271">
        <f t="shared" si="16"/>
        <v>79</v>
      </c>
      <c r="J70" s="305">
        <f>75+412.34+144</f>
        <v>631.3399999999999</v>
      </c>
      <c r="K70" s="230"/>
      <c r="L70" s="271">
        <f t="shared" si="17"/>
        <v>710.3399999999999</v>
      </c>
      <c r="M70" s="21"/>
      <c r="N70" s="7"/>
      <c r="O70" s="22"/>
      <c r="P70" s="75"/>
      <c r="Q70" s="73"/>
      <c r="R70" s="87"/>
    </row>
    <row r="71" spans="1:18" ht="12.75" hidden="1">
      <c r="A71" s="33" t="s">
        <v>212</v>
      </c>
      <c r="B71" s="87"/>
      <c r="C71" s="135"/>
      <c r="D71" s="108"/>
      <c r="E71" s="136"/>
      <c r="F71" s="188">
        <f t="shared" si="15"/>
        <v>0</v>
      </c>
      <c r="G71" s="229"/>
      <c r="H71" s="230"/>
      <c r="I71" s="271">
        <f t="shared" si="16"/>
        <v>0</v>
      </c>
      <c r="J71" s="305"/>
      <c r="K71" s="230"/>
      <c r="L71" s="271">
        <f t="shared" si="17"/>
        <v>0</v>
      </c>
      <c r="M71" s="21"/>
      <c r="N71" s="7"/>
      <c r="O71" s="22"/>
      <c r="P71" s="75"/>
      <c r="Q71" s="73"/>
      <c r="R71" s="87"/>
    </row>
    <row r="72" spans="1:18" ht="12.75">
      <c r="A72" s="33" t="s">
        <v>152</v>
      </c>
      <c r="B72" s="87"/>
      <c r="C72" s="135"/>
      <c r="D72" s="108"/>
      <c r="E72" s="136"/>
      <c r="F72" s="188">
        <f t="shared" si="15"/>
        <v>0</v>
      </c>
      <c r="G72" s="229">
        <f>3826.81+56769.09</f>
        <v>60595.899999999994</v>
      </c>
      <c r="H72" s="230"/>
      <c r="I72" s="271">
        <f t="shared" si="16"/>
        <v>60595.899999999994</v>
      </c>
      <c r="J72" s="305">
        <f>22306.19+3021.93+34.1+3080</f>
        <v>28442.219999999998</v>
      </c>
      <c r="K72" s="230"/>
      <c r="L72" s="271">
        <f t="shared" si="17"/>
        <v>89038.12</v>
      </c>
      <c r="M72" s="21"/>
      <c r="N72" s="7"/>
      <c r="O72" s="22">
        <f t="shared" si="18"/>
        <v>89038.12</v>
      </c>
      <c r="P72" s="75"/>
      <c r="Q72" s="73">
        <f t="shared" si="1"/>
        <v>89038.12</v>
      </c>
      <c r="R72" s="87"/>
    </row>
    <row r="73" spans="1:18" ht="12.75">
      <c r="A73" s="33" t="s">
        <v>153</v>
      </c>
      <c r="B73" s="87"/>
      <c r="C73" s="135"/>
      <c r="D73" s="108"/>
      <c r="E73" s="136"/>
      <c r="F73" s="188">
        <f t="shared" si="15"/>
        <v>0</v>
      </c>
      <c r="G73" s="229">
        <f>780.76</f>
        <v>780.76</v>
      </c>
      <c r="H73" s="230"/>
      <c r="I73" s="271">
        <f t="shared" si="16"/>
        <v>780.76</v>
      </c>
      <c r="J73" s="305"/>
      <c r="K73" s="230"/>
      <c r="L73" s="271">
        <f t="shared" si="17"/>
        <v>780.76</v>
      </c>
      <c r="M73" s="21"/>
      <c r="N73" s="7"/>
      <c r="O73" s="22">
        <f t="shared" si="18"/>
        <v>780.76</v>
      </c>
      <c r="P73" s="75"/>
      <c r="Q73" s="73">
        <f t="shared" si="1"/>
        <v>780.76</v>
      </c>
      <c r="R73" s="87"/>
    </row>
    <row r="74" spans="1:18" ht="12.75">
      <c r="A74" s="33" t="s">
        <v>43</v>
      </c>
      <c r="B74" s="87"/>
      <c r="C74" s="135"/>
      <c r="D74" s="108">
        <f>308400+218036</f>
        <v>526436</v>
      </c>
      <c r="E74" s="136"/>
      <c r="F74" s="188">
        <f t="shared" si="15"/>
        <v>526436</v>
      </c>
      <c r="G74" s="229">
        <f>14093.81+34600</f>
        <v>48693.81</v>
      </c>
      <c r="H74" s="230"/>
      <c r="I74" s="271">
        <f t="shared" si="16"/>
        <v>575129.81</v>
      </c>
      <c r="J74" s="305">
        <f>48429-28130</f>
        <v>20299</v>
      </c>
      <c r="K74" s="230"/>
      <c r="L74" s="271">
        <f t="shared" si="17"/>
        <v>595428.81</v>
      </c>
      <c r="M74" s="21"/>
      <c r="N74" s="7"/>
      <c r="O74" s="22">
        <f t="shared" si="18"/>
        <v>595428.81</v>
      </c>
      <c r="P74" s="75"/>
      <c r="Q74" s="73">
        <f t="shared" si="1"/>
        <v>595428.81</v>
      </c>
      <c r="R74" s="87"/>
    </row>
    <row r="75" spans="1:18" ht="12.75" hidden="1">
      <c r="A75" s="33" t="s">
        <v>44</v>
      </c>
      <c r="B75" s="87"/>
      <c r="C75" s="135"/>
      <c r="D75" s="108"/>
      <c r="E75" s="136"/>
      <c r="F75" s="188">
        <f t="shared" si="15"/>
        <v>0</v>
      </c>
      <c r="G75" s="229"/>
      <c r="H75" s="230"/>
      <c r="I75" s="271">
        <f t="shared" si="16"/>
        <v>0</v>
      </c>
      <c r="J75" s="305"/>
      <c r="K75" s="230"/>
      <c r="L75" s="271">
        <f t="shared" si="17"/>
        <v>0</v>
      </c>
      <c r="M75" s="21"/>
      <c r="N75" s="7"/>
      <c r="O75" s="22">
        <f t="shared" si="18"/>
        <v>0</v>
      </c>
      <c r="P75" s="75"/>
      <c r="Q75" s="73">
        <f t="shared" si="1"/>
        <v>0</v>
      </c>
      <c r="R75" s="87"/>
    </row>
    <row r="76" spans="1:18" ht="12.75" hidden="1">
      <c r="A76" s="33" t="s">
        <v>45</v>
      </c>
      <c r="B76" s="87"/>
      <c r="C76" s="135"/>
      <c r="D76" s="108"/>
      <c r="E76" s="136"/>
      <c r="F76" s="188">
        <f t="shared" si="15"/>
        <v>0</v>
      </c>
      <c r="G76" s="229"/>
      <c r="H76" s="230"/>
      <c r="I76" s="271">
        <f t="shared" si="16"/>
        <v>0</v>
      </c>
      <c r="J76" s="305"/>
      <c r="K76" s="230"/>
      <c r="L76" s="271">
        <f t="shared" si="17"/>
        <v>0</v>
      </c>
      <c r="M76" s="21"/>
      <c r="N76" s="7"/>
      <c r="O76" s="22">
        <f t="shared" si="18"/>
        <v>0</v>
      </c>
      <c r="P76" s="75"/>
      <c r="Q76" s="73">
        <f t="shared" si="1"/>
        <v>0</v>
      </c>
      <c r="R76" s="87"/>
    </row>
    <row r="77" spans="1:18" ht="12.75">
      <c r="A77" s="33" t="s">
        <v>35</v>
      </c>
      <c r="B77" s="87"/>
      <c r="C77" s="135"/>
      <c r="D77" s="108"/>
      <c r="E77" s="136"/>
      <c r="F77" s="188">
        <f t="shared" si="15"/>
        <v>0</v>
      </c>
      <c r="G77" s="229">
        <f>23663.53</f>
        <v>23663.53</v>
      </c>
      <c r="H77" s="230"/>
      <c r="I77" s="271">
        <f t="shared" si="16"/>
        <v>23663.53</v>
      </c>
      <c r="J77" s="305"/>
      <c r="K77" s="230"/>
      <c r="L77" s="271">
        <f t="shared" si="17"/>
        <v>23663.53</v>
      </c>
      <c r="M77" s="21"/>
      <c r="N77" s="7"/>
      <c r="O77" s="22">
        <f t="shared" si="18"/>
        <v>23663.53</v>
      </c>
      <c r="P77" s="80"/>
      <c r="Q77" s="73">
        <f t="shared" si="1"/>
        <v>23663.53</v>
      </c>
      <c r="R77" s="87"/>
    </row>
    <row r="78" spans="1:18" ht="12.75">
      <c r="A78" s="33" t="s">
        <v>39</v>
      </c>
      <c r="B78" s="87"/>
      <c r="C78" s="135"/>
      <c r="D78" s="108">
        <f>6996.98</f>
        <v>6996.98</v>
      </c>
      <c r="E78" s="136"/>
      <c r="F78" s="188">
        <f t="shared" si="15"/>
        <v>6996.98</v>
      </c>
      <c r="G78" s="229"/>
      <c r="H78" s="230"/>
      <c r="I78" s="271">
        <f t="shared" si="16"/>
        <v>6996.98</v>
      </c>
      <c r="J78" s="305"/>
      <c r="K78" s="230"/>
      <c r="L78" s="271">
        <f t="shared" si="17"/>
        <v>6996.98</v>
      </c>
      <c r="M78" s="21"/>
      <c r="N78" s="7"/>
      <c r="O78" s="22"/>
      <c r="P78" s="80"/>
      <c r="Q78" s="73"/>
      <c r="R78" s="87"/>
    </row>
    <row r="79" spans="1:18" ht="12.75" hidden="1">
      <c r="A79" s="33" t="s">
        <v>157</v>
      </c>
      <c r="B79" s="87"/>
      <c r="C79" s="135"/>
      <c r="D79" s="108"/>
      <c r="E79" s="136"/>
      <c r="F79" s="188">
        <f t="shared" si="15"/>
        <v>0</v>
      </c>
      <c r="G79" s="229"/>
      <c r="H79" s="230"/>
      <c r="I79" s="271">
        <f t="shared" si="16"/>
        <v>0</v>
      </c>
      <c r="J79" s="305"/>
      <c r="K79" s="230"/>
      <c r="L79" s="271">
        <f t="shared" si="17"/>
        <v>0</v>
      </c>
      <c r="M79" s="21"/>
      <c r="N79" s="7"/>
      <c r="O79" s="22">
        <f t="shared" si="18"/>
        <v>0</v>
      </c>
      <c r="P79" s="75"/>
      <c r="Q79" s="73">
        <f t="shared" si="1"/>
        <v>0</v>
      </c>
      <c r="R79" s="87"/>
    </row>
    <row r="80" spans="1:18" ht="16.5" thickBot="1">
      <c r="A80" s="38" t="s">
        <v>46</v>
      </c>
      <c r="B80" s="91"/>
      <c r="C80" s="155">
        <f aca="true" t="shared" si="19" ref="C80:L80">C11+C17+C40+C63+C32</f>
        <v>4859671.58</v>
      </c>
      <c r="D80" s="113">
        <f t="shared" si="19"/>
        <v>10875606.279999997</v>
      </c>
      <c r="E80" s="212">
        <f t="shared" si="19"/>
        <v>0</v>
      </c>
      <c r="F80" s="191">
        <f t="shared" si="19"/>
        <v>15735277.859999998</v>
      </c>
      <c r="G80" s="235">
        <f t="shared" si="19"/>
        <v>755905.42</v>
      </c>
      <c r="H80" s="236">
        <f t="shared" si="19"/>
        <v>88312.04000000001</v>
      </c>
      <c r="I80" s="273">
        <f t="shared" si="19"/>
        <v>16579495.319999998</v>
      </c>
      <c r="J80" s="291">
        <f t="shared" si="19"/>
        <v>1045759.98</v>
      </c>
      <c r="K80" s="236">
        <f t="shared" si="19"/>
        <v>17792.32</v>
      </c>
      <c r="L80" s="273">
        <f t="shared" si="19"/>
        <v>17643047.619999997</v>
      </c>
      <c r="M80" s="112" t="e">
        <f>M11+M17+M40+M63+M32+#REF!</f>
        <v>#REF!</v>
      </c>
      <c r="N80" s="112" t="e">
        <f>N11+N17+N40+N63+N32+#REF!</f>
        <v>#REF!</v>
      </c>
      <c r="O80" s="112" t="e">
        <f>O11+O17+O40+O63+O32+#REF!</f>
        <v>#REF!</v>
      </c>
      <c r="P80" s="112" t="e">
        <f>P11+P17+P40+P63+P32+#REF!</f>
        <v>#REF!</v>
      </c>
      <c r="Q80" s="191" t="e">
        <f>Q11+Q17+Q40+Q63+Q32+#REF!</f>
        <v>#REF!</v>
      </c>
      <c r="R80" s="87"/>
    </row>
    <row r="81" spans="1:18" ht="12.75">
      <c r="A81" s="30" t="s">
        <v>47</v>
      </c>
      <c r="B81" s="84"/>
      <c r="C81" s="142"/>
      <c r="D81" s="108"/>
      <c r="E81" s="136"/>
      <c r="F81" s="188"/>
      <c r="G81" s="229"/>
      <c r="H81" s="230"/>
      <c r="I81" s="271"/>
      <c r="J81" s="305"/>
      <c r="K81" s="230"/>
      <c r="L81" s="271"/>
      <c r="M81" s="21"/>
      <c r="N81" s="7"/>
      <c r="O81" s="22"/>
      <c r="P81" s="75"/>
      <c r="Q81" s="73"/>
      <c r="R81" s="87"/>
    </row>
    <row r="82" spans="1:18" ht="12.75">
      <c r="A82" s="30" t="s">
        <v>63</v>
      </c>
      <c r="B82" s="96"/>
      <c r="C82" s="142">
        <f>C83+C92</f>
        <v>121438</v>
      </c>
      <c r="D82" s="107">
        <f aca="true" t="shared" si="20" ref="D82:Q82">D83+D92</f>
        <v>40384.18</v>
      </c>
      <c r="E82" s="143">
        <f t="shared" si="20"/>
        <v>0</v>
      </c>
      <c r="F82" s="187">
        <f t="shared" si="20"/>
        <v>161822.18</v>
      </c>
      <c r="G82" s="227">
        <f t="shared" si="20"/>
        <v>1291.98</v>
      </c>
      <c r="H82" s="228">
        <f t="shared" si="20"/>
        <v>8618.75</v>
      </c>
      <c r="I82" s="270">
        <f t="shared" si="20"/>
        <v>171732.91</v>
      </c>
      <c r="J82" s="288">
        <f>J83+J92</f>
        <v>981.05</v>
      </c>
      <c r="K82" s="228">
        <f>K83+K92</f>
        <v>0</v>
      </c>
      <c r="L82" s="270">
        <f>L83+L92</f>
        <v>172713.96</v>
      </c>
      <c r="M82" s="106">
        <f t="shared" si="20"/>
        <v>0</v>
      </c>
      <c r="N82" s="106">
        <f t="shared" si="20"/>
        <v>0</v>
      </c>
      <c r="O82" s="106">
        <f t="shared" si="20"/>
        <v>89325.95999999999</v>
      </c>
      <c r="P82" s="106">
        <f t="shared" si="20"/>
        <v>0</v>
      </c>
      <c r="Q82" s="187">
        <f t="shared" si="20"/>
        <v>89325.95999999999</v>
      </c>
      <c r="R82" s="87"/>
    </row>
    <row r="83" spans="1:18" ht="12.75">
      <c r="A83" s="39" t="s">
        <v>49</v>
      </c>
      <c r="B83" s="96"/>
      <c r="C83" s="156">
        <f>SUM(C85:C90)</f>
        <v>69438</v>
      </c>
      <c r="D83" s="115">
        <f aca="true" t="shared" si="21" ref="D83:Q83">SUM(D85:D90)</f>
        <v>6974.0599999999995</v>
      </c>
      <c r="E83" s="173">
        <f t="shared" si="21"/>
        <v>0</v>
      </c>
      <c r="F83" s="192">
        <f t="shared" si="21"/>
        <v>76412.06</v>
      </c>
      <c r="G83" s="237">
        <f t="shared" si="21"/>
        <v>1291.98</v>
      </c>
      <c r="H83" s="238">
        <f t="shared" si="21"/>
        <v>0</v>
      </c>
      <c r="I83" s="274">
        <f t="shared" si="21"/>
        <v>77704.04000000001</v>
      </c>
      <c r="J83" s="278">
        <f>SUM(J85:J90)</f>
        <v>981.05</v>
      </c>
      <c r="K83" s="238">
        <f>SUM(K85:K90)</f>
        <v>0</v>
      </c>
      <c r="L83" s="274">
        <f>SUM(L85:L90)</f>
        <v>78685.09</v>
      </c>
      <c r="M83" s="114">
        <f t="shared" si="21"/>
        <v>0</v>
      </c>
      <c r="N83" s="114">
        <f t="shared" si="21"/>
        <v>0</v>
      </c>
      <c r="O83" s="114">
        <f t="shared" si="21"/>
        <v>17297.09</v>
      </c>
      <c r="P83" s="114">
        <f t="shared" si="21"/>
        <v>0</v>
      </c>
      <c r="Q83" s="192">
        <f t="shared" si="21"/>
        <v>17297.09</v>
      </c>
      <c r="R83" s="87"/>
    </row>
    <row r="84" spans="1:18" ht="12.75">
      <c r="A84" s="35" t="s">
        <v>26</v>
      </c>
      <c r="B84" s="92"/>
      <c r="C84" s="135"/>
      <c r="D84" s="108"/>
      <c r="E84" s="136"/>
      <c r="F84" s="187"/>
      <c r="G84" s="229"/>
      <c r="H84" s="230"/>
      <c r="I84" s="270"/>
      <c r="J84" s="305"/>
      <c r="K84" s="230"/>
      <c r="L84" s="270"/>
      <c r="M84" s="21"/>
      <c r="N84" s="7"/>
      <c r="O84" s="20"/>
      <c r="P84" s="75"/>
      <c r="Q84" s="73"/>
      <c r="R84" s="87"/>
    </row>
    <row r="85" spans="1:18" ht="12.75">
      <c r="A85" s="33" t="s">
        <v>51</v>
      </c>
      <c r="B85" s="92"/>
      <c r="C85" s="135">
        <v>8050</v>
      </c>
      <c r="D85" s="108"/>
      <c r="E85" s="136"/>
      <c r="F85" s="188">
        <f aca="true" t="shared" si="22" ref="F85:F91">C85+D85+E85</f>
        <v>8050</v>
      </c>
      <c r="G85" s="229">
        <f>-190</f>
        <v>-190</v>
      </c>
      <c r="H85" s="230"/>
      <c r="I85" s="271">
        <f aca="true" t="shared" si="23" ref="I85:I91">F85+G85+H85</f>
        <v>7860</v>
      </c>
      <c r="J85" s="305"/>
      <c r="K85" s="230"/>
      <c r="L85" s="271">
        <f aca="true" t="shared" si="24" ref="L85:L91">I85+J85+K85</f>
        <v>7860</v>
      </c>
      <c r="M85" s="21"/>
      <c r="N85" s="7"/>
      <c r="O85" s="22">
        <f aca="true" t="shared" si="25" ref="O85:O91">L85+M85+N85</f>
        <v>7860</v>
      </c>
      <c r="P85" s="75"/>
      <c r="Q85" s="73">
        <f aca="true" t="shared" si="26" ref="Q85:Q135">O85+P85</f>
        <v>7860</v>
      </c>
      <c r="R85" s="87"/>
    </row>
    <row r="86" spans="1:18" ht="12.75" hidden="1">
      <c r="A86" s="33" t="s">
        <v>65</v>
      </c>
      <c r="B86" s="92"/>
      <c r="C86" s="135"/>
      <c r="D86" s="108"/>
      <c r="E86" s="136"/>
      <c r="F86" s="188">
        <f t="shared" si="22"/>
        <v>0</v>
      </c>
      <c r="G86" s="229"/>
      <c r="H86" s="230"/>
      <c r="I86" s="271">
        <f t="shared" si="23"/>
        <v>0</v>
      </c>
      <c r="J86" s="305"/>
      <c r="K86" s="230"/>
      <c r="L86" s="271">
        <f t="shared" si="24"/>
        <v>0</v>
      </c>
      <c r="M86" s="21"/>
      <c r="N86" s="7"/>
      <c r="O86" s="22">
        <f t="shared" si="25"/>
        <v>0</v>
      </c>
      <c r="P86" s="75"/>
      <c r="Q86" s="73">
        <f t="shared" si="26"/>
        <v>0</v>
      </c>
      <c r="R86" s="87"/>
    </row>
    <row r="87" spans="1:18" ht="12.75">
      <c r="A87" s="37" t="s">
        <v>202</v>
      </c>
      <c r="B87" s="92"/>
      <c r="C87" s="135">
        <v>61388</v>
      </c>
      <c r="D87" s="108"/>
      <c r="E87" s="136"/>
      <c r="F87" s="188">
        <f t="shared" si="22"/>
        <v>61388</v>
      </c>
      <c r="G87" s="229"/>
      <c r="H87" s="230"/>
      <c r="I87" s="271">
        <f t="shared" si="23"/>
        <v>61388</v>
      </c>
      <c r="J87" s="305"/>
      <c r="K87" s="230"/>
      <c r="L87" s="271">
        <f t="shared" si="24"/>
        <v>61388</v>
      </c>
      <c r="M87" s="21"/>
      <c r="N87" s="7"/>
      <c r="O87" s="22"/>
      <c r="P87" s="75"/>
      <c r="Q87" s="73"/>
      <c r="R87" s="87"/>
    </row>
    <row r="88" spans="1:18" ht="12.75">
      <c r="A88" s="33" t="s">
        <v>66</v>
      </c>
      <c r="B88" s="92">
        <v>98278</v>
      </c>
      <c r="C88" s="135"/>
      <c r="D88" s="108">
        <f>35.9+18+64+99.5+12+15+36.07+83.5+6+15.5+6+50+15+6+6+63.99+40.61+39.34+35.33+128.79+23.59</f>
        <v>800.1200000000001</v>
      </c>
      <c r="E88" s="136"/>
      <c r="F88" s="188">
        <f t="shared" si="22"/>
        <v>800.1200000000001</v>
      </c>
      <c r="G88" s="229">
        <f>1481.98</f>
        <v>1481.98</v>
      </c>
      <c r="H88" s="230"/>
      <c r="I88" s="271">
        <f t="shared" si="23"/>
        <v>2282.1000000000004</v>
      </c>
      <c r="J88" s="305">
        <f>60.88+60+36.07+92.98+69.44+11.45+30.43+10.5+67.5+64.09+63.63+45.45+15.44+17.16+12.53+126.16+75+41.8+11.9+68.64</f>
        <v>981.05</v>
      </c>
      <c r="K88" s="230"/>
      <c r="L88" s="271">
        <f t="shared" si="24"/>
        <v>3263.1500000000005</v>
      </c>
      <c r="M88" s="21"/>
      <c r="N88" s="7"/>
      <c r="O88" s="22">
        <f t="shared" si="25"/>
        <v>3263.1500000000005</v>
      </c>
      <c r="P88" s="75"/>
      <c r="Q88" s="73">
        <f t="shared" si="26"/>
        <v>3263.1500000000005</v>
      </c>
      <c r="R88" s="87"/>
    </row>
    <row r="89" spans="1:18" ht="12.75" hidden="1">
      <c r="A89" s="33" t="s">
        <v>76</v>
      </c>
      <c r="B89" s="92"/>
      <c r="C89" s="135"/>
      <c r="D89" s="108"/>
      <c r="E89" s="136"/>
      <c r="F89" s="188">
        <f t="shared" si="22"/>
        <v>0</v>
      </c>
      <c r="G89" s="229"/>
      <c r="H89" s="230"/>
      <c r="I89" s="271">
        <f t="shared" si="23"/>
        <v>0</v>
      </c>
      <c r="J89" s="305"/>
      <c r="K89" s="230"/>
      <c r="L89" s="271">
        <f t="shared" si="24"/>
        <v>0</v>
      </c>
      <c r="M89" s="21"/>
      <c r="N89" s="7"/>
      <c r="O89" s="22">
        <f t="shared" si="25"/>
        <v>0</v>
      </c>
      <c r="P89" s="75"/>
      <c r="Q89" s="73">
        <f t="shared" si="26"/>
        <v>0</v>
      </c>
      <c r="R89" s="87"/>
    </row>
    <row r="90" spans="1:18" ht="12.75">
      <c r="A90" s="32" t="s">
        <v>67</v>
      </c>
      <c r="B90" s="92"/>
      <c r="C90" s="135"/>
      <c r="D90" s="108">
        <f>6173.94</f>
        <v>6173.94</v>
      </c>
      <c r="E90" s="136"/>
      <c r="F90" s="188">
        <f t="shared" si="22"/>
        <v>6173.94</v>
      </c>
      <c r="G90" s="229"/>
      <c r="H90" s="230"/>
      <c r="I90" s="271">
        <f t="shared" si="23"/>
        <v>6173.94</v>
      </c>
      <c r="J90" s="305"/>
      <c r="K90" s="230"/>
      <c r="L90" s="271">
        <f t="shared" si="24"/>
        <v>6173.94</v>
      </c>
      <c r="M90" s="21"/>
      <c r="N90" s="7"/>
      <c r="O90" s="22">
        <f t="shared" si="25"/>
        <v>6173.94</v>
      </c>
      <c r="P90" s="75"/>
      <c r="Q90" s="73">
        <f t="shared" si="26"/>
        <v>6173.94</v>
      </c>
      <c r="R90" s="87"/>
    </row>
    <row r="91" spans="1:18" ht="12.75" hidden="1">
      <c r="A91" s="32" t="s">
        <v>68</v>
      </c>
      <c r="B91" s="92"/>
      <c r="C91" s="135"/>
      <c r="D91" s="108">
        <f>3124.33+1733.68</f>
        <v>4858.01</v>
      </c>
      <c r="E91" s="136"/>
      <c r="F91" s="188">
        <f t="shared" si="22"/>
        <v>4858.01</v>
      </c>
      <c r="G91" s="229"/>
      <c r="H91" s="230"/>
      <c r="I91" s="271">
        <f t="shared" si="23"/>
        <v>4858.01</v>
      </c>
      <c r="J91" s="305"/>
      <c r="K91" s="230"/>
      <c r="L91" s="271">
        <f t="shared" si="24"/>
        <v>4858.01</v>
      </c>
      <c r="M91" s="21"/>
      <c r="N91" s="7"/>
      <c r="O91" s="22">
        <f t="shared" si="25"/>
        <v>4858.01</v>
      </c>
      <c r="P91" s="75"/>
      <c r="Q91" s="73">
        <f t="shared" si="26"/>
        <v>4858.01</v>
      </c>
      <c r="R91" s="87"/>
    </row>
    <row r="92" spans="1:18" ht="12.75">
      <c r="A92" s="40" t="s">
        <v>54</v>
      </c>
      <c r="B92" s="96"/>
      <c r="C92" s="158">
        <f>SUM(C94:C100)</f>
        <v>52000</v>
      </c>
      <c r="D92" s="118">
        <f aca="true" t="shared" si="27" ref="D92:Q92">SUM(D94:D100)</f>
        <v>33410.12</v>
      </c>
      <c r="E92" s="174">
        <f t="shared" si="27"/>
        <v>0</v>
      </c>
      <c r="F92" s="193">
        <f t="shared" si="27"/>
        <v>85410.12</v>
      </c>
      <c r="G92" s="239">
        <f t="shared" si="27"/>
        <v>0</v>
      </c>
      <c r="H92" s="240">
        <f t="shared" si="27"/>
        <v>8618.75</v>
      </c>
      <c r="I92" s="275">
        <f t="shared" si="27"/>
        <v>94028.87</v>
      </c>
      <c r="J92" s="292">
        <f t="shared" si="27"/>
        <v>0</v>
      </c>
      <c r="K92" s="240">
        <f t="shared" si="27"/>
        <v>0</v>
      </c>
      <c r="L92" s="275">
        <f t="shared" si="27"/>
        <v>94028.87</v>
      </c>
      <c r="M92" s="117">
        <f t="shared" si="27"/>
        <v>0</v>
      </c>
      <c r="N92" s="117">
        <f t="shared" si="27"/>
        <v>0</v>
      </c>
      <c r="O92" s="117">
        <f t="shared" si="27"/>
        <v>72028.87</v>
      </c>
      <c r="P92" s="117">
        <f t="shared" si="27"/>
        <v>0</v>
      </c>
      <c r="Q92" s="193">
        <f t="shared" si="27"/>
        <v>72028.87</v>
      </c>
      <c r="R92" s="87"/>
    </row>
    <row r="93" spans="1:18" ht="12.75">
      <c r="A93" s="31" t="s">
        <v>26</v>
      </c>
      <c r="B93" s="92"/>
      <c r="C93" s="129"/>
      <c r="D93" s="111"/>
      <c r="E93" s="130"/>
      <c r="F93" s="190"/>
      <c r="G93" s="233"/>
      <c r="H93" s="234"/>
      <c r="I93" s="272"/>
      <c r="J93" s="308"/>
      <c r="K93" s="234"/>
      <c r="L93" s="272"/>
      <c r="M93" s="23"/>
      <c r="N93" s="8"/>
      <c r="O93" s="24"/>
      <c r="P93" s="75"/>
      <c r="Q93" s="73"/>
      <c r="R93" s="87"/>
    </row>
    <row r="94" spans="1:18" ht="12.75">
      <c r="A94" s="93" t="s">
        <v>286</v>
      </c>
      <c r="B94" s="92"/>
      <c r="C94" s="135"/>
      <c r="D94" s="108">
        <f>18209.7</f>
        <v>18209.7</v>
      </c>
      <c r="E94" s="136"/>
      <c r="F94" s="188">
        <f aca="true" t="shared" si="28" ref="F94:F101">C94+D94+E94</f>
        <v>18209.7</v>
      </c>
      <c r="G94" s="229"/>
      <c r="H94" s="230">
        <f>8618.75</f>
        <v>8618.75</v>
      </c>
      <c r="I94" s="271">
        <f aca="true" t="shared" si="29" ref="I94:I101">F94+G94+H94</f>
        <v>26828.45</v>
      </c>
      <c r="J94" s="305"/>
      <c r="K94" s="230"/>
      <c r="L94" s="271">
        <f aca="true" t="shared" si="30" ref="L94:L101">I94+J94+K94</f>
        <v>26828.45</v>
      </c>
      <c r="M94" s="21"/>
      <c r="N94" s="7"/>
      <c r="O94" s="22">
        <f>L94+M94+N94</f>
        <v>26828.45</v>
      </c>
      <c r="P94" s="75"/>
      <c r="Q94" s="73">
        <f t="shared" si="26"/>
        <v>26828.45</v>
      </c>
      <c r="R94" s="87"/>
    </row>
    <row r="95" spans="1:18" ht="12.75">
      <c r="A95" s="37" t="s">
        <v>236</v>
      </c>
      <c r="B95" s="92"/>
      <c r="C95" s="135">
        <v>20000</v>
      </c>
      <c r="D95" s="108"/>
      <c r="E95" s="136"/>
      <c r="F95" s="188">
        <f t="shared" si="28"/>
        <v>20000</v>
      </c>
      <c r="G95" s="229"/>
      <c r="H95" s="230"/>
      <c r="I95" s="271">
        <f t="shared" si="29"/>
        <v>20000</v>
      </c>
      <c r="J95" s="305"/>
      <c r="K95" s="230"/>
      <c r="L95" s="271">
        <f t="shared" si="30"/>
        <v>20000</v>
      </c>
      <c r="M95" s="21"/>
      <c r="N95" s="7"/>
      <c r="O95" s="22"/>
      <c r="P95" s="75"/>
      <c r="Q95" s="73"/>
      <c r="R95" s="87"/>
    </row>
    <row r="96" spans="1:18" ht="12.75" hidden="1">
      <c r="A96" s="32" t="s">
        <v>55</v>
      </c>
      <c r="B96" s="92"/>
      <c r="C96" s="135"/>
      <c r="D96" s="108"/>
      <c r="E96" s="136"/>
      <c r="F96" s="188">
        <f t="shared" si="28"/>
        <v>0</v>
      </c>
      <c r="G96" s="229"/>
      <c r="H96" s="230"/>
      <c r="I96" s="271">
        <f t="shared" si="29"/>
        <v>0</v>
      </c>
      <c r="J96" s="305"/>
      <c r="K96" s="230"/>
      <c r="L96" s="271">
        <f t="shared" si="30"/>
        <v>0</v>
      </c>
      <c r="M96" s="21"/>
      <c r="N96" s="7"/>
      <c r="O96" s="22"/>
      <c r="P96" s="75"/>
      <c r="Q96" s="73"/>
      <c r="R96" s="87"/>
    </row>
    <row r="97" spans="1:18" ht="12.75" hidden="1">
      <c r="A97" s="33" t="s">
        <v>200</v>
      </c>
      <c r="B97" s="92"/>
      <c r="C97" s="135"/>
      <c r="D97" s="108"/>
      <c r="E97" s="136"/>
      <c r="F97" s="188">
        <f t="shared" si="28"/>
        <v>0</v>
      </c>
      <c r="G97" s="229"/>
      <c r="H97" s="230"/>
      <c r="I97" s="271">
        <f t="shared" si="29"/>
        <v>0</v>
      </c>
      <c r="J97" s="305"/>
      <c r="K97" s="230"/>
      <c r="L97" s="271">
        <f t="shared" si="30"/>
        <v>0</v>
      </c>
      <c r="M97" s="21"/>
      <c r="N97" s="7"/>
      <c r="O97" s="22"/>
      <c r="P97" s="75"/>
      <c r="Q97" s="73"/>
      <c r="R97" s="87"/>
    </row>
    <row r="98" spans="1:18" ht="12.75" hidden="1">
      <c r="A98" s="33" t="s">
        <v>76</v>
      </c>
      <c r="B98" s="92"/>
      <c r="C98" s="135"/>
      <c r="D98" s="108"/>
      <c r="E98" s="136"/>
      <c r="F98" s="188">
        <f t="shared" si="28"/>
        <v>0</v>
      </c>
      <c r="G98" s="229"/>
      <c r="H98" s="230"/>
      <c r="I98" s="271">
        <f t="shared" si="29"/>
        <v>0</v>
      </c>
      <c r="J98" s="305"/>
      <c r="K98" s="230"/>
      <c r="L98" s="271">
        <f t="shared" si="30"/>
        <v>0</v>
      </c>
      <c r="M98" s="21"/>
      <c r="N98" s="7"/>
      <c r="O98" s="22">
        <f>L98+M98+N98</f>
        <v>0</v>
      </c>
      <c r="P98" s="75"/>
      <c r="Q98" s="73">
        <f t="shared" si="26"/>
        <v>0</v>
      </c>
      <c r="R98" s="87"/>
    </row>
    <row r="99" spans="1:18" ht="12.75">
      <c r="A99" s="33" t="s">
        <v>242</v>
      </c>
      <c r="B99" s="92"/>
      <c r="C99" s="135">
        <v>2000</v>
      </c>
      <c r="D99" s="108"/>
      <c r="E99" s="136"/>
      <c r="F99" s="188">
        <f t="shared" si="28"/>
        <v>2000</v>
      </c>
      <c r="G99" s="229"/>
      <c r="H99" s="230"/>
      <c r="I99" s="271">
        <f t="shared" si="29"/>
        <v>2000</v>
      </c>
      <c r="J99" s="305"/>
      <c r="K99" s="230"/>
      <c r="L99" s="271">
        <f t="shared" si="30"/>
        <v>2000</v>
      </c>
      <c r="M99" s="21"/>
      <c r="N99" s="7"/>
      <c r="O99" s="22"/>
      <c r="P99" s="75"/>
      <c r="Q99" s="73"/>
      <c r="R99" s="87"/>
    </row>
    <row r="100" spans="1:18" ht="12.75">
      <c r="A100" s="41" t="s">
        <v>67</v>
      </c>
      <c r="B100" s="95"/>
      <c r="C100" s="157">
        <v>30000</v>
      </c>
      <c r="D100" s="116">
        <f>15200.42</f>
        <v>15200.42</v>
      </c>
      <c r="E100" s="214"/>
      <c r="F100" s="224">
        <f t="shared" si="28"/>
        <v>45200.42</v>
      </c>
      <c r="G100" s="241"/>
      <c r="H100" s="242"/>
      <c r="I100" s="276">
        <f t="shared" si="29"/>
        <v>45200.42</v>
      </c>
      <c r="J100" s="309"/>
      <c r="K100" s="242"/>
      <c r="L100" s="276">
        <f t="shared" si="30"/>
        <v>45200.42</v>
      </c>
      <c r="M100" s="21"/>
      <c r="N100" s="7"/>
      <c r="O100" s="22">
        <f>L100+M100+N100</f>
        <v>45200.42</v>
      </c>
      <c r="P100" s="75"/>
      <c r="Q100" s="73">
        <f t="shared" si="26"/>
        <v>45200.42</v>
      </c>
      <c r="R100" s="87"/>
    </row>
    <row r="101" spans="1:18" ht="12.75" hidden="1">
      <c r="A101" s="41" t="s">
        <v>70</v>
      </c>
      <c r="B101" s="95"/>
      <c r="C101" s="157"/>
      <c r="D101" s="116"/>
      <c r="E101" s="214"/>
      <c r="F101" s="224">
        <f t="shared" si="28"/>
        <v>0</v>
      </c>
      <c r="G101" s="241"/>
      <c r="H101" s="242"/>
      <c r="I101" s="276">
        <f t="shared" si="29"/>
        <v>0</v>
      </c>
      <c r="J101" s="310"/>
      <c r="K101" s="242"/>
      <c r="L101" s="276">
        <f t="shared" si="30"/>
        <v>0</v>
      </c>
      <c r="M101" s="25"/>
      <c r="N101" s="10"/>
      <c r="O101" s="26">
        <f>L101+M101+N101</f>
        <v>0</v>
      </c>
      <c r="P101" s="78"/>
      <c r="Q101" s="79">
        <f t="shared" si="26"/>
        <v>0</v>
      </c>
      <c r="R101" s="87"/>
    </row>
    <row r="102" spans="1:18" ht="12.75">
      <c r="A102" s="34" t="s">
        <v>71</v>
      </c>
      <c r="B102" s="96"/>
      <c r="C102" s="129">
        <f>C103+C110</f>
        <v>17757</v>
      </c>
      <c r="D102" s="111">
        <f aca="true" t="shared" si="31" ref="D102:Q102">D103+D110</f>
        <v>376</v>
      </c>
      <c r="E102" s="130">
        <f t="shared" si="31"/>
        <v>0</v>
      </c>
      <c r="F102" s="190">
        <f t="shared" si="31"/>
        <v>18133</v>
      </c>
      <c r="G102" s="233">
        <f t="shared" si="31"/>
        <v>0</v>
      </c>
      <c r="H102" s="234">
        <f t="shared" si="31"/>
        <v>0</v>
      </c>
      <c r="I102" s="272">
        <f t="shared" si="31"/>
        <v>18133</v>
      </c>
      <c r="J102" s="290">
        <f>J103+J110</f>
        <v>638.03</v>
      </c>
      <c r="K102" s="234">
        <f>K103+K110</f>
        <v>0</v>
      </c>
      <c r="L102" s="272">
        <f>L103+L110</f>
        <v>18771.03</v>
      </c>
      <c r="M102" s="110">
        <f t="shared" si="31"/>
        <v>0</v>
      </c>
      <c r="N102" s="110">
        <f t="shared" si="31"/>
        <v>0</v>
      </c>
      <c r="O102" s="110">
        <f t="shared" si="31"/>
        <v>18771.03</v>
      </c>
      <c r="P102" s="110">
        <f t="shared" si="31"/>
        <v>0</v>
      </c>
      <c r="Q102" s="190">
        <f t="shared" si="31"/>
        <v>18771.03</v>
      </c>
      <c r="R102" s="87"/>
    </row>
    <row r="103" spans="1:18" ht="12.75">
      <c r="A103" s="39" t="s">
        <v>49</v>
      </c>
      <c r="B103" s="96"/>
      <c r="C103" s="156">
        <f>SUM(C105:C109)</f>
        <v>17757</v>
      </c>
      <c r="D103" s="115">
        <f aca="true" t="shared" si="32" ref="D103:Q103">SUM(D105:D109)</f>
        <v>376</v>
      </c>
      <c r="E103" s="173">
        <f t="shared" si="32"/>
        <v>0</v>
      </c>
      <c r="F103" s="192">
        <f t="shared" si="32"/>
        <v>18133</v>
      </c>
      <c r="G103" s="237">
        <f t="shared" si="32"/>
        <v>0</v>
      </c>
      <c r="H103" s="238">
        <f t="shared" si="32"/>
        <v>0</v>
      </c>
      <c r="I103" s="274">
        <f t="shared" si="32"/>
        <v>18133</v>
      </c>
      <c r="J103" s="278">
        <f>SUM(J105:J109)</f>
        <v>638.03</v>
      </c>
      <c r="K103" s="238">
        <f>SUM(K105:K109)</f>
        <v>0</v>
      </c>
      <c r="L103" s="274">
        <f>SUM(L105:L109)</f>
        <v>18771.03</v>
      </c>
      <c r="M103" s="114">
        <f t="shared" si="32"/>
        <v>0</v>
      </c>
      <c r="N103" s="114">
        <f t="shared" si="32"/>
        <v>0</v>
      </c>
      <c r="O103" s="114">
        <f t="shared" si="32"/>
        <v>18771.03</v>
      </c>
      <c r="P103" s="114">
        <f t="shared" si="32"/>
        <v>0</v>
      </c>
      <c r="Q103" s="192">
        <f t="shared" si="32"/>
        <v>18771.03</v>
      </c>
      <c r="R103" s="87"/>
    </row>
    <row r="104" spans="1:18" ht="12.75">
      <c r="A104" s="35" t="s">
        <v>26</v>
      </c>
      <c r="B104" s="92"/>
      <c r="C104" s="135"/>
      <c r="D104" s="108"/>
      <c r="E104" s="136"/>
      <c r="F104" s="187"/>
      <c r="G104" s="229"/>
      <c r="H104" s="230"/>
      <c r="I104" s="270"/>
      <c r="J104" s="305"/>
      <c r="K104" s="230"/>
      <c r="L104" s="270"/>
      <c r="M104" s="21"/>
      <c r="N104" s="7"/>
      <c r="O104" s="20"/>
      <c r="P104" s="75"/>
      <c r="Q104" s="73"/>
      <c r="R104" s="87"/>
    </row>
    <row r="105" spans="1:18" ht="12.75">
      <c r="A105" s="33" t="s">
        <v>51</v>
      </c>
      <c r="B105" s="92"/>
      <c r="C105" s="135">
        <v>17757</v>
      </c>
      <c r="D105" s="108">
        <f>376</f>
        <v>376</v>
      </c>
      <c r="E105" s="136"/>
      <c r="F105" s="188">
        <f>C105+D105+E105</f>
        <v>18133</v>
      </c>
      <c r="G105" s="229"/>
      <c r="H105" s="230"/>
      <c r="I105" s="271">
        <f>SUM(F105:H105)</f>
        <v>18133</v>
      </c>
      <c r="J105" s="319"/>
      <c r="K105" s="230"/>
      <c r="L105" s="271">
        <f>I105+J105+K105</f>
        <v>18133</v>
      </c>
      <c r="M105" s="21"/>
      <c r="N105" s="7"/>
      <c r="O105" s="22">
        <f>L105+M105+N105</f>
        <v>18133</v>
      </c>
      <c r="P105" s="75"/>
      <c r="Q105" s="73">
        <f t="shared" si="26"/>
        <v>18133</v>
      </c>
      <c r="R105" s="87"/>
    </row>
    <row r="106" spans="1:18" ht="12.75" hidden="1">
      <c r="A106" s="210" t="s">
        <v>77</v>
      </c>
      <c r="B106" s="92">
        <v>1245</v>
      </c>
      <c r="C106" s="135"/>
      <c r="D106" s="108"/>
      <c r="E106" s="136"/>
      <c r="F106" s="188">
        <f>C106+D106+E106</f>
        <v>0</v>
      </c>
      <c r="G106" s="229"/>
      <c r="H106" s="230"/>
      <c r="I106" s="271"/>
      <c r="J106" s="305"/>
      <c r="K106" s="230"/>
      <c r="L106" s="271"/>
      <c r="M106" s="21"/>
      <c r="N106" s="7"/>
      <c r="O106" s="22"/>
      <c r="P106" s="75"/>
      <c r="Q106" s="73"/>
      <c r="R106" s="87"/>
    </row>
    <row r="107" spans="1:18" ht="12.75">
      <c r="A107" s="43" t="s">
        <v>72</v>
      </c>
      <c r="B107" s="95">
        <v>33166</v>
      </c>
      <c r="C107" s="157"/>
      <c r="D107" s="116"/>
      <c r="E107" s="214"/>
      <c r="F107" s="224">
        <f>C107+D107+E107</f>
        <v>0</v>
      </c>
      <c r="G107" s="241"/>
      <c r="H107" s="242"/>
      <c r="I107" s="276">
        <f>SUM(F107:H107)</f>
        <v>0</v>
      </c>
      <c r="J107" s="310">
        <f>638.03</f>
        <v>638.03</v>
      </c>
      <c r="K107" s="242"/>
      <c r="L107" s="276">
        <f>I107+J107+K107</f>
        <v>638.03</v>
      </c>
      <c r="M107" s="21"/>
      <c r="N107" s="7"/>
      <c r="O107" s="22">
        <f>L107+M107+N107</f>
        <v>638.03</v>
      </c>
      <c r="P107" s="75"/>
      <c r="Q107" s="73">
        <f t="shared" si="26"/>
        <v>638.03</v>
      </c>
      <c r="R107" s="87"/>
    </row>
    <row r="108" spans="1:18" ht="12.75" hidden="1">
      <c r="A108" s="43" t="s">
        <v>270</v>
      </c>
      <c r="B108" s="95">
        <v>33064</v>
      </c>
      <c r="C108" s="157"/>
      <c r="D108" s="116"/>
      <c r="E108" s="214"/>
      <c r="F108" s="224">
        <f>C108+D108+E108</f>
        <v>0</v>
      </c>
      <c r="G108" s="229"/>
      <c r="H108" s="230"/>
      <c r="I108" s="271"/>
      <c r="J108" s="305"/>
      <c r="K108" s="230"/>
      <c r="L108" s="271"/>
      <c r="M108" s="21"/>
      <c r="N108" s="7"/>
      <c r="O108" s="22"/>
      <c r="P108" s="75"/>
      <c r="Q108" s="73"/>
      <c r="R108" s="87"/>
    </row>
    <row r="109" spans="1:18" ht="12.75" hidden="1">
      <c r="A109" s="37" t="s">
        <v>65</v>
      </c>
      <c r="B109" s="92"/>
      <c r="C109" s="135"/>
      <c r="D109" s="108"/>
      <c r="E109" s="136"/>
      <c r="F109" s="188">
        <f>C109+D109+E109</f>
        <v>0</v>
      </c>
      <c r="G109" s="229"/>
      <c r="H109" s="230"/>
      <c r="I109" s="271">
        <f>SUM(F109:H109)</f>
        <v>0</v>
      </c>
      <c r="J109" s="305"/>
      <c r="K109" s="230"/>
      <c r="L109" s="271">
        <f>I109+J109+K109</f>
        <v>0</v>
      </c>
      <c r="M109" s="21"/>
      <c r="N109" s="7"/>
      <c r="O109" s="22">
        <f>L109+M109+N109</f>
        <v>0</v>
      </c>
      <c r="P109" s="75"/>
      <c r="Q109" s="73">
        <f t="shared" si="26"/>
        <v>0</v>
      </c>
      <c r="R109" s="87"/>
    </row>
    <row r="110" spans="1:18" ht="12.75" hidden="1">
      <c r="A110" s="39" t="s">
        <v>54</v>
      </c>
      <c r="B110" s="96"/>
      <c r="C110" s="156">
        <f>C112</f>
        <v>0</v>
      </c>
      <c r="D110" s="115">
        <f aca="true" t="shared" si="33" ref="D110:Q110">D112</f>
        <v>0</v>
      </c>
      <c r="E110" s="173">
        <f t="shared" si="33"/>
        <v>0</v>
      </c>
      <c r="F110" s="192">
        <f t="shared" si="33"/>
        <v>0</v>
      </c>
      <c r="G110" s="237">
        <f t="shared" si="33"/>
        <v>0</v>
      </c>
      <c r="H110" s="238">
        <f t="shared" si="33"/>
        <v>0</v>
      </c>
      <c r="I110" s="274">
        <f t="shared" si="33"/>
        <v>0</v>
      </c>
      <c r="J110" s="311">
        <f t="shared" si="33"/>
        <v>0</v>
      </c>
      <c r="K110" s="238">
        <f t="shared" si="33"/>
        <v>0</v>
      </c>
      <c r="L110" s="274">
        <f t="shared" si="33"/>
        <v>0</v>
      </c>
      <c r="M110" s="114">
        <f t="shared" si="33"/>
        <v>0</v>
      </c>
      <c r="N110" s="114">
        <f t="shared" si="33"/>
        <v>0</v>
      </c>
      <c r="O110" s="114">
        <f t="shared" si="33"/>
        <v>0</v>
      </c>
      <c r="P110" s="114">
        <f t="shared" si="33"/>
        <v>0</v>
      </c>
      <c r="Q110" s="192">
        <f t="shared" si="33"/>
        <v>0</v>
      </c>
      <c r="R110" s="87"/>
    </row>
    <row r="111" spans="1:18" ht="12.75" hidden="1">
      <c r="A111" s="35" t="s">
        <v>26</v>
      </c>
      <c r="B111" s="92"/>
      <c r="C111" s="135"/>
      <c r="D111" s="108"/>
      <c r="E111" s="136"/>
      <c r="F111" s="187"/>
      <c r="G111" s="229"/>
      <c r="H111" s="230"/>
      <c r="I111" s="270"/>
      <c r="J111" s="305"/>
      <c r="K111" s="230"/>
      <c r="L111" s="270"/>
      <c r="M111" s="21"/>
      <c r="N111" s="7"/>
      <c r="O111" s="20"/>
      <c r="P111" s="75"/>
      <c r="Q111" s="73"/>
      <c r="R111" s="87"/>
    </row>
    <row r="112" spans="1:18" ht="12.75" hidden="1">
      <c r="A112" s="36" t="s">
        <v>163</v>
      </c>
      <c r="B112" s="95"/>
      <c r="C112" s="157"/>
      <c r="D112" s="116"/>
      <c r="E112" s="214"/>
      <c r="F112" s="224">
        <f>C112+D112+E112</f>
        <v>0</v>
      </c>
      <c r="G112" s="241"/>
      <c r="H112" s="242"/>
      <c r="I112" s="277"/>
      <c r="J112" s="310"/>
      <c r="K112" s="242"/>
      <c r="L112" s="276">
        <f>I112+J112+K112</f>
        <v>0</v>
      </c>
      <c r="M112" s="25"/>
      <c r="N112" s="10"/>
      <c r="O112" s="26">
        <f>L112+M112+N112</f>
        <v>0</v>
      </c>
      <c r="P112" s="78"/>
      <c r="Q112" s="79">
        <f t="shared" si="26"/>
        <v>0</v>
      </c>
      <c r="R112" s="87"/>
    </row>
    <row r="113" spans="1:18" ht="12.75">
      <c r="A113" s="30" t="s">
        <v>73</v>
      </c>
      <c r="B113" s="96"/>
      <c r="C113" s="142">
        <f>C114+C126</f>
        <v>1502319</v>
      </c>
      <c r="D113" s="107">
        <f aca="true" t="shared" si="34" ref="D113:Q113">D114+D126</f>
        <v>92620.94</v>
      </c>
      <c r="E113" s="143">
        <f t="shared" si="34"/>
        <v>0</v>
      </c>
      <c r="F113" s="187">
        <f t="shared" si="34"/>
        <v>1594939.94</v>
      </c>
      <c r="G113" s="227">
        <f t="shared" si="34"/>
        <v>23264.87</v>
      </c>
      <c r="H113" s="228">
        <f t="shared" si="34"/>
        <v>0</v>
      </c>
      <c r="I113" s="270">
        <f t="shared" si="34"/>
        <v>1618204.81</v>
      </c>
      <c r="J113" s="288">
        <f>J114+J126</f>
        <v>324260.91</v>
      </c>
      <c r="K113" s="228">
        <f>K114+K126</f>
        <v>0</v>
      </c>
      <c r="L113" s="270">
        <f>L114+L126</f>
        <v>1942465.7199999997</v>
      </c>
      <c r="M113" s="106">
        <f t="shared" si="34"/>
        <v>0</v>
      </c>
      <c r="N113" s="106">
        <f t="shared" si="34"/>
        <v>0</v>
      </c>
      <c r="O113" s="106">
        <f t="shared" si="34"/>
        <v>1942465.7199999997</v>
      </c>
      <c r="P113" s="106">
        <f t="shared" si="34"/>
        <v>0</v>
      </c>
      <c r="Q113" s="187">
        <f t="shared" si="34"/>
        <v>1942465.7199999997</v>
      </c>
      <c r="R113" s="87"/>
    </row>
    <row r="114" spans="1:18" ht="12.75">
      <c r="A114" s="39" t="s">
        <v>49</v>
      </c>
      <c r="B114" s="96"/>
      <c r="C114" s="156">
        <f>SUM(C117:C125)</f>
        <v>1492319</v>
      </c>
      <c r="D114" s="115">
        <f aca="true" t="shared" si="35" ref="D114:Q114">SUM(D117:D125)</f>
        <v>92620.94</v>
      </c>
      <c r="E114" s="173">
        <f t="shared" si="35"/>
        <v>0</v>
      </c>
      <c r="F114" s="192">
        <f t="shared" si="35"/>
        <v>1584939.94</v>
      </c>
      <c r="G114" s="237">
        <f t="shared" si="35"/>
        <v>23264.87</v>
      </c>
      <c r="H114" s="238">
        <f t="shared" si="35"/>
        <v>0</v>
      </c>
      <c r="I114" s="274">
        <f t="shared" si="35"/>
        <v>1608204.81</v>
      </c>
      <c r="J114" s="278">
        <f>SUM(J117:J125)</f>
        <v>324260.91</v>
      </c>
      <c r="K114" s="238">
        <f>SUM(K117:K125)</f>
        <v>0</v>
      </c>
      <c r="L114" s="274">
        <f>SUM(L117:L125)</f>
        <v>1932465.7199999997</v>
      </c>
      <c r="M114" s="114">
        <f t="shared" si="35"/>
        <v>0</v>
      </c>
      <c r="N114" s="114">
        <f t="shared" si="35"/>
        <v>0</v>
      </c>
      <c r="O114" s="114">
        <f t="shared" si="35"/>
        <v>1932465.7199999997</v>
      </c>
      <c r="P114" s="114">
        <f t="shared" si="35"/>
        <v>0</v>
      </c>
      <c r="Q114" s="192">
        <f t="shared" si="35"/>
        <v>1932465.7199999997</v>
      </c>
      <c r="R114" s="87"/>
    </row>
    <row r="115" spans="1:18" ht="12.75">
      <c r="A115" s="35" t="s">
        <v>26</v>
      </c>
      <c r="B115" s="92"/>
      <c r="C115" s="135"/>
      <c r="D115" s="108"/>
      <c r="E115" s="136"/>
      <c r="F115" s="187"/>
      <c r="G115" s="229"/>
      <c r="H115" s="230"/>
      <c r="I115" s="270"/>
      <c r="J115" s="305"/>
      <c r="K115" s="230"/>
      <c r="L115" s="270"/>
      <c r="M115" s="21"/>
      <c r="N115" s="7"/>
      <c r="O115" s="20"/>
      <c r="P115" s="75"/>
      <c r="Q115" s="73"/>
      <c r="R115" s="87"/>
    </row>
    <row r="116" spans="1:18" ht="12.75">
      <c r="A116" s="37" t="s">
        <v>301</v>
      </c>
      <c r="B116" s="92"/>
      <c r="C116" s="135">
        <f>C117+C118</f>
        <v>934819</v>
      </c>
      <c r="D116" s="108">
        <f>D117+D118</f>
        <v>72371.74</v>
      </c>
      <c r="E116" s="136">
        <f>E117+E118</f>
        <v>0</v>
      </c>
      <c r="F116" s="188">
        <f>F117+F118</f>
        <v>1007190.74</v>
      </c>
      <c r="G116" s="229">
        <f>G117+G118</f>
        <v>-1807.64</v>
      </c>
      <c r="H116" s="230"/>
      <c r="I116" s="271">
        <f>I117+I118</f>
        <v>1005383.1000000001</v>
      </c>
      <c r="J116" s="289">
        <f>J117+J118</f>
        <v>60600.45</v>
      </c>
      <c r="K116" s="230">
        <f>K117+K118</f>
        <v>0</v>
      </c>
      <c r="L116" s="271">
        <f>L117+L118</f>
        <v>1065983.55</v>
      </c>
      <c r="M116" s="21"/>
      <c r="N116" s="7"/>
      <c r="O116" s="22">
        <f>O117+O118</f>
        <v>1065983.55</v>
      </c>
      <c r="P116" s="75"/>
      <c r="Q116" s="73">
        <f t="shared" si="26"/>
        <v>1065983.55</v>
      </c>
      <c r="R116" s="87"/>
    </row>
    <row r="117" spans="1:18" ht="12.75">
      <c r="A117" s="37" t="s">
        <v>302</v>
      </c>
      <c r="B117" s="92"/>
      <c r="C117" s="135">
        <v>447000</v>
      </c>
      <c r="D117" s="119">
        <f>20672.61+972.6+78.87</f>
        <v>21724.079999999998</v>
      </c>
      <c r="E117" s="136"/>
      <c r="F117" s="188">
        <f aca="true" t="shared" si="36" ref="F117:F125">C117+D117+E117</f>
        <v>468724.08</v>
      </c>
      <c r="G117" s="229">
        <f>18.43+53.89-1864.96</f>
        <v>-1792.64</v>
      </c>
      <c r="H117" s="243"/>
      <c r="I117" s="271">
        <f aca="true" t="shared" si="37" ref="I117:I125">F117+G117+H117</f>
        <v>466931.44</v>
      </c>
      <c r="J117" s="305">
        <f>1800.57+80.38+2026.94+220.7+55000</f>
        <v>59128.59</v>
      </c>
      <c r="K117" s="230"/>
      <c r="L117" s="271">
        <f aca="true" t="shared" si="38" ref="L117:L125">I117+J117+K117</f>
        <v>526060.03</v>
      </c>
      <c r="M117" s="21"/>
      <c r="N117" s="7"/>
      <c r="O117" s="22">
        <f aca="true" t="shared" si="39" ref="O117:O125">L117+M117+N117</f>
        <v>526060.03</v>
      </c>
      <c r="P117" s="75"/>
      <c r="Q117" s="73">
        <f t="shared" si="26"/>
        <v>526060.03</v>
      </c>
      <c r="R117" s="87"/>
    </row>
    <row r="118" spans="1:18" ht="12.75">
      <c r="A118" s="33" t="s">
        <v>303</v>
      </c>
      <c r="B118" s="92"/>
      <c r="C118" s="135">
        <v>487819</v>
      </c>
      <c r="D118" s="108">
        <f>13900.66+36137+610</f>
        <v>50647.66</v>
      </c>
      <c r="E118" s="136"/>
      <c r="F118" s="188">
        <f t="shared" si="36"/>
        <v>538466.66</v>
      </c>
      <c r="G118" s="229">
        <f>-15</f>
        <v>-15</v>
      </c>
      <c r="H118" s="243"/>
      <c r="I118" s="271">
        <f t="shared" si="37"/>
        <v>538451.66</v>
      </c>
      <c r="J118" s="305">
        <f>1471.86</f>
        <v>1471.86</v>
      </c>
      <c r="K118" s="230"/>
      <c r="L118" s="271">
        <f t="shared" si="38"/>
        <v>539923.52</v>
      </c>
      <c r="M118" s="21"/>
      <c r="N118" s="7"/>
      <c r="O118" s="22">
        <f t="shared" si="39"/>
        <v>539923.52</v>
      </c>
      <c r="P118" s="75"/>
      <c r="Q118" s="73">
        <f t="shared" si="26"/>
        <v>539923.52</v>
      </c>
      <c r="R118" s="87"/>
    </row>
    <row r="119" spans="1:18" ht="12.75">
      <c r="A119" s="37" t="s">
        <v>74</v>
      </c>
      <c r="B119" s="92"/>
      <c r="C119" s="135">
        <v>28000</v>
      </c>
      <c r="D119" s="108"/>
      <c r="E119" s="136"/>
      <c r="F119" s="188">
        <f t="shared" si="36"/>
        <v>28000</v>
      </c>
      <c r="G119" s="229"/>
      <c r="H119" s="230"/>
      <c r="I119" s="271">
        <f t="shared" si="37"/>
        <v>28000</v>
      </c>
      <c r="J119" s="305"/>
      <c r="K119" s="230"/>
      <c r="L119" s="271">
        <f t="shared" si="38"/>
        <v>28000</v>
      </c>
      <c r="M119" s="21"/>
      <c r="N119" s="7"/>
      <c r="O119" s="22">
        <f t="shared" si="39"/>
        <v>28000</v>
      </c>
      <c r="P119" s="75"/>
      <c r="Q119" s="73">
        <f t="shared" si="26"/>
        <v>28000</v>
      </c>
      <c r="R119" s="87"/>
    </row>
    <row r="120" spans="1:18" ht="12.75" hidden="1">
      <c r="A120" s="33" t="s">
        <v>75</v>
      </c>
      <c r="B120" s="92"/>
      <c r="C120" s="135"/>
      <c r="D120" s="108"/>
      <c r="E120" s="136"/>
      <c r="F120" s="188">
        <f t="shared" si="36"/>
        <v>0</v>
      </c>
      <c r="G120" s="229"/>
      <c r="H120" s="230"/>
      <c r="I120" s="271">
        <f t="shared" si="37"/>
        <v>0</v>
      </c>
      <c r="J120" s="305"/>
      <c r="K120" s="230"/>
      <c r="L120" s="271">
        <f t="shared" si="38"/>
        <v>0</v>
      </c>
      <c r="M120" s="21"/>
      <c r="N120" s="7"/>
      <c r="O120" s="22">
        <f t="shared" si="39"/>
        <v>0</v>
      </c>
      <c r="P120" s="75"/>
      <c r="Q120" s="73">
        <f t="shared" si="26"/>
        <v>0</v>
      </c>
      <c r="R120" s="87"/>
    </row>
    <row r="121" spans="1:18" ht="12.75">
      <c r="A121" s="33" t="s">
        <v>65</v>
      </c>
      <c r="B121" s="92"/>
      <c r="C121" s="135"/>
      <c r="D121" s="108"/>
      <c r="E121" s="136"/>
      <c r="F121" s="188">
        <f t="shared" si="36"/>
        <v>0</v>
      </c>
      <c r="G121" s="229">
        <f>1864.96</f>
        <v>1864.96</v>
      </c>
      <c r="H121" s="230"/>
      <c r="I121" s="271">
        <f t="shared" si="37"/>
        <v>1864.96</v>
      </c>
      <c r="J121" s="305"/>
      <c r="K121" s="230"/>
      <c r="L121" s="271">
        <f t="shared" si="38"/>
        <v>1864.96</v>
      </c>
      <c r="M121" s="21"/>
      <c r="N121" s="7"/>
      <c r="O121" s="22">
        <f t="shared" si="39"/>
        <v>1864.96</v>
      </c>
      <c r="P121" s="75"/>
      <c r="Q121" s="73">
        <f t="shared" si="26"/>
        <v>1864.96</v>
      </c>
      <c r="R121" s="87"/>
    </row>
    <row r="122" spans="1:18" ht="12.75">
      <c r="A122" s="37" t="s">
        <v>327</v>
      </c>
      <c r="B122" s="92">
        <v>91252</v>
      </c>
      <c r="C122" s="135"/>
      <c r="D122" s="108">
        <f>20000</f>
        <v>20000</v>
      </c>
      <c r="E122" s="136"/>
      <c r="F122" s="188">
        <f t="shared" si="36"/>
        <v>20000</v>
      </c>
      <c r="G122" s="229">
        <f>17735.87</f>
        <v>17735.87</v>
      </c>
      <c r="H122" s="230"/>
      <c r="I122" s="271">
        <f t="shared" si="37"/>
        <v>37735.869999999995</v>
      </c>
      <c r="J122" s="305">
        <f>28130</f>
        <v>28130</v>
      </c>
      <c r="K122" s="230"/>
      <c r="L122" s="271">
        <f t="shared" si="38"/>
        <v>65865.87</v>
      </c>
      <c r="M122" s="21"/>
      <c r="N122" s="7"/>
      <c r="O122" s="22">
        <f t="shared" si="39"/>
        <v>65865.87</v>
      </c>
      <c r="P122" s="75"/>
      <c r="Q122" s="73">
        <f t="shared" si="26"/>
        <v>65865.87</v>
      </c>
      <c r="R122" s="87"/>
    </row>
    <row r="123" spans="1:18" ht="12.75">
      <c r="A123" s="33" t="s">
        <v>140</v>
      </c>
      <c r="B123" s="92">
        <v>27355</v>
      </c>
      <c r="C123" s="135"/>
      <c r="D123" s="108"/>
      <c r="E123" s="136"/>
      <c r="F123" s="188">
        <f t="shared" si="36"/>
        <v>0</v>
      </c>
      <c r="G123" s="229"/>
      <c r="H123" s="230"/>
      <c r="I123" s="271">
        <f t="shared" si="37"/>
        <v>0</v>
      </c>
      <c r="J123" s="305">
        <f>225997.46</f>
        <v>225997.46</v>
      </c>
      <c r="K123" s="230"/>
      <c r="L123" s="271">
        <f t="shared" si="38"/>
        <v>225997.46</v>
      </c>
      <c r="M123" s="21"/>
      <c r="N123" s="7"/>
      <c r="O123" s="22">
        <f t="shared" si="39"/>
        <v>225997.46</v>
      </c>
      <c r="P123" s="75"/>
      <c r="Q123" s="73">
        <f t="shared" si="26"/>
        <v>225997.46</v>
      </c>
      <c r="R123" s="87"/>
    </row>
    <row r="124" spans="1:18" ht="12.75">
      <c r="A124" s="33" t="s">
        <v>51</v>
      </c>
      <c r="B124" s="92"/>
      <c r="C124" s="135">
        <v>529500</v>
      </c>
      <c r="D124" s="108">
        <f>249.2</f>
        <v>249.2</v>
      </c>
      <c r="E124" s="136"/>
      <c r="F124" s="188">
        <f t="shared" si="36"/>
        <v>529749.2</v>
      </c>
      <c r="G124" s="229">
        <f>471.68+5000</f>
        <v>5471.68</v>
      </c>
      <c r="H124" s="230"/>
      <c r="I124" s="271">
        <f t="shared" si="37"/>
        <v>535220.88</v>
      </c>
      <c r="J124" s="305">
        <f>533+9000</f>
        <v>9533</v>
      </c>
      <c r="K124" s="230"/>
      <c r="L124" s="271">
        <f t="shared" si="38"/>
        <v>544753.88</v>
      </c>
      <c r="M124" s="21"/>
      <c r="N124" s="7"/>
      <c r="O124" s="22">
        <f t="shared" si="39"/>
        <v>544753.88</v>
      </c>
      <c r="P124" s="75"/>
      <c r="Q124" s="73">
        <f t="shared" si="26"/>
        <v>544753.88</v>
      </c>
      <c r="R124" s="87"/>
    </row>
    <row r="125" spans="1:18" ht="12" customHeight="1" hidden="1">
      <c r="A125" s="33" t="s">
        <v>76</v>
      </c>
      <c r="B125" s="92"/>
      <c r="C125" s="135"/>
      <c r="D125" s="108"/>
      <c r="E125" s="136"/>
      <c r="F125" s="188">
        <f t="shared" si="36"/>
        <v>0</v>
      </c>
      <c r="G125" s="229"/>
      <c r="H125" s="230"/>
      <c r="I125" s="271">
        <f t="shared" si="37"/>
        <v>0</v>
      </c>
      <c r="J125" s="305"/>
      <c r="K125" s="230"/>
      <c r="L125" s="271">
        <f t="shared" si="38"/>
        <v>0</v>
      </c>
      <c r="M125" s="21"/>
      <c r="N125" s="7"/>
      <c r="O125" s="22">
        <f t="shared" si="39"/>
        <v>0</v>
      </c>
      <c r="P125" s="75"/>
      <c r="Q125" s="73">
        <f t="shared" si="26"/>
        <v>0</v>
      </c>
      <c r="R125" s="87"/>
    </row>
    <row r="126" spans="1:18" ht="12.75">
      <c r="A126" s="40" t="s">
        <v>54</v>
      </c>
      <c r="B126" s="96"/>
      <c r="C126" s="158">
        <f>SUM(C128:C130)</f>
        <v>10000</v>
      </c>
      <c r="D126" s="118">
        <f aca="true" t="shared" si="40" ref="D126:Q126">SUM(D128:D130)</f>
        <v>0</v>
      </c>
      <c r="E126" s="174">
        <f t="shared" si="40"/>
        <v>0</v>
      </c>
      <c r="F126" s="193">
        <f t="shared" si="40"/>
        <v>10000</v>
      </c>
      <c r="G126" s="239">
        <f t="shared" si="40"/>
        <v>0</v>
      </c>
      <c r="H126" s="240">
        <f t="shared" si="40"/>
        <v>0</v>
      </c>
      <c r="I126" s="275">
        <f t="shared" si="40"/>
        <v>10000</v>
      </c>
      <c r="J126" s="292">
        <f t="shared" si="40"/>
        <v>0</v>
      </c>
      <c r="K126" s="240">
        <f t="shared" si="40"/>
        <v>0</v>
      </c>
      <c r="L126" s="275">
        <f t="shared" si="40"/>
        <v>10000</v>
      </c>
      <c r="M126" s="117">
        <f t="shared" si="40"/>
        <v>0</v>
      </c>
      <c r="N126" s="117">
        <f t="shared" si="40"/>
        <v>0</v>
      </c>
      <c r="O126" s="117">
        <f t="shared" si="40"/>
        <v>10000</v>
      </c>
      <c r="P126" s="117">
        <f t="shared" si="40"/>
        <v>0</v>
      </c>
      <c r="Q126" s="193">
        <f t="shared" si="40"/>
        <v>10000</v>
      </c>
      <c r="R126" s="87"/>
    </row>
    <row r="127" spans="1:18" ht="12.75">
      <c r="A127" s="31" t="s">
        <v>26</v>
      </c>
      <c r="B127" s="92"/>
      <c r="C127" s="129"/>
      <c r="D127" s="111"/>
      <c r="E127" s="130"/>
      <c r="F127" s="190"/>
      <c r="G127" s="233"/>
      <c r="H127" s="234"/>
      <c r="I127" s="272"/>
      <c r="J127" s="308"/>
      <c r="K127" s="234"/>
      <c r="L127" s="272"/>
      <c r="M127" s="23"/>
      <c r="N127" s="8"/>
      <c r="O127" s="24"/>
      <c r="P127" s="75"/>
      <c r="Q127" s="73"/>
      <c r="R127" s="87"/>
    </row>
    <row r="128" spans="1:18" ht="12.75" hidden="1">
      <c r="A128" s="41" t="s">
        <v>55</v>
      </c>
      <c r="B128" s="95"/>
      <c r="C128" s="157"/>
      <c r="D128" s="116"/>
      <c r="E128" s="214"/>
      <c r="F128" s="224">
        <f>C128+D128+E128</f>
        <v>0</v>
      </c>
      <c r="G128" s="229"/>
      <c r="H128" s="230"/>
      <c r="I128" s="271">
        <f>F128+G128+H128</f>
        <v>0</v>
      </c>
      <c r="J128" s="305"/>
      <c r="K128" s="230"/>
      <c r="L128" s="271">
        <f>I128+J128+K128</f>
        <v>0</v>
      </c>
      <c r="M128" s="21"/>
      <c r="N128" s="7"/>
      <c r="O128" s="22">
        <f>L128+M128+N128</f>
        <v>0</v>
      </c>
      <c r="P128" s="75"/>
      <c r="Q128" s="73">
        <f t="shared" si="26"/>
        <v>0</v>
      </c>
      <c r="R128" s="87"/>
    </row>
    <row r="129" spans="1:18" ht="12.75">
      <c r="A129" s="36" t="s">
        <v>86</v>
      </c>
      <c r="B129" s="95"/>
      <c r="C129" s="157">
        <v>10000</v>
      </c>
      <c r="D129" s="116"/>
      <c r="E129" s="214"/>
      <c r="F129" s="224">
        <f>C129+D129+E129</f>
        <v>10000</v>
      </c>
      <c r="G129" s="241"/>
      <c r="H129" s="242"/>
      <c r="I129" s="276">
        <f>F129+G129+H129</f>
        <v>10000</v>
      </c>
      <c r="J129" s="309"/>
      <c r="K129" s="242"/>
      <c r="L129" s="276">
        <f>I129+J129+K129</f>
        <v>10000</v>
      </c>
      <c r="M129" s="21"/>
      <c r="N129" s="7"/>
      <c r="O129" s="22">
        <f>L129+M129+N129</f>
        <v>10000</v>
      </c>
      <c r="P129" s="75"/>
      <c r="Q129" s="73">
        <f t="shared" si="26"/>
        <v>10000</v>
      </c>
      <c r="R129" s="87"/>
    </row>
    <row r="130" spans="1:18" ht="12.75" hidden="1">
      <c r="A130" s="36" t="s">
        <v>77</v>
      </c>
      <c r="B130" s="95"/>
      <c r="C130" s="157"/>
      <c r="D130" s="116"/>
      <c r="E130" s="214"/>
      <c r="F130" s="224">
        <f>C130+D130+E130</f>
        <v>0</v>
      </c>
      <c r="G130" s="241"/>
      <c r="H130" s="242"/>
      <c r="I130" s="276">
        <f>F130+G130+H130</f>
        <v>0</v>
      </c>
      <c r="J130" s="310"/>
      <c r="K130" s="242"/>
      <c r="L130" s="276">
        <f>I130+J130+K130</f>
        <v>0</v>
      </c>
      <c r="M130" s="25"/>
      <c r="N130" s="10"/>
      <c r="O130" s="26">
        <f>L130+M130+N130</f>
        <v>0</v>
      </c>
      <c r="P130" s="78"/>
      <c r="Q130" s="79">
        <f t="shared" si="26"/>
        <v>0</v>
      </c>
      <c r="R130" s="87"/>
    </row>
    <row r="131" spans="1:18" ht="12.75">
      <c r="A131" s="34" t="s">
        <v>78</v>
      </c>
      <c r="B131" s="96"/>
      <c r="C131" s="129">
        <f>C132+C137</f>
        <v>64210</v>
      </c>
      <c r="D131" s="111">
        <f aca="true" t="shared" si="41" ref="D131:Q131">D132+D137</f>
        <v>9301</v>
      </c>
      <c r="E131" s="130">
        <f t="shared" si="41"/>
        <v>0</v>
      </c>
      <c r="F131" s="190">
        <f t="shared" si="41"/>
        <v>73511</v>
      </c>
      <c r="G131" s="233">
        <f t="shared" si="41"/>
        <v>29161.44</v>
      </c>
      <c r="H131" s="234">
        <f t="shared" si="41"/>
        <v>0</v>
      </c>
      <c r="I131" s="272">
        <f t="shared" si="41"/>
        <v>102672.44</v>
      </c>
      <c r="J131" s="290">
        <f>J132+J137</f>
        <v>16654.16</v>
      </c>
      <c r="K131" s="234">
        <f>K132+K137</f>
        <v>0</v>
      </c>
      <c r="L131" s="272">
        <f>L132+L137</f>
        <v>119326.6</v>
      </c>
      <c r="M131" s="110">
        <f t="shared" si="41"/>
        <v>0</v>
      </c>
      <c r="N131" s="110">
        <f t="shared" si="41"/>
        <v>0</v>
      </c>
      <c r="O131" s="110">
        <f t="shared" si="41"/>
        <v>119326.6</v>
      </c>
      <c r="P131" s="110">
        <f t="shared" si="41"/>
        <v>0</v>
      </c>
      <c r="Q131" s="190">
        <f t="shared" si="41"/>
        <v>119326.6</v>
      </c>
      <c r="R131" s="87"/>
    </row>
    <row r="132" spans="1:18" ht="12.75">
      <c r="A132" s="39" t="s">
        <v>49</v>
      </c>
      <c r="B132" s="96"/>
      <c r="C132" s="156">
        <f>SUM(C134:C136)</f>
        <v>46210</v>
      </c>
      <c r="D132" s="115">
        <f aca="true" t="shared" si="42" ref="D132:Q132">SUM(D134:D136)</f>
        <v>2000</v>
      </c>
      <c r="E132" s="173">
        <f t="shared" si="42"/>
        <v>0</v>
      </c>
      <c r="F132" s="192">
        <f t="shared" si="42"/>
        <v>48210</v>
      </c>
      <c r="G132" s="237">
        <f t="shared" si="42"/>
        <v>20161.44</v>
      </c>
      <c r="H132" s="238">
        <f t="shared" si="42"/>
        <v>0</v>
      </c>
      <c r="I132" s="274">
        <f t="shared" si="42"/>
        <v>68371.44</v>
      </c>
      <c r="J132" s="278">
        <f>SUM(J134:J136)</f>
        <v>1654.16</v>
      </c>
      <c r="K132" s="238">
        <f>SUM(K134:K136)</f>
        <v>0</v>
      </c>
      <c r="L132" s="274">
        <f>SUM(L134:L136)</f>
        <v>70025.6</v>
      </c>
      <c r="M132" s="114">
        <f t="shared" si="42"/>
        <v>0</v>
      </c>
      <c r="N132" s="114">
        <f t="shared" si="42"/>
        <v>0</v>
      </c>
      <c r="O132" s="114">
        <f t="shared" si="42"/>
        <v>70025.6</v>
      </c>
      <c r="P132" s="114">
        <f t="shared" si="42"/>
        <v>0</v>
      </c>
      <c r="Q132" s="192">
        <f t="shared" si="42"/>
        <v>70025.6</v>
      </c>
      <c r="R132" s="87"/>
    </row>
    <row r="133" spans="1:18" ht="12.75">
      <c r="A133" s="35" t="s">
        <v>26</v>
      </c>
      <c r="B133" s="92"/>
      <c r="C133" s="135"/>
      <c r="D133" s="108"/>
      <c r="E133" s="136"/>
      <c r="F133" s="187"/>
      <c r="G133" s="229"/>
      <c r="H133" s="230"/>
      <c r="I133" s="270"/>
      <c r="J133" s="305"/>
      <c r="K133" s="230"/>
      <c r="L133" s="270"/>
      <c r="M133" s="21"/>
      <c r="N133" s="7"/>
      <c r="O133" s="20"/>
      <c r="P133" s="75"/>
      <c r="Q133" s="73"/>
      <c r="R133" s="87"/>
    </row>
    <row r="134" spans="1:18" ht="12.75">
      <c r="A134" s="33" t="s">
        <v>51</v>
      </c>
      <c r="B134" s="92"/>
      <c r="C134" s="135">
        <v>22210</v>
      </c>
      <c r="D134" s="108">
        <f>1000</f>
        <v>1000</v>
      </c>
      <c r="E134" s="136"/>
      <c r="F134" s="188">
        <f>C134+D134+E134</f>
        <v>23210</v>
      </c>
      <c r="G134" s="229">
        <f>-48.56+20210</f>
        <v>20161.44</v>
      </c>
      <c r="H134" s="230"/>
      <c r="I134" s="271">
        <f>F134+G134+H134</f>
        <v>43371.44</v>
      </c>
      <c r="J134" s="305">
        <f>1654.16</f>
        <v>1654.16</v>
      </c>
      <c r="K134" s="230"/>
      <c r="L134" s="271">
        <f>I134+J134+K134</f>
        <v>45025.600000000006</v>
      </c>
      <c r="M134" s="21"/>
      <c r="N134" s="7"/>
      <c r="O134" s="22">
        <f>L134+M134+N134</f>
        <v>45025.600000000006</v>
      </c>
      <c r="P134" s="75"/>
      <c r="Q134" s="73">
        <f t="shared" si="26"/>
        <v>45025.600000000006</v>
      </c>
      <c r="R134" s="87"/>
    </row>
    <row r="135" spans="1:18" ht="12.75" hidden="1">
      <c r="A135" s="33" t="s">
        <v>77</v>
      </c>
      <c r="B135" s="92"/>
      <c r="C135" s="135"/>
      <c r="D135" s="108"/>
      <c r="E135" s="136"/>
      <c r="F135" s="188">
        <f>C135+D135+E135</f>
        <v>0</v>
      </c>
      <c r="G135" s="229"/>
      <c r="H135" s="230"/>
      <c r="I135" s="271"/>
      <c r="J135" s="305"/>
      <c r="K135" s="230"/>
      <c r="L135" s="271"/>
      <c r="M135" s="21"/>
      <c r="N135" s="7"/>
      <c r="O135" s="22">
        <f>L135+M135+N135</f>
        <v>0</v>
      </c>
      <c r="P135" s="75"/>
      <c r="Q135" s="73">
        <f t="shared" si="26"/>
        <v>0</v>
      </c>
      <c r="R135" s="87"/>
    </row>
    <row r="136" spans="1:18" ht="12.75">
      <c r="A136" s="33" t="s">
        <v>79</v>
      </c>
      <c r="B136" s="92"/>
      <c r="C136" s="135">
        <v>24000</v>
      </c>
      <c r="D136" s="108">
        <f>1000</f>
        <v>1000</v>
      </c>
      <c r="E136" s="136"/>
      <c r="F136" s="188">
        <f>C136+D136+E136</f>
        <v>25000</v>
      </c>
      <c r="G136" s="229"/>
      <c r="H136" s="230"/>
      <c r="I136" s="271">
        <f>F136+G136+H136</f>
        <v>25000</v>
      </c>
      <c r="J136" s="305"/>
      <c r="K136" s="230"/>
      <c r="L136" s="271">
        <f>I136+J136+K136</f>
        <v>25000</v>
      </c>
      <c r="M136" s="21"/>
      <c r="N136" s="7"/>
      <c r="O136" s="22">
        <f>L136+M136+N136</f>
        <v>25000</v>
      </c>
      <c r="P136" s="75"/>
      <c r="Q136" s="73">
        <f>O136+P136</f>
        <v>25000</v>
      </c>
      <c r="R136" s="87"/>
    </row>
    <row r="137" spans="1:18" ht="12.75">
      <c r="A137" s="40" t="s">
        <v>54</v>
      </c>
      <c r="B137" s="96"/>
      <c r="C137" s="158">
        <f>SUM(C139:C142)</f>
        <v>18000</v>
      </c>
      <c r="D137" s="118">
        <f aca="true" t="shared" si="43" ref="D137:Q137">SUM(D139:D142)</f>
        <v>7301</v>
      </c>
      <c r="E137" s="174">
        <f t="shared" si="43"/>
        <v>0</v>
      </c>
      <c r="F137" s="193">
        <f t="shared" si="43"/>
        <v>25301</v>
      </c>
      <c r="G137" s="239">
        <f t="shared" si="43"/>
        <v>9000</v>
      </c>
      <c r="H137" s="240">
        <f t="shared" si="43"/>
        <v>0</v>
      </c>
      <c r="I137" s="275">
        <f t="shared" si="43"/>
        <v>34301</v>
      </c>
      <c r="J137" s="292">
        <f t="shared" si="43"/>
        <v>15000</v>
      </c>
      <c r="K137" s="240">
        <f t="shared" si="43"/>
        <v>0</v>
      </c>
      <c r="L137" s="275">
        <f t="shared" si="43"/>
        <v>49301</v>
      </c>
      <c r="M137" s="117">
        <f t="shared" si="43"/>
        <v>0</v>
      </c>
      <c r="N137" s="117">
        <f t="shared" si="43"/>
        <v>0</v>
      </c>
      <c r="O137" s="117">
        <f t="shared" si="43"/>
        <v>49301</v>
      </c>
      <c r="P137" s="117">
        <f t="shared" si="43"/>
        <v>0</v>
      </c>
      <c r="Q137" s="193">
        <f t="shared" si="43"/>
        <v>49301</v>
      </c>
      <c r="R137" s="87"/>
    </row>
    <row r="138" spans="1:18" ht="12.75">
      <c r="A138" s="31" t="s">
        <v>26</v>
      </c>
      <c r="B138" s="92"/>
      <c r="C138" s="129"/>
      <c r="D138" s="111"/>
      <c r="E138" s="130"/>
      <c r="F138" s="190"/>
      <c r="G138" s="233"/>
      <c r="H138" s="234"/>
      <c r="I138" s="272"/>
      <c r="J138" s="308"/>
      <c r="K138" s="234"/>
      <c r="L138" s="272"/>
      <c r="M138" s="23"/>
      <c r="N138" s="8"/>
      <c r="O138" s="24"/>
      <c r="P138" s="75"/>
      <c r="Q138" s="73"/>
      <c r="R138" s="87"/>
    </row>
    <row r="139" spans="1:18" ht="12.75" hidden="1">
      <c r="A139" s="33" t="s">
        <v>161</v>
      </c>
      <c r="B139" s="92">
        <v>98861</v>
      </c>
      <c r="C139" s="135"/>
      <c r="D139" s="108"/>
      <c r="E139" s="136"/>
      <c r="F139" s="188">
        <f>C139+D139+E139</f>
        <v>0</v>
      </c>
      <c r="G139" s="233"/>
      <c r="H139" s="234"/>
      <c r="I139" s="271"/>
      <c r="J139" s="308"/>
      <c r="K139" s="234"/>
      <c r="L139" s="271"/>
      <c r="M139" s="23"/>
      <c r="N139" s="8"/>
      <c r="O139" s="22">
        <f>L139+M139+N139</f>
        <v>0</v>
      </c>
      <c r="P139" s="75"/>
      <c r="Q139" s="73">
        <f>O139+P139</f>
        <v>0</v>
      </c>
      <c r="R139" s="87"/>
    </row>
    <row r="140" spans="1:18" ht="12.75" hidden="1">
      <c r="A140" s="33" t="s">
        <v>213</v>
      </c>
      <c r="B140" s="92">
        <v>7938</v>
      </c>
      <c r="C140" s="135"/>
      <c r="D140" s="108"/>
      <c r="E140" s="136"/>
      <c r="F140" s="188">
        <f>C140+D140+E140</f>
        <v>0</v>
      </c>
      <c r="G140" s="233"/>
      <c r="H140" s="234"/>
      <c r="I140" s="271"/>
      <c r="J140" s="308"/>
      <c r="K140" s="234"/>
      <c r="L140" s="271"/>
      <c r="M140" s="23"/>
      <c r="N140" s="8"/>
      <c r="O140" s="22"/>
      <c r="P140" s="75"/>
      <c r="Q140" s="73"/>
      <c r="R140" s="87"/>
    </row>
    <row r="141" spans="1:18" ht="12.75" hidden="1">
      <c r="A141" s="33" t="s">
        <v>238</v>
      </c>
      <c r="B141" s="92"/>
      <c r="C141" s="135"/>
      <c r="D141" s="108"/>
      <c r="E141" s="136"/>
      <c r="F141" s="188">
        <f>C141+D141+E141</f>
        <v>0</v>
      </c>
      <c r="G141" s="233"/>
      <c r="H141" s="234"/>
      <c r="I141" s="271"/>
      <c r="J141" s="308"/>
      <c r="K141" s="234"/>
      <c r="L141" s="271"/>
      <c r="M141" s="23"/>
      <c r="N141" s="8"/>
      <c r="O141" s="22"/>
      <c r="P141" s="75"/>
      <c r="Q141" s="73"/>
      <c r="R141" s="87"/>
    </row>
    <row r="142" spans="1:18" ht="12.75">
      <c r="A142" s="43" t="s">
        <v>55</v>
      </c>
      <c r="B142" s="95"/>
      <c r="C142" s="157">
        <v>18000</v>
      </c>
      <c r="D142" s="116">
        <f>5000+801+1500</f>
        <v>7301</v>
      </c>
      <c r="E142" s="214"/>
      <c r="F142" s="224">
        <f>C142+D142+E142</f>
        <v>25301</v>
      </c>
      <c r="G142" s="241">
        <f>9000</f>
        <v>9000</v>
      </c>
      <c r="H142" s="242"/>
      <c r="I142" s="276">
        <f>F142+G142+H142</f>
        <v>34301</v>
      </c>
      <c r="J142" s="310">
        <f>15000</f>
        <v>15000</v>
      </c>
      <c r="K142" s="242"/>
      <c r="L142" s="276">
        <f>I142+J142+K142</f>
        <v>49301</v>
      </c>
      <c r="M142" s="25"/>
      <c r="N142" s="10"/>
      <c r="O142" s="26">
        <f>L142+M142+N142</f>
        <v>49301</v>
      </c>
      <c r="P142" s="78"/>
      <c r="Q142" s="79">
        <f>O142+P142</f>
        <v>49301</v>
      </c>
      <c r="R142" s="87"/>
    </row>
    <row r="143" spans="1:18" ht="12.75">
      <c r="A143" s="30" t="s">
        <v>257</v>
      </c>
      <c r="B143" s="96"/>
      <c r="C143" s="142">
        <f aca="true" t="shared" si="44" ref="C143:Q143">C144+C166</f>
        <v>4400.7</v>
      </c>
      <c r="D143" s="107">
        <f t="shared" si="44"/>
        <v>79010.25</v>
      </c>
      <c r="E143" s="143">
        <f t="shared" si="44"/>
        <v>0</v>
      </c>
      <c r="F143" s="187">
        <f t="shared" si="44"/>
        <v>83410.95</v>
      </c>
      <c r="G143" s="227">
        <f t="shared" si="44"/>
        <v>70027.97</v>
      </c>
      <c r="H143" s="228">
        <f t="shared" si="44"/>
        <v>0</v>
      </c>
      <c r="I143" s="270">
        <f t="shared" si="44"/>
        <v>153438.92</v>
      </c>
      <c r="J143" s="288">
        <f t="shared" si="44"/>
        <v>23955.449999999997</v>
      </c>
      <c r="K143" s="228">
        <f t="shared" si="44"/>
        <v>0</v>
      </c>
      <c r="L143" s="270">
        <f t="shared" si="44"/>
        <v>177394.37</v>
      </c>
      <c r="M143" s="106">
        <f t="shared" si="44"/>
        <v>0</v>
      </c>
      <c r="N143" s="106">
        <f t="shared" si="44"/>
        <v>0</v>
      </c>
      <c r="O143" s="106">
        <f t="shared" si="44"/>
        <v>4261.03</v>
      </c>
      <c r="P143" s="106">
        <f t="shared" si="44"/>
        <v>0</v>
      </c>
      <c r="Q143" s="187">
        <f t="shared" si="44"/>
        <v>4261.03</v>
      </c>
      <c r="R143" s="87"/>
    </row>
    <row r="144" spans="1:18" ht="12.75">
      <c r="A144" s="39" t="s">
        <v>49</v>
      </c>
      <c r="B144" s="96"/>
      <c r="C144" s="156">
        <f aca="true" t="shared" si="45" ref="C144:Q144">SUM(C146:C165)</f>
        <v>4400.7</v>
      </c>
      <c r="D144" s="115">
        <f t="shared" si="45"/>
        <v>18161.93</v>
      </c>
      <c r="E144" s="173">
        <f t="shared" si="45"/>
        <v>0</v>
      </c>
      <c r="F144" s="192">
        <f t="shared" si="45"/>
        <v>22562.629999999997</v>
      </c>
      <c r="G144" s="237">
        <f t="shared" si="45"/>
        <v>9332.07</v>
      </c>
      <c r="H144" s="238">
        <f t="shared" si="45"/>
        <v>0</v>
      </c>
      <c r="I144" s="274">
        <f t="shared" si="45"/>
        <v>31894.700000000008</v>
      </c>
      <c r="J144" s="278">
        <f t="shared" si="45"/>
        <v>1604.83</v>
      </c>
      <c r="K144" s="238">
        <f t="shared" si="45"/>
        <v>0</v>
      </c>
      <c r="L144" s="274">
        <f t="shared" si="45"/>
        <v>33499.530000000006</v>
      </c>
      <c r="M144" s="114">
        <f t="shared" si="45"/>
        <v>0</v>
      </c>
      <c r="N144" s="114">
        <f t="shared" si="45"/>
        <v>0</v>
      </c>
      <c r="O144" s="114">
        <f t="shared" si="45"/>
        <v>4150.7</v>
      </c>
      <c r="P144" s="114">
        <f t="shared" si="45"/>
        <v>0</v>
      </c>
      <c r="Q144" s="192">
        <f t="shared" si="45"/>
        <v>4150.7</v>
      </c>
      <c r="R144" s="87"/>
    </row>
    <row r="145" spans="1:18" ht="12.75">
      <c r="A145" s="31" t="s">
        <v>26</v>
      </c>
      <c r="B145" s="92"/>
      <c r="C145" s="129"/>
      <c r="D145" s="111"/>
      <c r="E145" s="130"/>
      <c r="F145" s="190"/>
      <c r="G145" s="233"/>
      <c r="H145" s="234"/>
      <c r="I145" s="272"/>
      <c r="J145" s="308"/>
      <c r="K145" s="234"/>
      <c r="L145" s="272"/>
      <c r="M145" s="23"/>
      <c r="N145" s="8"/>
      <c r="O145" s="24"/>
      <c r="P145" s="75"/>
      <c r="Q145" s="73"/>
      <c r="R145" s="87"/>
    </row>
    <row r="146" spans="1:18" ht="12.75">
      <c r="A146" s="33" t="s">
        <v>51</v>
      </c>
      <c r="B146" s="92"/>
      <c r="C146" s="135">
        <v>3350.7</v>
      </c>
      <c r="D146" s="108">
        <f>-100</f>
        <v>-100</v>
      </c>
      <c r="E146" s="136"/>
      <c r="F146" s="188">
        <f aca="true" t="shared" si="46" ref="F146:F165">C146+D146+E146</f>
        <v>3250.7</v>
      </c>
      <c r="G146" s="229">
        <f>-100</f>
        <v>-100</v>
      </c>
      <c r="H146" s="230"/>
      <c r="I146" s="271">
        <f>F146+G146+H146</f>
        <v>3150.7</v>
      </c>
      <c r="J146" s="307">
        <f>1000</f>
        <v>1000</v>
      </c>
      <c r="K146" s="230"/>
      <c r="L146" s="271">
        <f>I146+J146+K146</f>
        <v>4150.7</v>
      </c>
      <c r="M146" s="29"/>
      <c r="N146" s="7"/>
      <c r="O146" s="22">
        <f>L146+M146+N146</f>
        <v>4150.7</v>
      </c>
      <c r="P146" s="75"/>
      <c r="Q146" s="73">
        <f>O146+P146</f>
        <v>4150.7</v>
      </c>
      <c r="R146" s="87"/>
    </row>
    <row r="147" spans="1:18" ht="12.75" hidden="1">
      <c r="A147" s="93" t="s">
        <v>288</v>
      </c>
      <c r="B147" s="92">
        <v>2042</v>
      </c>
      <c r="C147" s="135"/>
      <c r="D147" s="108"/>
      <c r="E147" s="136"/>
      <c r="F147" s="188">
        <f t="shared" si="46"/>
        <v>0</v>
      </c>
      <c r="G147" s="229"/>
      <c r="H147" s="230"/>
      <c r="I147" s="271">
        <f aca="true" t="shared" si="47" ref="I147:I165">F147+G147+H147</f>
        <v>0</v>
      </c>
      <c r="J147" s="305"/>
      <c r="K147" s="230"/>
      <c r="L147" s="271">
        <f aca="true" t="shared" si="48" ref="L147:L165">I147+J147+K147</f>
        <v>0</v>
      </c>
      <c r="M147" s="21"/>
      <c r="N147" s="7"/>
      <c r="O147" s="22">
        <f>L147+M147+N147</f>
        <v>0</v>
      </c>
      <c r="P147" s="75"/>
      <c r="Q147" s="73">
        <f>O147+P147</f>
        <v>0</v>
      </c>
      <c r="R147" s="87"/>
    </row>
    <row r="148" spans="1:18" ht="12.75" hidden="1">
      <c r="A148" s="93" t="s">
        <v>289</v>
      </c>
      <c r="B148" s="92">
        <v>2045</v>
      </c>
      <c r="C148" s="135"/>
      <c r="D148" s="108"/>
      <c r="E148" s="136"/>
      <c r="F148" s="188">
        <f t="shared" si="46"/>
        <v>0</v>
      </c>
      <c r="G148" s="229"/>
      <c r="H148" s="230"/>
      <c r="I148" s="271">
        <f t="shared" si="47"/>
        <v>0</v>
      </c>
      <c r="J148" s="305"/>
      <c r="K148" s="230"/>
      <c r="L148" s="271">
        <f t="shared" si="48"/>
        <v>0</v>
      </c>
      <c r="M148" s="21"/>
      <c r="N148" s="7"/>
      <c r="O148" s="22"/>
      <c r="P148" s="75"/>
      <c r="Q148" s="73"/>
      <c r="R148" s="87"/>
    </row>
    <row r="149" spans="1:18" ht="12" customHeight="1">
      <c r="A149" s="93" t="s">
        <v>336</v>
      </c>
      <c r="B149" s="92">
        <v>2046</v>
      </c>
      <c r="C149" s="135"/>
      <c r="D149" s="108">
        <f>2168.58</f>
        <v>2168.58</v>
      </c>
      <c r="E149" s="136"/>
      <c r="F149" s="188">
        <f t="shared" si="46"/>
        <v>2168.58</v>
      </c>
      <c r="G149" s="229"/>
      <c r="H149" s="230"/>
      <c r="I149" s="271">
        <f t="shared" si="47"/>
        <v>2168.58</v>
      </c>
      <c r="J149" s="305"/>
      <c r="K149" s="230"/>
      <c r="L149" s="271">
        <f t="shared" si="48"/>
        <v>2168.58</v>
      </c>
      <c r="M149" s="21"/>
      <c r="N149" s="7"/>
      <c r="O149" s="22"/>
      <c r="P149" s="75"/>
      <c r="Q149" s="73"/>
      <c r="R149" s="87"/>
    </row>
    <row r="150" spans="1:18" ht="12" customHeight="1">
      <c r="A150" s="93" t="s">
        <v>341</v>
      </c>
      <c r="B150" s="92"/>
      <c r="C150" s="135"/>
      <c r="D150" s="108"/>
      <c r="E150" s="136"/>
      <c r="F150" s="188">
        <f t="shared" si="46"/>
        <v>0</v>
      </c>
      <c r="G150" s="229">
        <f>5884.29</f>
        <v>5884.29</v>
      </c>
      <c r="H150" s="230"/>
      <c r="I150" s="271">
        <f t="shared" si="47"/>
        <v>5884.29</v>
      </c>
      <c r="J150" s="305"/>
      <c r="K150" s="230"/>
      <c r="L150" s="271">
        <f t="shared" si="48"/>
        <v>5884.29</v>
      </c>
      <c r="M150" s="21"/>
      <c r="N150" s="7"/>
      <c r="O150" s="22"/>
      <c r="P150" s="75"/>
      <c r="Q150" s="73"/>
      <c r="R150" s="87"/>
    </row>
    <row r="151" spans="1:18" ht="12.75">
      <c r="A151" s="93" t="s">
        <v>337</v>
      </c>
      <c r="B151" s="92">
        <v>2016</v>
      </c>
      <c r="C151" s="135"/>
      <c r="D151" s="108">
        <f>1499.04</f>
        <v>1499.04</v>
      </c>
      <c r="E151" s="136"/>
      <c r="F151" s="188">
        <f t="shared" si="46"/>
        <v>1499.04</v>
      </c>
      <c r="G151" s="229"/>
      <c r="H151" s="230"/>
      <c r="I151" s="271">
        <f t="shared" si="47"/>
        <v>1499.04</v>
      </c>
      <c r="J151" s="305"/>
      <c r="K151" s="230"/>
      <c r="L151" s="271">
        <f t="shared" si="48"/>
        <v>1499.04</v>
      </c>
      <c r="M151" s="21"/>
      <c r="N151" s="7"/>
      <c r="O151" s="22"/>
      <c r="P151" s="75"/>
      <c r="Q151" s="73"/>
      <c r="R151" s="87"/>
    </row>
    <row r="152" spans="1:18" ht="12.75">
      <c r="A152" s="93" t="s">
        <v>312</v>
      </c>
      <c r="B152" s="92"/>
      <c r="C152" s="135"/>
      <c r="D152" s="108">
        <f>614.77</f>
        <v>614.77</v>
      </c>
      <c r="E152" s="136"/>
      <c r="F152" s="188">
        <f t="shared" si="46"/>
        <v>614.77</v>
      </c>
      <c r="G152" s="229"/>
      <c r="H152" s="230"/>
      <c r="I152" s="271">
        <f t="shared" si="47"/>
        <v>614.77</v>
      </c>
      <c r="J152" s="305"/>
      <c r="K152" s="230"/>
      <c r="L152" s="271">
        <f t="shared" si="48"/>
        <v>614.77</v>
      </c>
      <c r="M152" s="21"/>
      <c r="N152" s="7"/>
      <c r="O152" s="22"/>
      <c r="P152" s="75"/>
      <c r="Q152" s="73"/>
      <c r="R152" s="87"/>
    </row>
    <row r="153" spans="1:18" ht="12.75">
      <c r="A153" s="42" t="s">
        <v>330</v>
      </c>
      <c r="B153" s="92">
        <v>2064</v>
      </c>
      <c r="C153" s="135"/>
      <c r="D153" s="108">
        <f>20.96</f>
        <v>20.96</v>
      </c>
      <c r="E153" s="136"/>
      <c r="F153" s="188">
        <f t="shared" si="46"/>
        <v>20.96</v>
      </c>
      <c r="G153" s="229">
        <f>102.5</f>
        <v>102.5</v>
      </c>
      <c r="H153" s="230"/>
      <c r="I153" s="271">
        <f t="shared" si="47"/>
        <v>123.46000000000001</v>
      </c>
      <c r="J153" s="305">
        <f>-102.5-20.96</f>
        <v>-123.46000000000001</v>
      </c>
      <c r="K153" s="230"/>
      <c r="L153" s="271">
        <f t="shared" si="48"/>
        <v>0</v>
      </c>
      <c r="M153" s="21"/>
      <c r="N153" s="7"/>
      <c r="O153" s="22"/>
      <c r="P153" s="75"/>
      <c r="Q153" s="73"/>
      <c r="R153" s="87"/>
    </row>
    <row r="154" spans="1:18" ht="12.75">
      <c r="A154" s="42" t="s">
        <v>331</v>
      </c>
      <c r="B154" s="92">
        <v>2079</v>
      </c>
      <c r="C154" s="135"/>
      <c r="D154" s="108">
        <f>3750</f>
        <v>3750</v>
      </c>
      <c r="E154" s="136"/>
      <c r="F154" s="188">
        <f t="shared" si="46"/>
        <v>3750</v>
      </c>
      <c r="G154" s="229">
        <f>34.92</f>
        <v>34.92</v>
      </c>
      <c r="H154" s="230"/>
      <c r="I154" s="271">
        <f t="shared" si="47"/>
        <v>3784.92</v>
      </c>
      <c r="J154" s="305">
        <f>12.31</f>
        <v>12.31</v>
      </c>
      <c r="K154" s="230"/>
      <c r="L154" s="271">
        <f t="shared" si="48"/>
        <v>3797.23</v>
      </c>
      <c r="M154" s="21"/>
      <c r="N154" s="7"/>
      <c r="O154" s="22"/>
      <c r="P154" s="75"/>
      <c r="Q154" s="73"/>
      <c r="R154" s="87"/>
    </row>
    <row r="155" spans="1:18" ht="12.75">
      <c r="A155" s="93" t="s">
        <v>295</v>
      </c>
      <c r="B155" s="92">
        <v>2079</v>
      </c>
      <c r="C155" s="135"/>
      <c r="D155" s="108"/>
      <c r="E155" s="136"/>
      <c r="F155" s="188">
        <f t="shared" si="46"/>
        <v>0</v>
      </c>
      <c r="G155" s="229">
        <f>185.49</f>
        <v>185.49</v>
      </c>
      <c r="H155" s="230"/>
      <c r="I155" s="271">
        <f t="shared" si="47"/>
        <v>185.49</v>
      </c>
      <c r="J155" s="305">
        <f>-34.1</f>
        <v>-34.1</v>
      </c>
      <c r="K155" s="230"/>
      <c r="L155" s="271">
        <f t="shared" si="48"/>
        <v>151.39000000000001</v>
      </c>
      <c r="M155" s="21"/>
      <c r="N155" s="7"/>
      <c r="O155" s="22"/>
      <c r="P155" s="75"/>
      <c r="Q155" s="73"/>
      <c r="R155" s="87"/>
    </row>
    <row r="156" spans="1:18" ht="12.75" hidden="1">
      <c r="A156" s="42" t="s">
        <v>332</v>
      </c>
      <c r="B156" s="92">
        <v>2067</v>
      </c>
      <c r="C156" s="135"/>
      <c r="D156" s="108"/>
      <c r="E156" s="136"/>
      <c r="F156" s="188">
        <f t="shared" si="46"/>
        <v>0</v>
      </c>
      <c r="G156" s="229"/>
      <c r="H156" s="230"/>
      <c r="I156" s="271">
        <f t="shared" si="47"/>
        <v>0</v>
      </c>
      <c r="J156" s="305"/>
      <c r="K156" s="230"/>
      <c r="L156" s="271">
        <f t="shared" si="48"/>
        <v>0</v>
      </c>
      <c r="M156" s="21"/>
      <c r="N156" s="7"/>
      <c r="O156" s="22"/>
      <c r="P156" s="75"/>
      <c r="Q156" s="73"/>
      <c r="R156" s="87"/>
    </row>
    <row r="157" spans="1:18" ht="12.75" hidden="1">
      <c r="A157" s="93" t="s">
        <v>287</v>
      </c>
      <c r="B157" s="92">
        <v>2067</v>
      </c>
      <c r="C157" s="135"/>
      <c r="D157" s="108"/>
      <c r="E157" s="136"/>
      <c r="F157" s="188">
        <f t="shared" si="46"/>
        <v>0</v>
      </c>
      <c r="G157" s="229"/>
      <c r="H157" s="230"/>
      <c r="I157" s="271">
        <f t="shared" si="47"/>
        <v>0</v>
      </c>
      <c r="J157" s="305"/>
      <c r="K157" s="230"/>
      <c r="L157" s="271">
        <f t="shared" si="48"/>
        <v>0</v>
      </c>
      <c r="M157" s="21"/>
      <c r="N157" s="7"/>
      <c r="O157" s="22"/>
      <c r="P157" s="75"/>
      <c r="Q157" s="73"/>
      <c r="R157" s="87"/>
    </row>
    <row r="158" spans="1:18" ht="12.75">
      <c r="A158" s="93" t="s">
        <v>333</v>
      </c>
      <c r="B158" s="92">
        <v>2074</v>
      </c>
      <c r="C158" s="135"/>
      <c r="D158" s="108">
        <f>1621.81</f>
        <v>1621.81</v>
      </c>
      <c r="E158" s="136"/>
      <c r="F158" s="188">
        <f t="shared" si="46"/>
        <v>1621.81</v>
      </c>
      <c r="G158" s="229"/>
      <c r="H158" s="230"/>
      <c r="I158" s="271">
        <f t="shared" si="47"/>
        <v>1621.81</v>
      </c>
      <c r="J158" s="305"/>
      <c r="K158" s="230"/>
      <c r="L158" s="271">
        <f t="shared" si="48"/>
        <v>1621.81</v>
      </c>
      <c r="M158" s="21"/>
      <c r="N158" s="7"/>
      <c r="O158" s="22"/>
      <c r="P158" s="75"/>
      <c r="Q158" s="73"/>
      <c r="R158" s="87"/>
    </row>
    <row r="159" spans="1:18" ht="12.75">
      <c r="A159" s="93" t="s">
        <v>297</v>
      </c>
      <c r="B159" s="92">
        <v>2074</v>
      </c>
      <c r="C159" s="135"/>
      <c r="D159" s="108"/>
      <c r="E159" s="136"/>
      <c r="F159" s="188">
        <f t="shared" si="46"/>
        <v>0</v>
      </c>
      <c r="G159" s="229">
        <f>1340.02</f>
        <v>1340.02</v>
      </c>
      <c r="H159" s="230"/>
      <c r="I159" s="271">
        <f t="shared" si="47"/>
        <v>1340.02</v>
      </c>
      <c r="J159" s="305"/>
      <c r="K159" s="230"/>
      <c r="L159" s="271">
        <f t="shared" si="48"/>
        <v>1340.02</v>
      </c>
      <c r="M159" s="21"/>
      <c r="N159" s="7"/>
      <c r="O159" s="22"/>
      <c r="P159" s="75"/>
      <c r="Q159" s="73"/>
      <c r="R159" s="87"/>
    </row>
    <row r="160" spans="1:18" ht="12.75" hidden="1">
      <c r="A160" s="93" t="s">
        <v>366</v>
      </c>
      <c r="B160" s="92">
        <v>1501</v>
      </c>
      <c r="C160" s="135"/>
      <c r="D160" s="108"/>
      <c r="E160" s="136"/>
      <c r="F160" s="188"/>
      <c r="G160" s="229"/>
      <c r="H160" s="230"/>
      <c r="I160" s="271">
        <f t="shared" si="47"/>
        <v>0</v>
      </c>
      <c r="J160" s="305"/>
      <c r="K160" s="230"/>
      <c r="L160" s="271">
        <f t="shared" si="48"/>
        <v>0</v>
      </c>
      <c r="M160" s="21"/>
      <c r="N160" s="7"/>
      <c r="O160" s="22"/>
      <c r="P160" s="75"/>
      <c r="Q160" s="73"/>
      <c r="R160" s="87"/>
    </row>
    <row r="161" spans="1:18" ht="12.75" hidden="1">
      <c r="A161" s="93" t="s">
        <v>334</v>
      </c>
      <c r="B161" s="92">
        <v>2068</v>
      </c>
      <c r="C161" s="135"/>
      <c r="D161" s="108"/>
      <c r="E161" s="136"/>
      <c r="F161" s="188">
        <f t="shared" si="46"/>
        <v>0</v>
      </c>
      <c r="G161" s="229"/>
      <c r="H161" s="230"/>
      <c r="I161" s="271">
        <f t="shared" si="47"/>
        <v>0</v>
      </c>
      <c r="J161" s="305"/>
      <c r="K161" s="230"/>
      <c r="L161" s="271">
        <f t="shared" si="48"/>
        <v>0</v>
      </c>
      <c r="M161" s="21"/>
      <c r="N161" s="7"/>
      <c r="O161" s="22"/>
      <c r="P161" s="75"/>
      <c r="Q161" s="73"/>
      <c r="R161" s="87"/>
    </row>
    <row r="162" spans="1:18" ht="12.75" hidden="1">
      <c r="A162" s="93" t="s">
        <v>335</v>
      </c>
      <c r="B162" s="92">
        <v>2242</v>
      </c>
      <c r="C162" s="135"/>
      <c r="D162" s="108"/>
      <c r="E162" s="136"/>
      <c r="F162" s="188">
        <f t="shared" si="46"/>
        <v>0</v>
      </c>
      <c r="G162" s="229"/>
      <c r="H162" s="230"/>
      <c r="I162" s="271">
        <f t="shared" si="47"/>
        <v>0</v>
      </c>
      <c r="J162" s="305"/>
      <c r="K162" s="230"/>
      <c r="L162" s="271">
        <f t="shared" si="48"/>
        <v>0</v>
      </c>
      <c r="M162" s="21"/>
      <c r="N162" s="7"/>
      <c r="O162" s="22"/>
      <c r="P162" s="75"/>
      <c r="Q162" s="73"/>
      <c r="R162" s="87"/>
    </row>
    <row r="163" spans="1:18" ht="12.75">
      <c r="A163" s="42" t="s">
        <v>338</v>
      </c>
      <c r="B163" s="92">
        <v>2071</v>
      </c>
      <c r="C163" s="135"/>
      <c r="D163" s="108">
        <f>328.83</f>
        <v>328.83</v>
      </c>
      <c r="E163" s="136"/>
      <c r="F163" s="188">
        <f t="shared" si="46"/>
        <v>328.83</v>
      </c>
      <c r="G163" s="229"/>
      <c r="H163" s="230"/>
      <c r="I163" s="271">
        <f t="shared" si="47"/>
        <v>328.83</v>
      </c>
      <c r="J163" s="305"/>
      <c r="K163" s="230"/>
      <c r="L163" s="271">
        <f t="shared" si="48"/>
        <v>328.83</v>
      </c>
      <c r="M163" s="21"/>
      <c r="N163" s="7"/>
      <c r="O163" s="22"/>
      <c r="P163" s="75"/>
      <c r="Q163" s="73"/>
      <c r="R163" s="87"/>
    </row>
    <row r="164" spans="1:18" ht="12.75" hidden="1">
      <c r="A164" s="93" t="s">
        <v>353</v>
      </c>
      <c r="B164" s="92">
        <v>2052</v>
      </c>
      <c r="C164" s="135"/>
      <c r="D164" s="108"/>
      <c r="E164" s="136"/>
      <c r="F164" s="188">
        <f t="shared" si="46"/>
        <v>0</v>
      </c>
      <c r="G164" s="229"/>
      <c r="H164" s="230"/>
      <c r="I164" s="271">
        <f t="shared" si="47"/>
        <v>0</v>
      </c>
      <c r="J164" s="305"/>
      <c r="K164" s="230"/>
      <c r="L164" s="271">
        <f t="shared" si="48"/>
        <v>0</v>
      </c>
      <c r="M164" s="21"/>
      <c r="N164" s="7"/>
      <c r="O164" s="22"/>
      <c r="P164" s="75"/>
      <c r="Q164" s="73"/>
      <c r="R164" s="87"/>
    </row>
    <row r="165" spans="1:18" ht="12.75">
      <c r="A165" s="33" t="s">
        <v>77</v>
      </c>
      <c r="B165" s="92"/>
      <c r="C165" s="135">
        <v>1050</v>
      </c>
      <c r="D165" s="108">
        <f>914+100+5650.67+130.6+940.53+522.14</f>
        <v>8257.94</v>
      </c>
      <c r="E165" s="136"/>
      <c r="F165" s="188">
        <f t="shared" si="46"/>
        <v>9307.94</v>
      </c>
      <c r="G165" s="229">
        <f>15.83+269.02+1600</f>
        <v>1884.85</v>
      </c>
      <c r="H165" s="230"/>
      <c r="I165" s="271">
        <f t="shared" si="47"/>
        <v>11192.79</v>
      </c>
      <c r="J165" s="305">
        <f>102.5+294.23+17.31+17.5+297.58+20.96</f>
        <v>750.08</v>
      </c>
      <c r="K165" s="230"/>
      <c r="L165" s="271">
        <f t="shared" si="48"/>
        <v>11942.87</v>
      </c>
      <c r="M165" s="21"/>
      <c r="N165" s="7"/>
      <c r="O165" s="22"/>
      <c r="P165" s="75"/>
      <c r="Q165" s="73"/>
      <c r="R165" s="87"/>
    </row>
    <row r="166" spans="1:18" ht="12.75">
      <c r="A166" s="40" t="s">
        <v>54</v>
      </c>
      <c r="B166" s="96"/>
      <c r="C166" s="158">
        <f>SUM(C168:C175)</f>
        <v>0</v>
      </c>
      <c r="D166" s="118">
        <f aca="true" t="shared" si="49" ref="D166:Q166">SUM(D168:D175)</f>
        <v>60848.32</v>
      </c>
      <c r="E166" s="174">
        <f t="shared" si="49"/>
        <v>0</v>
      </c>
      <c r="F166" s="193">
        <f t="shared" si="49"/>
        <v>60848.32</v>
      </c>
      <c r="G166" s="239">
        <f t="shared" si="49"/>
        <v>60695.899999999994</v>
      </c>
      <c r="H166" s="240">
        <f t="shared" si="49"/>
        <v>0</v>
      </c>
      <c r="I166" s="275">
        <f t="shared" si="49"/>
        <v>121544.22</v>
      </c>
      <c r="J166" s="292">
        <f t="shared" si="49"/>
        <v>22350.62</v>
      </c>
      <c r="K166" s="240">
        <f t="shared" si="49"/>
        <v>0</v>
      </c>
      <c r="L166" s="275">
        <f t="shared" si="49"/>
        <v>143894.84</v>
      </c>
      <c r="M166" s="117">
        <f t="shared" si="49"/>
        <v>0</v>
      </c>
      <c r="N166" s="117">
        <f t="shared" si="49"/>
        <v>0</v>
      </c>
      <c r="O166" s="117">
        <f t="shared" si="49"/>
        <v>110.33</v>
      </c>
      <c r="P166" s="117">
        <f t="shared" si="49"/>
        <v>0</v>
      </c>
      <c r="Q166" s="193">
        <f t="shared" si="49"/>
        <v>110.33</v>
      </c>
      <c r="R166" s="87"/>
    </row>
    <row r="167" spans="1:18" ht="12.75">
      <c r="A167" s="42" t="s">
        <v>26</v>
      </c>
      <c r="B167" s="92"/>
      <c r="C167" s="135"/>
      <c r="D167" s="108"/>
      <c r="E167" s="136"/>
      <c r="F167" s="188"/>
      <c r="G167" s="229"/>
      <c r="H167" s="230"/>
      <c r="I167" s="271"/>
      <c r="J167" s="305"/>
      <c r="K167" s="230"/>
      <c r="L167" s="271"/>
      <c r="M167" s="21"/>
      <c r="N167" s="7"/>
      <c r="O167" s="22"/>
      <c r="P167" s="75"/>
      <c r="Q167" s="73"/>
      <c r="R167" s="87"/>
    </row>
    <row r="168" spans="1:18" ht="12.75" hidden="1">
      <c r="A168" s="42" t="s">
        <v>296</v>
      </c>
      <c r="B168" s="92">
        <v>2057</v>
      </c>
      <c r="C168" s="135"/>
      <c r="D168" s="108"/>
      <c r="E168" s="136"/>
      <c r="F168" s="188">
        <f aca="true" t="shared" si="50" ref="F168:F175">C168+D168+E168</f>
        <v>0</v>
      </c>
      <c r="G168" s="229"/>
      <c r="H168" s="230"/>
      <c r="I168" s="271">
        <f aca="true" t="shared" si="51" ref="I168:I175">F168+G168+H168</f>
        <v>0</v>
      </c>
      <c r="J168" s="305"/>
      <c r="K168" s="230"/>
      <c r="L168" s="271">
        <f>I168+J168+K168</f>
        <v>0</v>
      </c>
      <c r="M168" s="21"/>
      <c r="N168" s="7"/>
      <c r="O168" s="22">
        <f>L168+M168+N168</f>
        <v>0</v>
      </c>
      <c r="P168" s="75"/>
      <c r="Q168" s="73">
        <f aca="true" t="shared" si="52" ref="Q168:Q232">O168+P168</f>
        <v>0</v>
      </c>
      <c r="R168" s="87"/>
    </row>
    <row r="169" spans="1:18" ht="12.75" hidden="1">
      <c r="A169" s="42" t="s">
        <v>290</v>
      </c>
      <c r="B169" s="92">
        <v>2064</v>
      </c>
      <c r="C169" s="135"/>
      <c r="D169" s="108"/>
      <c r="E169" s="136"/>
      <c r="F169" s="188">
        <f t="shared" si="50"/>
        <v>0</v>
      </c>
      <c r="G169" s="229"/>
      <c r="H169" s="230"/>
      <c r="I169" s="271">
        <f t="shared" si="51"/>
        <v>0</v>
      </c>
      <c r="J169" s="305"/>
      <c r="K169" s="230"/>
      <c r="L169" s="271"/>
      <c r="M169" s="21"/>
      <c r="N169" s="7"/>
      <c r="O169" s="22"/>
      <c r="P169" s="75"/>
      <c r="Q169" s="73"/>
      <c r="R169" s="87"/>
    </row>
    <row r="170" spans="1:18" ht="12.75">
      <c r="A170" s="42" t="s">
        <v>331</v>
      </c>
      <c r="B170" s="92">
        <v>2079</v>
      </c>
      <c r="C170" s="135"/>
      <c r="D170" s="108">
        <f>60848.32</f>
        <v>60848.32</v>
      </c>
      <c r="E170" s="136"/>
      <c r="F170" s="188">
        <f t="shared" si="50"/>
        <v>60848.32</v>
      </c>
      <c r="G170" s="229"/>
      <c r="H170" s="230"/>
      <c r="I170" s="271">
        <f t="shared" si="51"/>
        <v>60848.32</v>
      </c>
      <c r="J170" s="305"/>
      <c r="K170" s="230"/>
      <c r="L170" s="271">
        <f aca="true" t="shared" si="53" ref="L170:L175">I170+J170+K170</f>
        <v>60848.32</v>
      </c>
      <c r="M170" s="21"/>
      <c r="N170" s="7"/>
      <c r="O170" s="22"/>
      <c r="P170" s="75"/>
      <c r="Q170" s="73"/>
      <c r="R170" s="87"/>
    </row>
    <row r="171" spans="1:18" ht="12.75">
      <c r="A171" s="93" t="s">
        <v>295</v>
      </c>
      <c r="B171" s="92">
        <v>2079</v>
      </c>
      <c r="C171" s="135"/>
      <c r="D171" s="108"/>
      <c r="E171" s="136"/>
      <c r="F171" s="188">
        <f t="shared" si="50"/>
        <v>0</v>
      </c>
      <c r="G171" s="229">
        <f>3826.81</f>
        <v>3826.81</v>
      </c>
      <c r="H171" s="230"/>
      <c r="I171" s="271">
        <f t="shared" si="51"/>
        <v>3826.81</v>
      </c>
      <c r="J171" s="305">
        <f>34.1</f>
        <v>34.1</v>
      </c>
      <c r="K171" s="230"/>
      <c r="L171" s="271">
        <f t="shared" si="53"/>
        <v>3860.91</v>
      </c>
      <c r="M171" s="21"/>
      <c r="N171" s="7"/>
      <c r="O171" s="22"/>
      <c r="P171" s="75"/>
      <c r="Q171" s="73"/>
      <c r="R171" s="87"/>
    </row>
    <row r="172" spans="1:18" ht="12.75">
      <c r="A172" s="93" t="s">
        <v>352</v>
      </c>
      <c r="B172" s="92">
        <v>2084</v>
      </c>
      <c r="C172" s="135"/>
      <c r="D172" s="108"/>
      <c r="E172" s="136"/>
      <c r="F172" s="188">
        <f t="shared" si="50"/>
        <v>0</v>
      </c>
      <c r="G172" s="229">
        <f>56769.09</f>
        <v>56769.09</v>
      </c>
      <c r="H172" s="230"/>
      <c r="I172" s="271">
        <f t="shared" si="51"/>
        <v>56769.09</v>
      </c>
      <c r="J172" s="305">
        <f>22306.19</f>
        <v>22306.19</v>
      </c>
      <c r="K172" s="230"/>
      <c r="L172" s="271">
        <f t="shared" si="53"/>
        <v>79075.28</v>
      </c>
      <c r="M172" s="21"/>
      <c r="N172" s="7"/>
      <c r="O172" s="22"/>
      <c r="P172" s="75"/>
      <c r="Q172" s="73"/>
      <c r="R172" s="87"/>
    </row>
    <row r="173" spans="1:18" ht="12.75" hidden="1">
      <c r="A173" s="33" t="s">
        <v>69</v>
      </c>
      <c r="B173" s="92"/>
      <c r="C173" s="135"/>
      <c r="D173" s="108"/>
      <c r="E173" s="136"/>
      <c r="F173" s="188">
        <f t="shared" si="50"/>
        <v>0</v>
      </c>
      <c r="G173" s="229"/>
      <c r="H173" s="230"/>
      <c r="I173" s="271">
        <f t="shared" si="51"/>
        <v>0</v>
      </c>
      <c r="J173" s="305"/>
      <c r="K173" s="230"/>
      <c r="L173" s="271">
        <f t="shared" si="53"/>
        <v>0</v>
      </c>
      <c r="M173" s="21"/>
      <c r="N173" s="7"/>
      <c r="O173" s="22">
        <f>L173+M173+N173</f>
        <v>0</v>
      </c>
      <c r="P173" s="75"/>
      <c r="Q173" s="73">
        <f t="shared" si="52"/>
        <v>0</v>
      </c>
      <c r="R173" s="87"/>
    </row>
    <row r="174" spans="1:18" ht="12.75" hidden="1">
      <c r="A174" s="36" t="s">
        <v>55</v>
      </c>
      <c r="B174" s="95"/>
      <c r="C174" s="157"/>
      <c r="D174" s="116"/>
      <c r="E174" s="214"/>
      <c r="F174" s="224">
        <f t="shared" si="50"/>
        <v>0</v>
      </c>
      <c r="G174" s="229"/>
      <c r="H174" s="230"/>
      <c r="I174" s="271">
        <f t="shared" si="51"/>
        <v>0</v>
      </c>
      <c r="J174" s="305"/>
      <c r="K174" s="230"/>
      <c r="L174" s="271">
        <f t="shared" si="53"/>
        <v>0</v>
      </c>
      <c r="M174" s="21"/>
      <c r="N174" s="7"/>
      <c r="O174" s="22">
        <f>L174+M174+N174</f>
        <v>0</v>
      </c>
      <c r="P174" s="75"/>
      <c r="Q174" s="73">
        <f t="shared" si="52"/>
        <v>0</v>
      </c>
      <c r="R174" s="87"/>
    </row>
    <row r="175" spans="1:18" ht="12.75">
      <c r="A175" s="36" t="s">
        <v>77</v>
      </c>
      <c r="B175" s="95"/>
      <c r="C175" s="157"/>
      <c r="D175" s="116"/>
      <c r="E175" s="214"/>
      <c r="F175" s="224">
        <f t="shared" si="50"/>
        <v>0</v>
      </c>
      <c r="G175" s="241">
        <f>100</f>
        <v>100</v>
      </c>
      <c r="H175" s="242"/>
      <c r="I175" s="276">
        <f t="shared" si="51"/>
        <v>100</v>
      </c>
      <c r="J175" s="310">
        <f>10.33</f>
        <v>10.33</v>
      </c>
      <c r="K175" s="242"/>
      <c r="L175" s="276">
        <f t="shared" si="53"/>
        <v>110.33</v>
      </c>
      <c r="M175" s="25"/>
      <c r="N175" s="10"/>
      <c r="O175" s="26">
        <f>L175+M175+N175</f>
        <v>110.33</v>
      </c>
      <c r="P175" s="78"/>
      <c r="Q175" s="79">
        <f t="shared" si="52"/>
        <v>110.33</v>
      </c>
      <c r="R175" s="87"/>
    </row>
    <row r="176" spans="1:18" ht="12.75">
      <c r="A176" s="30" t="s">
        <v>81</v>
      </c>
      <c r="B176" s="96"/>
      <c r="C176" s="142">
        <f aca="true" t="shared" si="54" ref="C176:Q176">C177+C221</f>
        <v>408411.32</v>
      </c>
      <c r="D176" s="107">
        <f t="shared" si="54"/>
        <v>9143252.959999997</v>
      </c>
      <c r="E176" s="143">
        <f t="shared" si="54"/>
        <v>0</v>
      </c>
      <c r="F176" s="187">
        <f t="shared" si="54"/>
        <v>9551664.279999997</v>
      </c>
      <c r="G176" s="227">
        <f t="shared" si="54"/>
        <v>129997.79</v>
      </c>
      <c r="H176" s="228">
        <f t="shared" si="54"/>
        <v>0</v>
      </c>
      <c r="I176" s="270">
        <f t="shared" si="54"/>
        <v>9681662.07</v>
      </c>
      <c r="J176" s="288">
        <f>J177+J221</f>
        <v>219844.96</v>
      </c>
      <c r="K176" s="228">
        <f>K177+K221</f>
        <v>0</v>
      </c>
      <c r="L176" s="270">
        <f>L177+L221</f>
        <v>9901507.029999997</v>
      </c>
      <c r="M176" s="106">
        <f t="shared" si="54"/>
        <v>0</v>
      </c>
      <c r="N176" s="106">
        <f t="shared" si="54"/>
        <v>0</v>
      </c>
      <c r="O176" s="106">
        <f t="shared" si="54"/>
        <v>830889.1499999999</v>
      </c>
      <c r="P176" s="106">
        <f t="shared" si="54"/>
        <v>0</v>
      </c>
      <c r="Q176" s="187">
        <f t="shared" si="54"/>
        <v>830889.1499999999</v>
      </c>
      <c r="R176" s="87"/>
    </row>
    <row r="177" spans="1:18" ht="12.75">
      <c r="A177" s="39" t="s">
        <v>49</v>
      </c>
      <c r="B177" s="96"/>
      <c r="C177" s="156">
        <f aca="true" t="shared" si="55" ref="C177:Q177">SUM(C179:C220)</f>
        <v>407671.32</v>
      </c>
      <c r="D177" s="115">
        <f t="shared" si="55"/>
        <v>9133182.859999998</v>
      </c>
      <c r="E177" s="173">
        <f t="shared" si="55"/>
        <v>0</v>
      </c>
      <c r="F177" s="192">
        <f t="shared" si="55"/>
        <v>9540854.179999998</v>
      </c>
      <c r="G177" s="237">
        <f t="shared" si="55"/>
        <v>122970.28</v>
      </c>
      <c r="H177" s="238">
        <f t="shared" si="55"/>
        <v>0</v>
      </c>
      <c r="I177" s="274">
        <f t="shared" si="55"/>
        <v>9663824.46</v>
      </c>
      <c r="J177" s="278">
        <f>SUM(J179:J220)</f>
        <v>210106.09</v>
      </c>
      <c r="K177" s="238">
        <f>SUM(K179:K220)</f>
        <v>0</v>
      </c>
      <c r="L177" s="274">
        <f>SUM(L179:L220)</f>
        <v>9873930.549999997</v>
      </c>
      <c r="M177" s="114">
        <f t="shared" si="55"/>
        <v>0</v>
      </c>
      <c r="N177" s="114">
        <f t="shared" si="55"/>
        <v>0</v>
      </c>
      <c r="O177" s="114">
        <f t="shared" si="55"/>
        <v>812298.21</v>
      </c>
      <c r="P177" s="114">
        <f t="shared" si="55"/>
        <v>0</v>
      </c>
      <c r="Q177" s="192">
        <f t="shared" si="55"/>
        <v>812298.21</v>
      </c>
      <c r="R177" s="87"/>
    </row>
    <row r="178" spans="1:18" ht="12.75">
      <c r="A178" s="31" t="s">
        <v>26</v>
      </c>
      <c r="B178" s="92"/>
      <c r="C178" s="135"/>
      <c r="D178" s="108"/>
      <c r="E178" s="136"/>
      <c r="F178" s="188"/>
      <c r="G178" s="229"/>
      <c r="H178" s="230"/>
      <c r="I178" s="271"/>
      <c r="J178" s="305"/>
      <c r="K178" s="230"/>
      <c r="L178" s="271"/>
      <c r="M178" s="21"/>
      <c r="N178" s="7"/>
      <c r="O178" s="22"/>
      <c r="P178" s="75"/>
      <c r="Q178" s="73"/>
      <c r="R178" s="87"/>
    </row>
    <row r="179" spans="1:18" ht="12.75">
      <c r="A179" s="37" t="s">
        <v>74</v>
      </c>
      <c r="B179" s="92"/>
      <c r="C179" s="135">
        <v>363888.25</v>
      </c>
      <c r="D179" s="108">
        <f>3679.9+16091.19+696</f>
        <v>20467.09</v>
      </c>
      <c r="E179" s="136"/>
      <c r="F179" s="188">
        <f aca="true" t="shared" si="56" ref="F179:F220">C179+D179+E179</f>
        <v>384355.34</v>
      </c>
      <c r="G179" s="229">
        <f>6051.24</f>
        <v>6051.24</v>
      </c>
      <c r="H179" s="230"/>
      <c r="I179" s="271">
        <f>F179+G179+H179</f>
        <v>390406.58</v>
      </c>
      <c r="J179" s="305">
        <f>6705.1+5000</f>
        <v>11705.1</v>
      </c>
      <c r="K179" s="230"/>
      <c r="L179" s="271">
        <f>I179+J179+K179</f>
        <v>402111.68</v>
      </c>
      <c r="M179" s="21"/>
      <c r="N179" s="7"/>
      <c r="O179" s="22">
        <f>L179+M179+N179</f>
        <v>402111.68</v>
      </c>
      <c r="P179" s="75"/>
      <c r="Q179" s="73">
        <f t="shared" si="52"/>
        <v>402111.68</v>
      </c>
      <c r="R179" s="87"/>
    </row>
    <row r="180" spans="1:18" ht="12.75">
      <c r="A180" s="37" t="s">
        <v>281</v>
      </c>
      <c r="B180" s="92">
        <v>33353</v>
      </c>
      <c r="C180" s="135"/>
      <c r="D180" s="108">
        <f>8955820.02</f>
        <v>8955820.02</v>
      </c>
      <c r="E180" s="136"/>
      <c r="F180" s="188">
        <f t="shared" si="56"/>
        <v>8955820.02</v>
      </c>
      <c r="G180" s="229"/>
      <c r="H180" s="230"/>
      <c r="I180" s="271">
        <f aca="true" t="shared" si="57" ref="I180:I215">F180+G180+H180</f>
        <v>8955820.02</v>
      </c>
      <c r="J180" s="305">
        <f>12692.03</f>
        <v>12692.03</v>
      </c>
      <c r="K180" s="230"/>
      <c r="L180" s="271">
        <f aca="true" t="shared" si="58" ref="L180:L219">I180+J180+K180</f>
        <v>8968512.049999999</v>
      </c>
      <c r="M180" s="21"/>
      <c r="N180" s="7"/>
      <c r="O180" s="22"/>
      <c r="P180" s="75"/>
      <c r="Q180" s="73"/>
      <c r="R180" s="87"/>
    </row>
    <row r="181" spans="1:18" ht="12.75" hidden="1">
      <c r="A181" s="37" t="s">
        <v>82</v>
      </c>
      <c r="B181" s="92">
        <v>33353</v>
      </c>
      <c r="C181" s="135"/>
      <c r="D181" s="119"/>
      <c r="E181" s="136"/>
      <c r="F181" s="188">
        <f t="shared" si="56"/>
        <v>0</v>
      </c>
      <c r="G181" s="229"/>
      <c r="H181" s="230"/>
      <c r="I181" s="271">
        <f t="shared" si="57"/>
        <v>0</v>
      </c>
      <c r="J181" s="305"/>
      <c r="K181" s="230"/>
      <c r="L181" s="271">
        <f t="shared" si="58"/>
        <v>0</v>
      </c>
      <c r="M181" s="21"/>
      <c r="N181" s="7"/>
      <c r="O181" s="22">
        <f aca="true" t="shared" si="59" ref="O181:O220">L181+M181+N181</f>
        <v>0</v>
      </c>
      <c r="P181" s="75"/>
      <c r="Q181" s="73">
        <f t="shared" si="52"/>
        <v>0</v>
      </c>
      <c r="R181" s="87"/>
    </row>
    <row r="182" spans="1:18" ht="13.5" hidden="1" thickBot="1">
      <c r="A182" s="202" t="s">
        <v>83</v>
      </c>
      <c r="B182" s="133">
        <v>33353</v>
      </c>
      <c r="C182" s="159"/>
      <c r="D182" s="134"/>
      <c r="E182" s="213"/>
      <c r="F182" s="223">
        <f t="shared" si="56"/>
        <v>0</v>
      </c>
      <c r="G182" s="229"/>
      <c r="H182" s="230"/>
      <c r="I182" s="271">
        <f t="shared" si="57"/>
        <v>0</v>
      </c>
      <c r="J182" s="305"/>
      <c r="K182" s="230"/>
      <c r="L182" s="271">
        <f t="shared" si="58"/>
        <v>0</v>
      </c>
      <c r="M182" s="21"/>
      <c r="N182" s="7"/>
      <c r="O182" s="22">
        <f t="shared" si="59"/>
        <v>0</v>
      </c>
      <c r="P182" s="75"/>
      <c r="Q182" s="73">
        <f t="shared" si="52"/>
        <v>0</v>
      </c>
      <c r="R182" s="87"/>
    </row>
    <row r="183" spans="1:18" ht="12.75">
      <c r="A183" s="37" t="s">
        <v>282</v>
      </c>
      <c r="B183" s="92">
        <v>33155</v>
      </c>
      <c r="C183" s="135"/>
      <c r="D183" s="119">
        <f>115949.1</f>
        <v>115949.1</v>
      </c>
      <c r="E183" s="136"/>
      <c r="F183" s="188">
        <f t="shared" si="56"/>
        <v>115949.1</v>
      </c>
      <c r="G183" s="229">
        <f>111324.54</f>
        <v>111324.54</v>
      </c>
      <c r="H183" s="230"/>
      <c r="I183" s="271">
        <f t="shared" si="57"/>
        <v>227273.64</v>
      </c>
      <c r="J183" s="305">
        <f>116717.2</f>
        <v>116717.2</v>
      </c>
      <c r="K183" s="230"/>
      <c r="L183" s="271">
        <f t="shared" si="58"/>
        <v>343990.84</v>
      </c>
      <c r="M183" s="21"/>
      <c r="N183" s="7"/>
      <c r="O183" s="22">
        <f t="shared" si="59"/>
        <v>343990.84</v>
      </c>
      <c r="P183" s="75"/>
      <c r="Q183" s="73">
        <f t="shared" si="52"/>
        <v>343990.84</v>
      </c>
      <c r="R183" s="87"/>
    </row>
    <row r="184" spans="1:18" ht="12.75" hidden="1">
      <c r="A184" s="37" t="s">
        <v>84</v>
      </c>
      <c r="B184" s="92" t="s">
        <v>211</v>
      </c>
      <c r="C184" s="135"/>
      <c r="D184" s="108"/>
      <c r="E184" s="136"/>
      <c r="F184" s="188">
        <f t="shared" si="56"/>
        <v>0</v>
      </c>
      <c r="G184" s="229"/>
      <c r="H184" s="230"/>
      <c r="I184" s="271">
        <f t="shared" si="57"/>
        <v>0</v>
      </c>
      <c r="J184" s="305"/>
      <c r="K184" s="230"/>
      <c r="L184" s="271">
        <f t="shared" si="58"/>
        <v>0</v>
      </c>
      <c r="M184" s="21"/>
      <c r="N184" s="7"/>
      <c r="O184" s="22">
        <f t="shared" si="59"/>
        <v>0</v>
      </c>
      <c r="P184" s="75"/>
      <c r="Q184" s="73">
        <f t="shared" si="52"/>
        <v>0</v>
      </c>
      <c r="R184" s="87"/>
    </row>
    <row r="185" spans="1:18" ht="12.75" hidden="1">
      <c r="A185" s="37" t="s">
        <v>138</v>
      </c>
      <c r="B185" s="92"/>
      <c r="C185" s="135"/>
      <c r="D185" s="108"/>
      <c r="E185" s="136"/>
      <c r="F185" s="188">
        <f t="shared" si="56"/>
        <v>0</v>
      </c>
      <c r="G185" s="229"/>
      <c r="H185" s="230"/>
      <c r="I185" s="271">
        <f t="shared" si="57"/>
        <v>0</v>
      </c>
      <c r="J185" s="305"/>
      <c r="K185" s="230"/>
      <c r="L185" s="271">
        <f t="shared" si="58"/>
        <v>0</v>
      </c>
      <c r="M185" s="21"/>
      <c r="N185" s="7"/>
      <c r="O185" s="22">
        <f t="shared" si="59"/>
        <v>0</v>
      </c>
      <c r="P185" s="75"/>
      <c r="Q185" s="73">
        <f t="shared" si="52"/>
        <v>0</v>
      </c>
      <c r="R185" s="87"/>
    </row>
    <row r="186" spans="1:18" ht="12.75" hidden="1">
      <c r="A186" s="37" t="s">
        <v>208</v>
      </c>
      <c r="B186" s="92">
        <v>33215</v>
      </c>
      <c r="C186" s="135"/>
      <c r="D186" s="108"/>
      <c r="E186" s="136"/>
      <c r="F186" s="188">
        <f t="shared" si="56"/>
        <v>0</v>
      </c>
      <c r="G186" s="229"/>
      <c r="H186" s="230"/>
      <c r="I186" s="271">
        <f t="shared" si="57"/>
        <v>0</v>
      </c>
      <c r="J186" s="305"/>
      <c r="K186" s="230"/>
      <c r="L186" s="271">
        <f t="shared" si="58"/>
        <v>0</v>
      </c>
      <c r="M186" s="21"/>
      <c r="N186" s="7"/>
      <c r="O186" s="22">
        <f t="shared" si="59"/>
        <v>0</v>
      </c>
      <c r="P186" s="75"/>
      <c r="Q186" s="73">
        <f t="shared" si="52"/>
        <v>0</v>
      </c>
      <c r="R186" s="87"/>
    </row>
    <row r="187" spans="1:18" ht="12.75" hidden="1">
      <c r="A187" s="37" t="s">
        <v>209</v>
      </c>
      <c r="B187" s="92">
        <v>33457</v>
      </c>
      <c r="C187" s="135"/>
      <c r="D187" s="108"/>
      <c r="E187" s="136"/>
      <c r="F187" s="188">
        <f t="shared" si="56"/>
        <v>0</v>
      </c>
      <c r="G187" s="229"/>
      <c r="H187" s="230"/>
      <c r="I187" s="271">
        <f t="shared" si="57"/>
        <v>0</v>
      </c>
      <c r="J187" s="305"/>
      <c r="K187" s="230"/>
      <c r="L187" s="271">
        <f t="shared" si="58"/>
        <v>0</v>
      </c>
      <c r="M187" s="21"/>
      <c r="N187" s="7"/>
      <c r="O187" s="22">
        <f t="shared" si="59"/>
        <v>0</v>
      </c>
      <c r="P187" s="75"/>
      <c r="Q187" s="73">
        <f t="shared" si="52"/>
        <v>0</v>
      </c>
      <c r="R187" s="87"/>
    </row>
    <row r="188" spans="1:18" ht="12.75" hidden="1">
      <c r="A188" s="53" t="s">
        <v>191</v>
      </c>
      <c r="B188" s="92">
        <v>33052</v>
      </c>
      <c r="C188" s="135"/>
      <c r="D188" s="108"/>
      <c r="E188" s="136"/>
      <c r="F188" s="188">
        <f t="shared" si="56"/>
        <v>0</v>
      </c>
      <c r="G188" s="229"/>
      <c r="H188" s="230"/>
      <c r="I188" s="271">
        <f t="shared" si="57"/>
        <v>0</v>
      </c>
      <c r="J188" s="305"/>
      <c r="K188" s="230"/>
      <c r="L188" s="271">
        <f t="shared" si="58"/>
        <v>0</v>
      </c>
      <c r="M188" s="21"/>
      <c r="N188" s="7"/>
      <c r="O188" s="22">
        <f t="shared" si="59"/>
        <v>0</v>
      </c>
      <c r="P188" s="75"/>
      <c r="Q188" s="73">
        <f t="shared" si="52"/>
        <v>0</v>
      </c>
      <c r="R188" s="87"/>
    </row>
    <row r="189" spans="1:18" ht="12.75" hidden="1">
      <c r="A189" s="53" t="s">
        <v>266</v>
      </c>
      <c r="B189" s="92">
        <v>33076</v>
      </c>
      <c r="C189" s="135"/>
      <c r="D189" s="108"/>
      <c r="E189" s="136"/>
      <c r="F189" s="188">
        <f t="shared" si="56"/>
        <v>0</v>
      </c>
      <c r="G189" s="229"/>
      <c r="H189" s="230"/>
      <c r="I189" s="271">
        <f t="shared" si="57"/>
        <v>0</v>
      </c>
      <c r="J189" s="305"/>
      <c r="K189" s="230"/>
      <c r="L189" s="271">
        <f t="shared" si="58"/>
        <v>0</v>
      </c>
      <c r="M189" s="21"/>
      <c r="N189" s="7"/>
      <c r="O189" s="22"/>
      <c r="P189" s="75"/>
      <c r="Q189" s="73"/>
      <c r="R189" s="87"/>
    </row>
    <row r="190" spans="1:18" ht="12.75" hidden="1">
      <c r="A190" s="53" t="s">
        <v>226</v>
      </c>
      <c r="B190" s="92">
        <v>33069</v>
      </c>
      <c r="C190" s="135"/>
      <c r="D190" s="108"/>
      <c r="E190" s="136"/>
      <c r="F190" s="188">
        <f t="shared" si="56"/>
        <v>0</v>
      </c>
      <c r="G190" s="229"/>
      <c r="H190" s="230"/>
      <c r="I190" s="271">
        <f t="shared" si="57"/>
        <v>0</v>
      </c>
      <c r="J190" s="305"/>
      <c r="K190" s="230"/>
      <c r="L190" s="271">
        <f t="shared" si="58"/>
        <v>0</v>
      </c>
      <c r="M190" s="21"/>
      <c r="N190" s="7"/>
      <c r="O190" s="22"/>
      <c r="P190" s="75"/>
      <c r="Q190" s="73"/>
      <c r="R190" s="87"/>
    </row>
    <row r="191" spans="1:18" ht="12.75" hidden="1">
      <c r="A191" s="53" t="s">
        <v>256</v>
      </c>
      <c r="B191" s="92">
        <v>33070</v>
      </c>
      <c r="C191" s="135"/>
      <c r="D191" s="108"/>
      <c r="E191" s="136"/>
      <c r="F191" s="188">
        <f t="shared" si="56"/>
        <v>0</v>
      </c>
      <c r="G191" s="229"/>
      <c r="H191" s="230"/>
      <c r="I191" s="271">
        <f t="shared" si="57"/>
        <v>0</v>
      </c>
      <c r="J191" s="305"/>
      <c r="K191" s="230"/>
      <c r="L191" s="271">
        <f t="shared" si="58"/>
        <v>0</v>
      </c>
      <c r="M191" s="21"/>
      <c r="N191" s="7"/>
      <c r="O191" s="22"/>
      <c r="P191" s="75"/>
      <c r="Q191" s="73"/>
      <c r="R191" s="87"/>
    </row>
    <row r="192" spans="1:18" ht="12.75" hidden="1">
      <c r="A192" s="37" t="s">
        <v>249</v>
      </c>
      <c r="B192" s="92">
        <v>33071</v>
      </c>
      <c r="C192" s="135"/>
      <c r="D192" s="108"/>
      <c r="E192" s="136"/>
      <c r="F192" s="188">
        <f t="shared" si="56"/>
        <v>0</v>
      </c>
      <c r="G192" s="229"/>
      <c r="H192" s="230"/>
      <c r="I192" s="271">
        <f t="shared" si="57"/>
        <v>0</v>
      </c>
      <c r="J192" s="305"/>
      <c r="K192" s="230"/>
      <c r="L192" s="271">
        <f t="shared" si="58"/>
        <v>0</v>
      </c>
      <c r="M192" s="21"/>
      <c r="N192" s="7"/>
      <c r="O192" s="22">
        <f t="shared" si="59"/>
        <v>0</v>
      </c>
      <c r="P192" s="75"/>
      <c r="Q192" s="73">
        <f t="shared" si="52"/>
        <v>0</v>
      </c>
      <c r="R192" s="87"/>
    </row>
    <row r="193" spans="1:18" ht="12.75" hidden="1">
      <c r="A193" s="37" t="s">
        <v>192</v>
      </c>
      <c r="B193" s="92">
        <v>33050</v>
      </c>
      <c r="C193" s="135"/>
      <c r="D193" s="108"/>
      <c r="E193" s="136"/>
      <c r="F193" s="188">
        <f t="shared" si="56"/>
        <v>0</v>
      </c>
      <c r="G193" s="229"/>
      <c r="H193" s="230"/>
      <c r="I193" s="271">
        <f t="shared" si="57"/>
        <v>0</v>
      </c>
      <c r="J193" s="305"/>
      <c r="K193" s="230"/>
      <c r="L193" s="271">
        <f t="shared" si="58"/>
        <v>0</v>
      </c>
      <c r="M193" s="21"/>
      <c r="N193" s="7"/>
      <c r="O193" s="22">
        <f t="shared" si="59"/>
        <v>0</v>
      </c>
      <c r="P193" s="75"/>
      <c r="Q193" s="73">
        <f t="shared" si="52"/>
        <v>0</v>
      </c>
      <c r="R193" s="87"/>
    </row>
    <row r="194" spans="1:18" ht="12.75" hidden="1">
      <c r="A194" s="37" t="s">
        <v>150</v>
      </c>
      <c r="B194" s="92">
        <v>33435</v>
      </c>
      <c r="C194" s="135"/>
      <c r="D194" s="108"/>
      <c r="E194" s="136"/>
      <c r="F194" s="188">
        <f t="shared" si="56"/>
        <v>0</v>
      </c>
      <c r="G194" s="229"/>
      <c r="H194" s="230"/>
      <c r="I194" s="271">
        <f t="shared" si="57"/>
        <v>0</v>
      </c>
      <c r="J194" s="305"/>
      <c r="K194" s="230"/>
      <c r="L194" s="271">
        <f t="shared" si="58"/>
        <v>0</v>
      </c>
      <c r="M194" s="21"/>
      <c r="N194" s="7"/>
      <c r="O194" s="22">
        <f t="shared" si="59"/>
        <v>0</v>
      </c>
      <c r="P194" s="75"/>
      <c r="Q194" s="73">
        <f t="shared" si="52"/>
        <v>0</v>
      </c>
      <c r="R194" s="87"/>
    </row>
    <row r="195" spans="1:18" ht="12.75" hidden="1">
      <c r="A195" s="37" t="s">
        <v>214</v>
      </c>
      <c r="B195" s="92">
        <v>33049</v>
      </c>
      <c r="C195" s="135"/>
      <c r="D195" s="108"/>
      <c r="E195" s="136"/>
      <c r="F195" s="188">
        <f t="shared" si="56"/>
        <v>0</v>
      </c>
      <c r="G195" s="229"/>
      <c r="H195" s="230"/>
      <c r="I195" s="271">
        <f t="shared" si="57"/>
        <v>0</v>
      </c>
      <c r="J195" s="305"/>
      <c r="K195" s="230"/>
      <c r="L195" s="271">
        <f t="shared" si="58"/>
        <v>0</v>
      </c>
      <c r="M195" s="21"/>
      <c r="N195" s="7"/>
      <c r="O195" s="22"/>
      <c r="P195" s="75"/>
      <c r="Q195" s="73"/>
      <c r="R195" s="87"/>
    </row>
    <row r="196" spans="1:18" ht="12.75" hidden="1">
      <c r="A196" s="37" t="s">
        <v>193</v>
      </c>
      <c r="B196" s="92">
        <v>33044</v>
      </c>
      <c r="C196" s="135"/>
      <c r="D196" s="108"/>
      <c r="E196" s="136"/>
      <c r="F196" s="188">
        <f t="shared" si="56"/>
        <v>0</v>
      </c>
      <c r="G196" s="229"/>
      <c r="H196" s="230"/>
      <c r="I196" s="271">
        <f t="shared" si="57"/>
        <v>0</v>
      </c>
      <c r="J196" s="305"/>
      <c r="K196" s="230"/>
      <c r="L196" s="271">
        <f t="shared" si="58"/>
        <v>0</v>
      </c>
      <c r="M196" s="21"/>
      <c r="N196" s="7"/>
      <c r="O196" s="22">
        <f t="shared" si="59"/>
        <v>0</v>
      </c>
      <c r="P196" s="75"/>
      <c r="Q196" s="73">
        <f t="shared" si="52"/>
        <v>0</v>
      </c>
      <c r="R196" s="87"/>
    </row>
    <row r="197" spans="1:18" ht="12.75" hidden="1">
      <c r="A197" s="37" t="s">
        <v>197</v>
      </c>
      <c r="B197" s="92">
        <v>33024</v>
      </c>
      <c r="C197" s="135"/>
      <c r="D197" s="108"/>
      <c r="E197" s="136"/>
      <c r="F197" s="188">
        <f t="shared" si="56"/>
        <v>0</v>
      </c>
      <c r="G197" s="229"/>
      <c r="H197" s="230"/>
      <c r="I197" s="271">
        <f t="shared" si="57"/>
        <v>0</v>
      </c>
      <c r="J197" s="305"/>
      <c r="K197" s="230"/>
      <c r="L197" s="271">
        <f t="shared" si="58"/>
        <v>0</v>
      </c>
      <c r="M197" s="21"/>
      <c r="N197" s="7"/>
      <c r="O197" s="22"/>
      <c r="P197" s="75"/>
      <c r="Q197" s="73"/>
      <c r="R197" s="87"/>
    </row>
    <row r="198" spans="1:18" ht="12.75" hidden="1">
      <c r="A198" s="53" t="s">
        <v>155</v>
      </c>
      <c r="B198" s="92">
        <v>33018</v>
      </c>
      <c r="C198" s="135"/>
      <c r="D198" s="108"/>
      <c r="E198" s="136"/>
      <c r="F198" s="188">
        <f t="shared" si="56"/>
        <v>0</v>
      </c>
      <c r="G198" s="229"/>
      <c r="H198" s="230"/>
      <c r="I198" s="271">
        <f t="shared" si="57"/>
        <v>0</v>
      </c>
      <c r="J198" s="305"/>
      <c r="K198" s="230"/>
      <c r="L198" s="271">
        <f t="shared" si="58"/>
        <v>0</v>
      </c>
      <c r="M198" s="21"/>
      <c r="N198" s="7"/>
      <c r="O198" s="22">
        <f t="shared" si="59"/>
        <v>0</v>
      </c>
      <c r="P198" s="75"/>
      <c r="Q198" s="73">
        <f t="shared" si="52"/>
        <v>0</v>
      </c>
      <c r="R198" s="87"/>
    </row>
    <row r="199" spans="1:18" ht="12.75" hidden="1">
      <c r="A199" s="35" t="s">
        <v>156</v>
      </c>
      <c r="B199" s="92"/>
      <c r="C199" s="135"/>
      <c r="D199" s="108"/>
      <c r="E199" s="136"/>
      <c r="F199" s="188">
        <f t="shared" si="56"/>
        <v>0</v>
      </c>
      <c r="G199" s="229"/>
      <c r="H199" s="230"/>
      <c r="I199" s="271">
        <f t="shared" si="57"/>
        <v>0</v>
      </c>
      <c r="J199" s="305"/>
      <c r="K199" s="230"/>
      <c r="L199" s="271">
        <f t="shared" si="58"/>
        <v>0</v>
      </c>
      <c r="M199" s="21"/>
      <c r="N199" s="7"/>
      <c r="O199" s="22">
        <f t="shared" si="59"/>
        <v>0</v>
      </c>
      <c r="P199" s="75"/>
      <c r="Q199" s="73">
        <f t="shared" si="52"/>
        <v>0</v>
      </c>
      <c r="R199" s="87"/>
    </row>
    <row r="200" spans="1:18" ht="12.75">
      <c r="A200" s="53" t="s">
        <v>175</v>
      </c>
      <c r="B200" s="92">
        <v>33160</v>
      </c>
      <c r="C200" s="135"/>
      <c r="D200" s="108"/>
      <c r="E200" s="136"/>
      <c r="F200" s="188">
        <f t="shared" si="56"/>
        <v>0</v>
      </c>
      <c r="G200" s="229">
        <f>96.9</f>
        <v>96.9</v>
      </c>
      <c r="H200" s="230"/>
      <c r="I200" s="271">
        <f t="shared" si="57"/>
        <v>96.9</v>
      </c>
      <c r="J200" s="305">
        <f>-59.89</f>
        <v>-59.89</v>
      </c>
      <c r="K200" s="230"/>
      <c r="L200" s="271">
        <f t="shared" si="58"/>
        <v>37.010000000000005</v>
      </c>
      <c r="M200" s="21"/>
      <c r="N200" s="7"/>
      <c r="O200" s="22">
        <f t="shared" si="59"/>
        <v>37.010000000000005</v>
      </c>
      <c r="P200" s="75"/>
      <c r="Q200" s="73">
        <f t="shared" si="52"/>
        <v>37.010000000000005</v>
      </c>
      <c r="R200" s="87"/>
    </row>
    <row r="201" spans="1:18" ht="13.5" thickBot="1">
      <c r="A201" s="202" t="s">
        <v>375</v>
      </c>
      <c r="B201" s="133">
        <v>33083</v>
      </c>
      <c r="C201" s="159"/>
      <c r="D201" s="134"/>
      <c r="E201" s="213"/>
      <c r="F201" s="223"/>
      <c r="G201" s="325"/>
      <c r="H201" s="326"/>
      <c r="I201" s="327">
        <f t="shared" si="57"/>
        <v>0</v>
      </c>
      <c r="J201" s="328">
        <f>696.2</f>
        <v>696.2</v>
      </c>
      <c r="K201" s="326"/>
      <c r="L201" s="327">
        <f t="shared" si="58"/>
        <v>696.2</v>
      </c>
      <c r="M201" s="21"/>
      <c r="N201" s="7"/>
      <c r="O201" s="22"/>
      <c r="P201" s="75"/>
      <c r="Q201" s="73"/>
      <c r="R201" s="87"/>
    </row>
    <row r="202" spans="1:18" ht="12.75" hidden="1">
      <c r="A202" s="37" t="s">
        <v>143</v>
      </c>
      <c r="B202" s="92"/>
      <c r="C202" s="135"/>
      <c r="D202" s="108"/>
      <c r="E202" s="136"/>
      <c r="F202" s="188">
        <f t="shared" si="56"/>
        <v>0</v>
      </c>
      <c r="G202" s="229"/>
      <c r="H202" s="230"/>
      <c r="I202" s="271">
        <f t="shared" si="57"/>
        <v>0</v>
      </c>
      <c r="J202" s="305"/>
      <c r="K202" s="230"/>
      <c r="L202" s="271">
        <f t="shared" si="58"/>
        <v>0</v>
      </c>
      <c r="M202" s="21"/>
      <c r="N202" s="7"/>
      <c r="O202" s="22">
        <f t="shared" si="59"/>
        <v>0</v>
      </c>
      <c r="P202" s="75"/>
      <c r="Q202" s="73">
        <f t="shared" si="52"/>
        <v>0</v>
      </c>
      <c r="R202" s="87"/>
    </row>
    <row r="203" spans="1:18" ht="12.75" hidden="1">
      <c r="A203" s="53" t="s">
        <v>133</v>
      </c>
      <c r="B203" s="92"/>
      <c r="C203" s="135"/>
      <c r="D203" s="108"/>
      <c r="E203" s="136"/>
      <c r="F203" s="188">
        <f t="shared" si="56"/>
        <v>0</v>
      </c>
      <c r="G203" s="229"/>
      <c r="H203" s="230"/>
      <c r="I203" s="271">
        <f t="shared" si="57"/>
        <v>0</v>
      </c>
      <c r="J203" s="305"/>
      <c r="K203" s="230"/>
      <c r="L203" s="271">
        <f t="shared" si="58"/>
        <v>0</v>
      </c>
      <c r="M203" s="21"/>
      <c r="N203" s="7"/>
      <c r="O203" s="22">
        <f t="shared" si="59"/>
        <v>0</v>
      </c>
      <c r="P203" s="75"/>
      <c r="Q203" s="73">
        <f t="shared" si="52"/>
        <v>0</v>
      </c>
      <c r="R203" s="87"/>
    </row>
    <row r="204" spans="1:18" ht="12.75" hidden="1">
      <c r="A204" s="53" t="s">
        <v>142</v>
      </c>
      <c r="B204" s="92"/>
      <c r="C204" s="135"/>
      <c r="D204" s="108"/>
      <c r="E204" s="136"/>
      <c r="F204" s="188">
        <f t="shared" si="56"/>
        <v>0</v>
      </c>
      <c r="G204" s="229"/>
      <c r="H204" s="230"/>
      <c r="I204" s="271">
        <f t="shared" si="57"/>
        <v>0</v>
      </c>
      <c r="J204" s="305"/>
      <c r="K204" s="230"/>
      <c r="L204" s="271">
        <f t="shared" si="58"/>
        <v>0</v>
      </c>
      <c r="M204" s="21"/>
      <c r="N204" s="7"/>
      <c r="O204" s="22">
        <f t="shared" si="59"/>
        <v>0</v>
      </c>
      <c r="P204" s="75"/>
      <c r="Q204" s="73">
        <f t="shared" si="52"/>
        <v>0</v>
      </c>
      <c r="R204" s="87"/>
    </row>
    <row r="205" spans="1:18" ht="12.75" hidden="1">
      <c r="A205" s="37" t="s">
        <v>85</v>
      </c>
      <c r="B205" s="92">
        <v>33025</v>
      </c>
      <c r="C205" s="135"/>
      <c r="D205" s="108"/>
      <c r="E205" s="136"/>
      <c r="F205" s="188">
        <f t="shared" si="56"/>
        <v>0</v>
      </c>
      <c r="G205" s="229"/>
      <c r="H205" s="230"/>
      <c r="I205" s="271">
        <f t="shared" si="57"/>
        <v>0</v>
      </c>
      <c r="J205" s="305"/>
      <c r="K205" s="230"/>
      <c r="L205" s="271">
        <f t="shared" si="58"/>
        <v>0</v>
      </c>
      <c r="M205" s="21"/>
      <c r="N205" s="7"/>
      <c r="O205" s="22">
        <f t="shared" si="59"/>
        <v>0</v>
      </c>
      <c r="P205" s="75"/>
      <c r="Q205" s="73">
        <f t="shared" si="52"/>
        <v>0</v>
      </c>
      <c r="R205" s="87"/>
    </row>
    <row r="206" spans="1:18" ht="12.75" hidden="1">
      <c r="A206" s="37" t="s">
        <v>164</v>
      </c>
      <c r="B206" s="92">
        <v>33038</v>
      </c>
      <c r="C206" s="135"/>
      <c r="D206" s="108"/>
      <c r="E206" s="136"/>
      <c r="F206" s="188">
        <f t="shared" si="56"/>
        <v>0</v>
      </c>
      <c r="G206" s="229"/>
      <c r="H206" s="230"/>
      <c r="I206" s="271">
        <f t="shared" si="57"/>
        <v>0</v>
      </c>
      <c r="J206" s="305"/>
      <c r="K206" s="230"/>
      <c r="L206" s="271">
        <f t="shared" si="58"/>
        <v>0</v>
      </c>
      <c r="M206" s="21"/>
      <c r="N206" s="7"/>
      <c r="O206" s="22">
        <f t="shared" si="59"/>
        <v>0</v>
      </c>
      <c r="P206" s="75"/>
      <c r="Q206" s="73">
        <f t="shared" si="52"/>
        <v>0</v>
      </c>
      <c r="R206" s="87"/>
    </row>
    <row r="207" spans="1:18" ht="12.75">
      <c r="A207" s="37" t="s">
        <v>377</v>
      </c>
      <c r="B207" s="92">
        <v>33082</v>
      </c>
      <c r="C207" s="135"/>
      <c r="D207" s="108"/>
      <c r="E207" s="136"/>
      <c r="F207" s="188"/>
      <c r="G207" s="229"/>
      <c r="H207" s="230"/>
      <c r="I207" s="271">
        <f t="shared" si="57"/>
        <v>0</v>
      </c>
      <c r="J207" s="305">
        <f>195.75</f>
        <v>195.75</v>
      </c>
      <c r="K207" s="230"/>
      <c r="L207" s="271">
        <f t="shared" si="58"/>
        <v>195.75</v>
      </c>
      <c r="M207" s="21"/>
      <c r="N207" s="7"/>
      <c r="O207" s="22"/>
      <c r="P207" s="75"/>
      <c r="Q207" s="73"/>
      <c r="R207" s="87"/>
    </row>
    <row r="208" spans="1:18" ht="12.75">
      <c r="A208" s="37" t="s">
        <v>267</v>
      </c>
      <c r="B208" s="92">
        <v>33063</v>
      </c>
      <c r="C208" s="135"/>
      <c r="D208" s="108"/>
      <c r="E208" s="136"/>
      <c r="F208" s="188">
        <f t="shared" si="56"/>
        <v>0</v>
      </c>
      <c r="G208" s="229">
        <f>1500</f>
        <v>1500</v>
      </c>
      <c r="H208" s="230"/>
      <c r="I208" s="271">
        <f t="shared" si="57"/>
        <v>1500</v>
      </c>
      <c r="J208" s="305">
        <f>1286.51+1301.72+301.89</f>
        <v>2890.12</v>
      </c>
      <c r="K208" s="230"/>
      <c r="L208" s="271">
        <f t="shared" si="58"/>
        <v>4390.12</v>
      </c>
      <c r="M208" s="21"/>
      <c r="N208" s="7"/>
      <c r="O208" s="22"/>
      <c r="P208" s="75"/>
      <c r="Q208" s="73"/>
      <c r="R208" s="87"/>
    </row>
    <row r="209" spans="1:18" ht="12.75">
      <c r="A209" s="37" t="s">
        <v>343</v>
      </c>
      <c r="B209" s="92">
        <v>13305</v>
      </c>
      <c r="C209" s="135"/>
      <c r="D209" s="108"/>
      <c r="E209" s="136"/>
      <c r="F209" s="188">
        <f t="shared" si="56"/>
        <v>0</v>
      </c>
      <c r="G209" s="229">
        <f>4424.26</f>
        <v>4424.26</v>
      </c>
      <c r="H209" s="230"/>
      <c r="I209" s="271">
        <f t="shared" si="57"/>
        <v>4424.26</v>
      </c>
      <c r="J209" s="305">
        <f>2949.51</f>
        <v>2949.51</v>
      </c>
      <c r="K209" s="230"/>
      <c r="L209" s="271">
        <f t="shared" si="58"/>
        <v>7373.77</v>
      </c>
      <c r="M209" s="21"/>
      <c r="N209" s="7"/>
      <c r="O209" s="22"/>
      <c r="P209" s="75"/>
      <c r="Q209" s="73"/>
      <c r="R209" s="87"/>
    </row>
    <row r="210" spans="1:18" ht="12.75" hidden="1">
      <c r="A210" s="37" t="s">
        <v>260</v>
      </c>
      <c r="B210" s="320" t="s">
        <v>261</v>
      </c>
      <c r="C210" s="135"/>
      <c r="D210" s="108"/>
      <c r="E210" s="136"/>
      <c r="F210" s="188">
        <f t="shared" si="56"/>
        <v>0</v>
      </c>
      <c r="G210" s="229"/>
      <c r="H210" s="230"/>
      <c r="I210" s="271">
        <f t="shared" si="57"/>
        <v>0</v>
      </c>
      <c r="J210" s="305"/>
      <c r="K210" s="230"/>
      <c r="L210" s="271">
        <f t="shared" si="58"/>
        <v>0</v>
      </c>
      <c r="M210" s="21"/>
      <c r="N210" s="7"/>
      <c r="O210" s="22"/>
      <c r="P210" s="75"/>
      <c r="Q210" s="73"/>
      <c r="R210" s="87"/>
    </row>
    <row r="211" spans="1:18" ht="12.75">
      <c r="A211" s="37" t="s">
        <v>355</v>
      </c>
      <c r="B211" s="320"/>
      <c r="C211" s="135"/>
      <c r="D211" s="108"/>
      <c r="E211" s="136"/>
      <c r="F211" s="188">
        <f t="shared" si="56"/>
        <v>0</v>
      </c>
      <c r="G211" s="229">
        <f>242.53</f>
        <v>242.53</v>
      </c>
      <c r="H211" s="230"/>
      <c r="I211" s="271">
        <f t="shared" si="57"/>
        <v>242.53</v>
      </c>
      <c r="J211" s="305">
        <f>22.22</f>
        <v>22.22</v>
      </c>
      <c r="K211" s="230"/>
      <c r="L211" s="271">
        <f t="shared" si="58"/>
        <v>264.75</v>
      </c>
      <c r="M211" s="21"/>
      <c r="N211" s="7"/>
      <c r="O211" s="22"/>
      <c r="P211" s="75"/>
      <c r="Q211" s="73"/>
      <c r="R211" s="87"/>
    </row>
    <row r="212" spans="1:18" ht="12.75">
      <c r="A212" s="37" t="s">
        <v>373</v>
      </c>
      <c r="B212" s="320" t="s">
        <v>374</v>
      </c>
      <c r="C212" s="135"/>
      <c r="D212" s="108"/>
      <c r="E212" s="136"/>
      <c r="F212" s="188"/>
      <c r="G212" s="229"/>
      <c r="H212" s="230"/>
      <c r="I212" s="271">
        <f t="shared" si="57"/>
        <v>0</v>
      </c>
      <c r="J212" s="305">
        <f>1119.76</f>
        <v>1119.76</v>
      </c>
      <c r="K212" s="230"/>
      <c r="L212" s="271">
        <f t="shared" si="58"/>
        <v>1119.76</v>
      </c>
      <c r="M212" s="21"/>
      <c r="N212" s="7"/>
      <c r="O212" s="22"/>
      <c r="P212" s="75"/>
      <c r="Q212" s="73"/>
      <c r="R212" s="87"/>
    </row>
    <row r="213" spans="1:18" ht="12.75">
      <c r="A213" s="53" t="s">
        <v>370</v>
      </c>
      <c r="B213" s="320" t="s">
        <v>371</v>
      </c>
      <c r="C213" s="135"/>
      <c r="D213" s="108"/>
      <c r="E213" s="136"/>
      <c r="F213" s="188"/>
      <c r="G213" s="229"/>
      <c r="H213" s="230"/>
      <c r="I213" s="271">
        <f t="shared" si="57"/>
        <v>0</v>
      </c>
      <c r="J213" s="305">
        <f>600+3400</f>
        <v>4000</v>
      </c>
      <c r="K213" s="230"/>
      <c r="L213" s="271">
        <f t="shared" si="58"/>
        <v>4000</v>
      </c>
      <c r="M213" s="21"/>
      <c r="N213" s="7"/>
      <c r="O213" s="22"/>
      <c r="P213" s="75"/>
      <c r="Q213" s="73"/>
      <c r="R213" s="87"/>
    </row>
    <row r="214" spans="1:18" ht="12.75">
      <c r="A214" s="37" t="s">
        <v>314</v>
      </c>
      <c r="B214" s="92">
        <v>2054</v>
      </c>
      <c r="C214" s="135"/>
      <c r="D214" s="108">
        <f>2734.5-379.25</f>
        <v>2355.25</v>
      </c>
      <c r="E214" s="136"/>
      <c r="F214" s="188">
        <f t="shared" si="56"/>
        <v>2355.25</v>
      </c>
      <c r="G214" s="229"/>
      <c r="H214" s="230"/>
      <c r="I214" s="271">
        <f t="shared" si="57"/>
        <v>2355.25</v>
      </c>
      <c r="J214" s="305"/>
      <c r="K214" s="230"/>
      <c r="L214" s="271">
        <f t="shared" si="58"/>
        <v>2355.25</v>
      </c>
      <c r="M214" s="21"/>
      <c r="N214" s="7"/>
      <c r="O214" s="22"/>
      <c r="P214" s="75"/>
      <c r="Q214" s="73"/>
      <c r="R214" s="87"/>
    </row>
    <row r="215" spans="1:18" ht="12.75">
      <c r="A215" s="37" t="s">
        <v>294</v>
      </c>
      <c r="B215" s="92">
        <v>2054</v>
      </c>
      <c r="C215" s="135"/>
      <c r="D215" s="108">
        <f>1443.45</f>
        <v>1443.45</v>
      </c>
      <c r="E215" s="136"/>
      <c r="F215" s="188">
        <f t="shared" si="56"/>
        <v>1443.45</v>
      </c>
      <c r="G215" s="229"/>
      <c r="H215" s="230"/>
      <c r="I215" s="271">
        <f t="shared" si="57"/>
        <v>1443.45</v>
      </c>
      <c r="J215" s="305"/>
      <c r="K215" s="230"/>
      <c r="L215" s="271">
        <f t="shared" si="58"/>
        <v>1443.45</v>
      </c>
      <c r="M215" s="21"/>
      <c r="N215" s="7"/>
      <c r="O215" s="22"/>
      <c r="P215" s="75"/>
      <c r="Q215" s="73"/>
      <c r="R215" s="87"/>
    </row>
    <row r="216" spans="1:18" ht="12.75">
      <c r="A216" s="37" t="s">
        <v>315</v>
      </c>
      <c r="B216" s="92">
        <v>2066</v>
      </c>
      <c r="C216" s="135"/>
      <c r="D216" s="108">
        <f>1602.74</f>
        <v>1602.74</v>
      </c>
      <c r="E216" s="136"/>
      <c r="F216" s="188">
        <f t="shared" si="56"/>
        <v>1602.74</v>
      </c>
      <c r="G216" s="229">
        <f>4357.97</f>
        <v>4357.97</v>
      </c>
      <c r="H216" s="230"/>
      <c r="I216" s="271">
        <f>F216+G216+H216</f>
        <v>5960.71</v>
      </c>
      <c r="J216" s="305"/>
      <c r="K216" s="230"/>
      <c r="L216" s="271">
        <f t="shared" si="58"/>
        <v>5960.71</v>
      </c>
      <c r="M216" s="21"/>
      <c r="N216" s="7"/>
      <c r="O216" s="22">
        <f t="shared" si="59"/>
        <v>5960.71</v>
      </c>
      <c r="P216" s="75"/>
      <c r="Q216" s="73">
        <f t="shared" si="52"/>
        <v>5960.71</v>
      </c>
      <c r="R216" s="87"/>
    </row>
    <row r="217" spans="1:18" ht="12.75">
      <c r="A217" s="37" t="s">
        <v>272</v>
      </c>
      <c r="B217" s="92">
        <v>2066</v>
      </c>
      <c r="C217" s="135"/>
      <c r="D217" s="108"/>
      <c r="E217" s="136"/>
      <c r="F217" s="188">
        <f t="shared" si="56"/>
        <v>0</v>
      </c>
      <c r="G217" s="229">
        <f>7600</f>
        <v>7600</v>
      </c>
      <c r="H217" s="230"/>
      <c r="I217" s="271">
        <f>F217+G217+H217</f>
        <v>7600</v>
      </c>
      <c r="J217" s="305"/>
      <c r="K217" s="230"/>
      <c r="L217" s="271">
        <f t="shared" si="58"/>
        <v>7600</v>
      </c>
      <c r="M217" s="21"/>
      <c r="N217" s="7"/>
      <c r="O217" s="22"/>
      <c r="P217" s="75"/>
      <c r="Q217" s="73"/>
      <c r="R217" s="87"/>
    </row>
    <row r="218" spans="1:18" ht="12.75">
      <c r="A218" s="37" t="s">
        <v>365</v>
      </c>
      <c r="B218" s="92">
        <v>2081</v>
      </c>
      <c r="C218" s="135"/>
      <c r="D218" s="108"/>
      <c r="E218" s="136"/>
      <c r="F218" s="188"/>
      <c r="G218" s="229"/>
      <c r="H218" s="230"/>
      <c r="I218" s="271">
        <f>F218+G218+H218</f>
        <v>0</v>
      </c>
      <c r="J218" s="305">
        <f>63681.24</f>
        <v>63681.24</v>
      </c>
      <c r="K218" s="230"/>
      <c r="L218" s="271">
        <f t="shared" si="58"/>
        <v>63681.24</v>
      </c>
      <c r="M218" s="21"/>
      <c r="N218" s="7"/>
      <c r="O218" s="22"/>
      <c r="P218" s="75"/>
      <c r="Q218" s="73"/>
      <c r="R218" s="87"/>
    </row>
    <row r="219" spans="1:18" ht="12.75">
      <c r="A219" s="37" t="s">
        <v>76</v>
      </c>
      <c r="B219" s="183" t="s">
        <v>258</v>
      </c>
      <c r="C219" s="135">
        <v>250</v>
      </c>
      <c r="D219" s="108">
        <f>30750+7314.21+278.95+15106.37+167.06</f>
        <v>53616.59</v>
      </c>
      <c r="E219" s="136"/>
      <c r="F219" s="188">
        <f t="shared" si="56"/>
        <v>53866.59</v>
      </c>
      <c r="G219" s="229">
        <f>-6664+185.73</f>
        <v>-6478.27</v>
      </c>
      <c r="H219" s="230"/>
      <c r="I219" s="271">
        <f>F219+G219+H219</f>
        <v>47388.31999999999</v>
      </c>
      <c r="J219" s="305"/>
      <c r="K219" s="230"/>
      <c r="L219" s="271">
        <f t="shared" si="58"/>
        <v>47388.31999999999</v>
      </c>
      <c r="M219" s="29"/>
      <c r="N219" s="7"/>
      <c r="O219" s="22">
        <f t="shared" si="59"/>
        <v>47388.31999999999</v>
      </c>
      <c r="P219" s="75"/>
      <c r="Q219" s="73">
        <f t="shared" si="52"/>
        <v>47388.31999999999</v>
      </c>
      <c r="R219" s="87"/>
    </row>
    <row r="220" spans="1:18" ht="12.75">
      <c r="A220" s="37" t="s">
        <v>51</v>
      </c>
      <c r="B220" s="92"/>
      <c r="C220" s="135">
        <v>43533.07</v>
      </c>
      <c r="D220" s="108">
        <f>-4500+1007.6-14978.98+400</f>
        <v>-18071.38</v>
      </c>
      <c r="E220" s="136"/>
      <c r="F220" s="188">
        <f t="shared" si="56"/>
        <v>25461.69</v>
      </c>
      <c r="G220" s="229">
        <f>-6148.89</f>
        <v>-6148.89</v>
      </c>
      <c r="H220" s="230"/>
      <c r="I220" s="271">
        <f>F220+G220+H220</f>
        <v>19312.8</v>
      </c>
      <c r="J220" s="305">
        <f>-200-6303.15</f>
        <v>-6503.15</v>
      </c>
      <c r="K220" s="230"/>
      <c r="L220" s="271">
        <f>I220+J220+K220</f>
        <v>12809.65</v>
      </c>
      <c r="M220" s="29"/>
      <c r="N220" s="7"/>
      <c r="O220" s="22">
        <f t="shared" si="59"/>
        <v>12809.65</v>
      </c>
      <c r="P220" s="75"/>
      <c r="Q220" s="73">
        <f t="shared" si="52"/>
        <v>12809.65</v>
      </c>
      <c r="R220" s="87"/>
    </row>
    <row r="221" spans="1:18" ht="12.75">
      <c r="A221" s="40" t="s">
        <v>54</v>
      </c>
      <c r="B221" s="96"/>
      <c r="C221" s="158">
        <f>SUM(C223:C232)</f>
        <v>740</v>
      </c>
      <c r="D221" s="118">
        <f aca="true" t="shared" si="60" ref="D221:Q221">SUM(D223:D232)</f>
        <v>10070.1</v>
      </c>
      <c r="E221" s="174">
        <f t="shared" si="60"/>
        <v>0</v>
      </c>
      <c r="F221" s="193">
        <f t="shared" si="60"/>
        <v>10810.1</v>
      </c>
      <c r="G221" s="239">
        <f t="shared" si="60"/>
        <v>7027.51</v>
      </c>
      <c r="H221" s="240">
        <f t="shared" si="60"/>
        <v>0</v>
      </c>
      <c r="I221" s="275">
        <f t="shared" si="60"/>
        <v>17837.61</v>
      </c>
      <c r="J221" s="292">
        <f t="shared" si="60"/>
        <v>9738.869999999999</v>
      </c>
      <c r="K221" s="240">
        <f t="shared" si="60"/>
        <v>0</v>
      </c>
      <c r="L221" s="275">
        <f t="shared" si="60"/>
        <v>27576.48</v>
      </c>
      <c r="M221" s="117">
        <f t="shared" si="60"/>
        <v>0</v>
      </c>
      <c r="N221" s="117">
        <f t="shared" si="60"/>
        <v>0</v>
      </c>
      <c r="O221" s="117">
        <f t="shared" si="60"/>
        <v>18590.94</v>
      </c>
      <c r="P221" s="117">
        <f t="shared" si="60"/>
        <v>0</v>
      </c>
      <c r="Q221" s="193">
        <f t="shared" si="60"/>
        <v>18590.94</v>
      </c>
      <c r="R221" s="87"/>
    </row>
    <row r="222" spans="1:18" ht="12.75">
      <c r="A222" s="35" t="s">
        <v>26</v>
      </c>
      <c r="B222" s="92"/>
      <c r="C222" s="135"/>
      <c r="D222" s="108"/>
      <c r="E222" s="136"/>
      <c r="F222" s="188"/>
      <c r="G222" s="229"/>
      <c r="H222" s="230"/>
      <c r="I222" s="270"/>
      <c r="J222" s="305"/>
      <c r="K222" s="230"/>
      <c r="L222" s="270"/>
      <c r="M222" s="21"/>
      <c r="N222" s="7"/>
      <c r="O222" s="20"/>
      <c r="P222" s="75"/>
      <c r="Q222" s="73"/>
      <c r="R222" s="87"/>
    </row>
    <row r="223" spans="1:18" ht="12.75">
      <c r="A223" s="37" t="s">
        <v>86</v>
      </c>
      <c r="B223" s="92"/>
      <c r="C223" s="135">
        <v>740</v>
      </c>
      <c r="D223" s="108">
        <f>820.1</f>
        <v>820.1</v>
      </c>
      <c r="E223" s="136"/>
      <c r="F223" s="188">
        <f aca="true" t="shared" si="61" ref="F223:F232">C223+D223+E223</f>
        <v>1560.1</v>
      </c>
      <c r="G223" s="229">
        <f>273.4</f>
        <v>273.4</v>
      </c>
      <c r="H223" s="230"/>
      <c r="I223" s="271">
        <f aca="true" t="shared" si="62" ref="I223:I232">F223+G223+H223</f>
        <v>1833.5</v>
      </c>
      <c r="J223" s="305">
        <f>842.93</f>
        <v>842.93</v>
      </c>
      <c r="K223" s="230"/>
      <c r="L223" s="271">
        <f aca="true" t="shared" si="63" ref="L223:L232">I223+J223+K223</f>
        <v>2676.43</v>
      </c>
      <c r="M223" s="21"/>
      <c r="N223" s="7"/>
      <c r="O223" s="22">
        <f>L223+M223+N223</f>
        <v>2676.43</v>
      </c>
      <c r="P223" s="75"/>
      <c r="Q223" s="73">
        <f t="shared" si="52"/>
        <v>2676.43</v>
      </c>
      <c r="R223" s="87"/>
    </row>
    <row r="224" spans="1:18" ht="12.75" hidden="1">
      <c r="A224" s="37" t="s">
        <v>260</v>
      </c>
      <c r="B224" s="92" t="s">
        <v>262</v>
      </c>
      <c r="C224" s="135"/>
      <c r="D224" s="108"/>
      <c r="E224" s="136"/>
      <c r="F224" s="188">
        <f t="shared" si="61"/>
        <v>0</v>
      </c>
      <c r="G224" s="229"/>
      <c r="H224" s="230"/>
      <c r="I224" s="271">
        <f t="shared" si="62"/>
        <v>0</v>
      </c>
      <c r="J224" s="305"/>
      <c r="K224" s="230"/>
      <c r="L224" s="271">
        <f t="shared" si="63"/>
        <v>0</v>
      </c>
      <c r="M224" s="21"/>
      <c r="N224" s="7"/>
      <c r="O224" s="22"/>
      <c r="P224" s="75"/>
      <c r="Q224" s="73"/>
      <c r="R224" s="87"/>
    </row>
    <row r="225" spans="1:18" ht="12.75">
      <c r="A225" s="37" t="s">
        <v>342</v>
      </c>
      <c r="B225" s="92">
        <v>33500</v>
      </c>
      <c r="C225" s="135"/>
      <c r="D225" s="108"/>
      <c r="E225" s="136"/>
      <c r="F225" s="188">
        <f t="shared" si="61"/>
        <v>0</v>
      </c>
      <c r="G225" s="229">
        <f>79.99</f>
        <v>79.99</v>
      </c>
      <c r="H225" s="230"/>
      <c r="I225" s="271">
        <f t="shared" si="62"/>
        <v>79.99</v>
      </c>
      <c r="J225" s="305"/>
      <c r="K225" s="230"/>
      <c r="L225" s="271">
        <f t="shared" si="63"/>
        <v>79.99</v>
      </c>
      <c r="M225" s="21"/>
      <c r="N225" s="7"/>
      <c r="O225" s="22"/>
      <c r="P225" s="75"/>
      <c r="Q225" s="73"/>
      <c r="R225" s="87"/>
    </row>
    <row r="226" spans="1:18" ht="12.75">
      <c r="A226" s="37" t="s">
        <v>373</v>
      </c>
      <c r="B226" s="320" t="s">
        <v>374</v>
      </c>
      <c r="C226" s="135"/>
      <c r="D226" s="108"/>
      <c r="E226" s="136"/>
      <c r="F226" s="188"/>
      <c r="G226" s="229"/>
      <c r="H226" s="230"/>
      <c r="I226" s="271">
        <f t="shared" si="62"/>
        <v>0</v>
      </c>
      <c r="J226" s="305">
        <f>926.7</f>
        <v>926.7</v>
      </c>
      <c r="K226" s="230"/>
      <c r="L226" s="271">
        <f t="shared" si="63"/>
        <v>926.7</v>
      </c>
      <c r="M226" s="21"/>
      <c r="N226" s="7"/>
      <c r="O226" s="22"/>
      <c r="P226" s="75"/>
      <c r="Q226" s="73"/>
      <c r="R226" s="87"/>
    </row>
    <row r="227" spans="1:18" ht="12.75">
      <c r="A227" s="37" t="s">
        <v>315</v>
      </c>
      <c r="B227" s="92">
        <v>2066</v>
      </c>
      <c r="C227" s="135"/>
      <c r="D227" s="108"/>
      <c r="E227" s="136"/>
      <c r="F227" s="188">
        <f t="shared" si="61"/>
        <v>0</v>
      </c>
      <c r="G227" s="229">
        <f>9.61</f>
        <v>9.61</v>
      </c>
      <c r="H227" s="230"/>
      <c r="I227" s="271">
        <f t="shared" si="62"/>
        <v>9.61</v>
      </c>
      <c r="J227" s="305"/>
      <c r="K227" s="230"/>
      <c r="L227" s="271">
        <f t="shared" si="63"/>
        <v>9.61</v>
      </c>
      <c r="M227" s="21"/>
      <c r="N227" s="7"/>
      <c r="O227" s="22"/>
      <c r="P227" s="75"/>
      <c r="Q227" s="73"/>
      <c r="R227" s="87"/>
    </row>
    <row r="228" spans="1:18" ht="12.75">
      <c r="A228" s="37" t="s">
        <v>365</v>
      </c>
      <c r="B228" s="92">
        <v>2081</v>
      </c>
      <c r="C228" s="135"/>
      <c r="D228" s="108"/>
      <c r="E228" s="136"/>
      <c r="F228" s="188"/>
      <c r="G228" s="229"/>
      <c r="H228" s="230"/>
      <c r="I228" s="271">
        <f t="shared" si="62"/>
        <v>0</v>
      </c>
      <c r="J228" s="305">
        <f>7969.24</f>
        <v>7969.24</v>
      </c>
      <c r="K228" s="230"/>
      <c r="L228" s="271">
        <f t="shared" si="63"/>
        <v>7969.24</v>
      </c>
      <c r="M228" s="21"/>
      <c r="N228" s="7"/>
      <c r="O228" s="22"/>
      <c r="P228" s="75"/>
      <c r="Q228" s="73"/>
      <c r="R228" s="87"/>
    </row>
    <row r="229" spans="1:18" ht="12.75" hidden="1">
      <c r="A229" s="37" t="s">
        <v>69</v>
      </c>
      <c r="B229" s="92"/>
      <c r="C229" s="135"/>
      <c r="D229" s="108"/>
      <c r="E229" s="136"/>
      <c r="F229" s="188">
        <f t="shared" si="61"/>
        <v>0</v>
      </c>
      <c r="G229" s="229"/>
      <c r="H229" s="230"/>
      <c r="I229" s="271">
        <f t="shared" si="62"/>
        <v>0</v>
      </c>
      <c r="J229" s="305"/>
      <c r="K229" s="230"/>
      <c r="L229" s="271">
        <f t="shared" si="63"/>
        <v>0</v>
      </c>
      <c r="M229" s="21"/>
      <c r="N229" s="7"/>
      <c r="O229" s="22">
        <f>L229+M229+N229</f>
        <v>0</v>
      </c>
      <c r="P229" s="75"/>
      <c r="Q229" s="73">
        <f t="shared" si="52"/>
        <v>0</v>
      </c>
      <c r="R229" s="87"/>
    </row>
    <row r="230" spans="1:18" ht="12.75" hidden="1">
      <c r="A230" s="37" t="s">
        <v>87</v>
      </c>
      <c r="B230" s="92"/>
      <c r="C230" s="135"/>
      <c r="D230" s="108"/>
      <c r="E230" s="136"/>
      <c r="F230" s="188">
        <f t="shared" si="61"/>
        <v>0</v>
      </c>
      <c r="G230" s="229"/>
      <c r="H230" s="230"/>
      <c r="I230" s="271">
        <f t="shared" si="62"/>
        <v>0</v>
      </c>
      <c r="J230" s="305"/>
      <c r="K230" s="230"/>
      <c r="L230" s="271">
        <f t="shared" si="63"/>
        <v>0</v>
      </c>
      <c r="M230" s="21"/>
      <c r="N230" s="7"/>
      <c r="O230" s="22">
        <f>L230+M230+N230</f>
        <v>0</v>
      </c>
      <c r="P230" s="75"/>
      <c r="Q230" s="73">
        <f t="shared" si="52"/>
        <v>0</v>
      </c>
      <c r="R230" s="87"/>
    </row>
    <row r="231" spans="1:18" ht="12.75" hidden="1">
      <c r="A231" s="37" t="s">
        <v>55</v>
      </c>
      <c r="B231" s="92"/>
      <c r="C231" s="135"/>
      <c r="D231" s="108"/>
      <c r="E231" s="136"/>
      <c r="F231" s="188">
        <f t="shared" si="61"/>
        <v>0</v>
      </c>
      <c r="G231" s="229"/>
      <c r="H231" s="230"/>
      <c r="I231" s="271">
        <f t="shared" si="62"/>
        <v>0</v>
      </c>
      <c r="J231" s="305"/>
      <c r="K231" s="245"/>
      <c r="L231" s="271">
        <f t="shared" si="63"/>
        <v>0</v>
      </c>
      <c r="M231" s="21"/>
      <c r="N231" s="7"/>
      <c r="O231" s="22">
        <f>L231+M231+N231</f>
        <v>0</v>
      </c>
      <c r="P231" s="75"/>
      <c r="Q231" s="73">
        <f t="shared" si="52"/>
        <v>0</v>
      </c>
      <c r="R231" s="87"/>
    </row>
    <row r="232" spans="1:18" ht="13.5" thickBot="1">
      <c r="A232" s="202" t="s">
        <v>76</v>
      </c>
      <c r="B232" s="133"/>
      <c r="C232" s="159"/>
      <c r="D232" s="134">
        <f>9250</f>
        <v>9250</v>
      </c>
      <c r="E232" s="213"/>
      <c r="F232" s="223">
        <f t="shared" si="61"/>
        <v>9250</v>
      </c>
      <c r="G232" s="241">
        <f>6664+0.51</f>
        <v>6664.51</v>
      </c>
      <c r="H232" s="242"/>
      <c r="I232" s="276">
        <f t="shared" si="62"/>
        <v>15914.51</v>
      </c>
      <c r="J232" s="310"/>
      <c r="K232" s="335"/>
      <c r="L232" s="276">
        <f t="shared" si="63"/>
        <v>15914.51</v>
      </c>
      <c r="M232" s="25"/>
      <c r="N232" s="10"/>
      <c r="O232" s="26">
        <f>L232+M232+N232</f>
        <v>15914.51</v>
      </c>
      <c r="P232" s="78"/>
      <c r="Q232" s="79">
        <f t="shared" si="52"/>
        <v>15914.51</v>
      </c>
      <c r="R232" s="87"/>
    </row>
    <row r="233" spans="1:18" ht="12.75">
      <c r="A233" s="30" t="s">
        <v>88</v>
      </c>
      <c r="B233" s="96"/>
      <c r="C233" s="142">
        <f aca="true" t="shared" si="64" ref="C233:Q233">C234+C248</f>
        <v>653095</v>
      </c>
      <c r="D233" s="107">
        <f t="shared" si="64"/>
        <v>88399.81999999999</v>
      </c>
      <c r="E233" s="143">
        <f t="shared" si="64"/>
        <v>0</v>
      </c>
      <c r="F233" s="187">
        <f t="shared" si="64"/>
        <v>741494.8200000001</v>
      </c>
      <c r="G233" s="227">
        <f t="shared" si="64"/>
        <v>34156.22</v>
      </c>
      <c r="H233" s="228">
        <f t="shared" si="64"/>
        <v>2980.5</v>
      </c>
      <c r="I233" s="270">
        <f t="shared" si="64"/>
        <v>778631.5400000002</v>
      </c>
      <c r="J233" s="288">
        <f>J234+J248</f>
        <v>11433.619999999999</v>
      </c>
      <c r="K233" s="228">
        <f>K234+K248</f>
        <v>0</v>
      </c>
      <c r="L233" s="270">
        <f>L234+L248</f>
        <v>790065.16</v>
      </c>
      <c r="M233" s="106">
        <f t="shared" si="64"/>
        <v>0</v>
      </c>
      <c r="N233" s="106">
        <f t="shared" si="64"/>
        <v>0</v>
      </c>
      <c r="O233" s="106">
        <f t="shared" si="64"/>
        <v>745314.2599999999</v>
      </c>
      <c r="P233" s="106">
        <f t="shared" si="64"/>
        <v>0</v>
      </c>
      <c r="Q233" s="187">
        <f t="shared" si="64"/>
        <v>745314.2599999999</v>
      </c>
      <c r="R233" s="87"/>
    </row>
    <row r="234" spans="1:18" ht="12.75">
      <c r="A234" s="39" t="s">
        <v>49</v>
      </c>
      <c r="B234" s="96"/>
      <c r="C234" s="156">
        <f aca="true" t="shared" si="65" ref="C234:Q234">SUM(C236:C247)</f>
        <v>653095</v>
      </c>
      <c r="D234" s="115">
        <f t="shared" si="65"/>
        <v>32624.92</v>
      </c>
      <c r="E234" s="173">
        <f t="shared" si="65"/>
        <v>0</v>
      </c>
      <c r="F234" s="192">
        <f t="shared" si="65"/>
        <v>685719.92</v>
      </c>
      <c r="G234" s="237">
        <f t="shared" si="65"/>
        <v>25888.01</v>
      </c>
      <c r="H234" s="238">
        <f t="shared" si="65"/>
        <v>2980.5</v>
      </c>
      <c r="I234" s="274">
        <f t="shared" si="65"/>
        <v>714588.4300000002</v>
      </c>
      <c r="J234" s="278">
        <f>SUM(J236:J247)</f>
        <v>-3626.220000000001</v>
      </c>
      <c r="K234" s="238">
        <f>SUM(K236:K247)</f>
        <v>0</v>
      </c>
      <c r="L234" s="274">
        <f>SUM(L236:L247)</f>
        <v>710962.2100000001</v>
      </c>
      <c r="M234" s="114">
        <f t="shared" si="65"/>
        <v>0</v>
      </c>
      <c r="N234" s="114">
        <f t="shared" si="65"/>
        <v>0</v>
      </c>
      <c r="O234" s="114">
        <f t="shared" si="65"/>
        <v>666211.3099999999</v>
      </c>
      <c r="P234" s="114">
        <f t="shared" si="65"/>
        <v>0</v>
      </c>
      <c r="Q234" s="192">
        <f t="shared" si="65"/>
        <v>666211.3099999999</v>
      </c>
      <c r="R234" s="87"/>
    </row>
    <row r="235" spans="1:18" ht="12.75">
      <c r="A235" s="35" t="s">
        <v>26</v>
      </c>
      <c r="B235" s="92"/>
      <c r="C235" s="135"/>
      <c r="D235" s="108"/>
      <c r="E235" s="136"/>
      <c r="F235" s="187"/>
      <c r="G235" s="229"/>
      <c r="H235" s="230"/>
      <c r="I235" s="270"/>
      <c r="J235" s="305"/>
      <c r="K235" s="230"/>
      <c r="L235" s="270"/>
      <c r="M235" s="21"/>
      <c r="N235" s="7"/>
      <c r="O235" s="20"/>
      <c r="P235" s="75"/>
      <c r="Q235" s="73"/>
      <c r="R235" s="87"/>
    </row>
    <row r="236" spans="1:18" ht="12.75">
      <c r="A236" s="32" t="s">
        <v>74</v>
      </c>
      <c r="B236" s="92"/>
      <c r="C236" s="135">
        <v>322770</v>
      </c>
      <c r="D236" s="108"/>
      <c r="E236" s="136"/>
      <c r="F236" s="188">
        <f aca="true" t="shared" si="66" ref="F236:F247">C236+D236+E236</f>
        <v>322770</v>
      </c>
      <c r="G236" s="229"/>
      <c r="H236" s="230">
        <f>600</f>
        <v>600</v>
      </c>
      <c r="I236" s="271">
        <f aca="true" t="shared" si="67" ref="I236:I247">F236+G236+H236</f>
        <v>323370</v>
      </c>
      <c r="J236" s="305"/>
      <c r="K236" s="230"/>
      <c r="L236" s="271">
        <f aca="true" t="shared" si="68" ref="L236:L247">I236+J236+K236</f>
        <v>323370</v>
      </c>
      <c r="M236" s="21"/>
      <c r="N236" s="7"/>
      <c r="O236" s="22">
        <f aca="true" t="shared" si="69" ref="O236:O247">L236+M236+N236</f>
        <v>323370</v>
      </c>
      <c r="P236" s="75"/>
      <c r="Q236" s="73">
        <f>O236+P236</f>
        <v>323370</v>
      </c>
      <c r="R236" s="87"/>
    </row>
    <row r="237" spans="1:18" ht="12.75">
      <c r="A237" s="93" t="s">
        <v>204</v>
      </c>
      <c r="B237" s="92"/>
      <c r="C237" s="135"/>
      <c r="D237" s="108">
        <f>21000</f>
        <v>21000</v>
      </c>
      <c r="E237" s="136"/>
      <c r="F237" s="188">
        <f t="shared" si="66"/>
        <v>21000</v>
      </c>
      <c r="G237" s="229"/>
      <c r="H237" s="230">
        <f>-600</f>
        <v>-600</v>
      </c>
      <c r="I237" s="271">
        <f t="shared" si="67"/>
        <v>20400</v>
      </c>
      <c r="J237" s="305">
        <f>-10000</f>
        <v>-10000</v>
      </c>
      <c r="K237" s="230"/>
      <c r="L237" s="271">
        <f t="shared" si="68"/>
        <v>10400</v>
      </c>
      <c r="M237" s="21"/>
      <c r="N237" s="7"/>
      <c r="O237" s="22"/>
      <c r="P237" s="75"/>
      <c r="Q237" s="73"/>
      <c r="R237" s="87"/>
    </row>
    <row r="238" spans="1:18" ht="12.75">
      <c r="A238" s="37" t="s">
        <v>64</v>
      </c>
      <c r="B238" s="92"/>
      <c r="C238" s="135">
        <v>236200</v>
      </c>
      <c r="D238" s="108"/>
      <c r="E238" s="136"/>
      <c r="F238" s="188">
        <f t="shared" si="66"/>
        <v>236200</v>
      </c>
      <c r="G238" s="229"/>
      <c r="H238" s="230">
        <f>2980.5</f>
        <v>2980.5</v>
      </c>
      <c r="I238" s="271">
        <f t="shared" si="67"/>
        <v>239180.5</v>
      </c>
      <c r="J238" s="305"/>
      <c r="K238" s="230"/>
      <c r="L238" s="271">
        <f t="shared" si="68"/>
        <v>239180.5</v>
      </c>
      <c r="M238" s="21"/>
      <c r="N238" s="7"/>
      <c r="O238" s="22">
        <f t="shared" si="69"/>
        <v>239180.5</v>
      </c>
      <c r="P238" s="75"/>
      <c r="Q238" s="73">
        <f>O238+P238</f>
        <v>239180.5</v>
      </c>
      <c r="R238" s="87"/>
    </row>
    <row r="239" spans="1:18" ht="12.75" hidden="1">
      <c r="A239" s="37" t="s">
        <v>170</v>
      </c>
      <c r="B239" s="92"/>
      <c r="C239" s="135">
        <v>0</v>
      </c>
      <c r="D239" s="119"/>
      <c r="E239" s="136"/>
      <c r="F239" s="188">
        <f t="shared" si="66"/>
        <v>0</v>
      </c>
      <c r="G239" s="229"/>
      <c r="H239" s="230"/>
      <c r="I239" s="271">
        <f t="shared" si="67"/>
        <v>0</v>
      </c>
      <c r="J239" s="305"/>
      <c r="K239" s="230"/>
      <c r="L239" s="271">
        <f t="shared" si="68"/>
        <v>0</v>
      </c>
      <c r="M239" s="21"/>
      <c r="N239" s="7"/>
      <c r="O239" s="22"/>
      <c r="P239" s="75"/>
      <c r="Q239" s="73"/>
      <c r="R239" s="87"/>
    </row>
    <row r="240" spans="1:18" ht="12.75">
      <c r="A240" s="37" t="s">
        <v>51</v>
      </c>
      <c r="B240" s="92"/>
      <c r="C240" s="137">
        <v>94125</v>
      </c>
      <c r="D240" s="108">
        <f>2170+201.67+170+322</f>
        <v>2863.67</v>
      </c>
      <c r="E240" s="136"/>
      <c r="F240" s="188">
        <f t="shared" si="66"/>
        <v>96988.67</v>
      </c>
      <c r="G240" s="229">
        <f>1092.1+12.1-170</f>
        <v>934.1999999999998</v>
      </c>
      <c r="H240" s="230"/>
      <c r="I240" s="271">
        <f t="shared" si="67"/>
        <v>97922.87</v>
      </c>
      <c r="J240" s="305">
        <f>100-5000</f>
        <v>-4900</v>
      </c>
      <c r="K240" s="230"/>
      <c r="L240" s="271">
        <f t="shared" si="68"/>
        <v>93022.87</v>
      </c>
      <c r="M240" s="21"/>
      <c r="N240" s="7"/>
      <c r="O240" s="22">
        <f t="shared" si="69"/>
        <v>93022.87</v>
      </c>
      <c r="P240" s="75"/>
      <c r="Q240" s="73">
        <f>O240+P240</f>
        <v>93022.87</v>
      </c>
      <c r="R240" s="87"/>
    </row>
    <row r="241" spans="1:18" ht="12.75">
      <c r="A241" s="37" t="s">
        <v>77</v>
      </c>
      <c r="B241" s="92"/>
      <c r="C241" s="137"/>
      <c r="D241" s="108"/>
      <c r="E241" s="136"/>
      <c r="F241" s="188">
        <f t="shared" si="66"/>
        <v>0</v>
      </c>
      <c r="G241" s="229">
        <f>29.04+29.04+58.08</f>
        <v>116.16</v>
      </c>
      <c r="H241" s="230"/>
      <c r="I241" s="271">
        <f t="shared" si="67"/>
        <v>116.16</v>
      </c>
      <c r="J241" s="305">
        <f>10373.63+148.15</f>
        <v>10521.779999999999</v>
      </c>
      <c r="K241" s="230"/>
      <c r="L241" s="271">
        <f t="shared" si="68"/>
        <v>10637.939999999999</v>
      </c>
      <c r="M241" s="21"/>
      <c r="N241" s="7"/>
      <c r="O241" s="22">
        <f t="shared" si="69"/>
        <v>10637.939999999999</v>
      </c>
      <c r="P241" s="75"/>
      <c r="Q241" s="73">
        <f>O241+P241</f>
        <v>10637.939999999999</v>
      </c>
      <c r="R241" s="87"/>
    </row>
    <row r="242" spans="1:18" ht="12.75">
      <c r="A242" s="53" t="s">
        <v>328</v>
      </c>
      <c r="B242" s="92">
        <v>35024</v>
      </c>
      <c r="C242" s="137"/>
      <c r="D242" s="108">
        <f>6112.93+648.32</f>
        <v>6761.25</v>
      </c>
      <c r="E242" s="136"/>
      <c r="F242" s="188">
        <f t="shared" si="66"/>
        <v>6761.25</v>
      </c>
      <c r="G242" s="229">
        <f>-151.44</f>
        <v>-151.44</v>
      </c>
      <c r="H242" s="230"/>
      <c r="I242" s="271">
        <f t="shared" si="67"/>
        <v>6609.81</v>
      </c>
      <c r="J242" s="305"/>
      <c r="K242" s="230"/>
      <c r="L242" s="271">
        <f t="shared" si="68"/>
        <v>6609.81</v>
      </c>
      <c r="M242" s="21"/>
      <c r="N242" s="7"/>
      <c r="O242" s="22"/>
      <c r="P242" s="75"/>
      <c r="Q242" s="73"/>
      <c r="R242" s="87"/>
    </row>
    <row r="243" spans="1:18" ht="12.75">
      <c r="A243" s="53" t="s">
        <v>351</v>
      </c>
      <c r="B243" s="92">
        <v>35025</v>
      </c>
      <c r="C243" s="137"/>
      <c r="D243" s="108"/>
      <c r="E243" s="136"/>
      <c r="F243" s="188">
        <f t="shared" si="66"/>
        <v>0</v>
      </c>
      <c r="G243" s="229">
        <f>21481.06</f>
        <v>21481.06</v>
      </c>
      <c r="H243" s="230"/>
      <c r="I243" s="271">
        <f t="shared" si="67"/>
        <v>21481.06</v>
      </c>
      <c r="J243" s="305"/>
      <c r="K243" s="230"/>
      <c r="L243" s="271">
        <f t="shared" si="68"/>
        <v>21481.06</v>
      </c>
      <c r="M243" s="21"/>
      <c r="N243" s="7"/>
      <c r="O243" s="22"/>
      <c r="P243" s="75"/>
      <c r="Q243" s="73"/>
      <c r="R243" s="87"/>
    </row>
    <row r="244" spans="1:18" ht="12.75">
      <c r="A244" s="35" t="s">
        <v>378</v>
      </c>
      <c r="B244" s="92">
        <v>35026</v>
      </c>
      <c r="C244" s="137"/>
      <c r="D244" s="108"/>
      <c r="E244" s="136"/>
      <c r="F244" s="188"/>
      <c r="G244" s="229"/>
      <c r="H244" s="230"/>
      <c r="I244" s="271">
        <f t="shared" si="67"/>
        <v>0</v>
      </c>
      <c r="J244" s="305">
        <f>24+280+448</f>
        <v>752</v>
      </c>
      <c r="K244" s="230"/>
      <c r="L244" s="271">
        <f t="shared" si="68"/>
        <v>752</v>
      </c>
      <c r="M244" s="21"/>
      <c r="N244" s="7"/>
      <c r="O244" s="22"/>
      <c r="P244" s="75"/>
      <c r="Q244" s="73"/>
      <c r="R244" s="87"/>
    </row>
    <row r="245" spans="1:18" ht="12.75">
      <c r="A245" s="37" t="s">
        <v>269</v>
      </c>
      <c r="B245" s="92">
        <v>35018</v>
      </c>
      <c r="C245" s="137"/>
      <c r="D245" s="108">
        <f>2000</f>
        <v>2000</v>
      </c>
      <c r="E245" s="136"/>
      <c r="F245" s="188">
        <f t="shared" si="66"/>
        <v>2000</v>
      </c>
      <c r="G245" s="229">
        <f>3508.03</f>
        <v>3508.03</v>
      </c>
      <c r="H245" s="230"/>
      <c r="I245" s="271">
        <f t="shared" si="67"/>
        <v>5508.030000000001</v>
      </c>
      <c r="J245" s="305"/>
      <c r="K245" s="230"/>
      <c r="L245" s="271">
        <f t="shared" si="68"/>
        <v>5508.030000000001</v>
      </c>
      <c r="M245" s="21"/>
      <c r="N245" s="7"/>
      <c r="O245" s="22"/>
      <c r="P245" s="75"/>
      <c r="Q245" s="73"/>
      <c r="R245" s="87"/>
    </row>
    <row r="246" spans="1:18" ht="12.75" hidden="1">
      <c r="A246" s="37" t="s">
        <v>307</v>
      </c>
      <c r="B246" s="92"/>
      <c r="C246" s="137"/>
      <c r="D246" s="108"/>
      <c r="E246" s="136"/>
      <c r="F246" s="188">
        <f t="shared" si="66"/>
        <v>0</v>
      </c>
      <c r="G246" s="229"/>
      <c r="H246" s="230"/>
      <c r="I246" s="271">
        <f t="shared" si="67"/>
        <v>0</v>
      </c>
      <c r="J246" s="305"/>
      <c r="K246" s="230"/>
      <c r="L246" s="271">
        <f t="shared" si="68"/>
        <v>0</v>
      </c>
      <c r="M246" s="21"/>
      <c r="N246" s="7"/>
      <c r="O246" s="22">
        <f t="shared" si="69"/>
        <v>0</v>
      </c>
      <c r="P246" s="75"/>
      <c r="Q246" s="73">
        <f>O246+P246</f>
        <v>0</v>
      </c>
      <c r="R246" s="87"/>
    </row>
    <row r="247" spans="1:18" ht="12.75" hidden="1">
      <c r="A247" s="37" t="s">
        <v>89</v>
      </c>
      <c r="B247" s="92"/>
      <c r="C247" s="135"/>
      <c r="D247" s="108"/>
      <c r="E247" s="136"/>
      <c r="F247" s="188">
        <f t="shared" si="66"/>
        <v>0</v>
      </c>
      <c r="G247" s="229"/>
      <c r="H247" s="230"/>
      <c r="I247" s="271">
        <f t="shared" si="67"/>
        <v>0</v>
      </c>
      <c r="J247" s="305"/>
      <c r="K247" s="230"/>
      <c r="L247" s="271">
        <f t="shared" si="68"/>
        <v>0</v>
      </c>
      <c r="M247" s="21"/>
      <c r="N247" s="7"/>
      <c r="O247" s="22">
        <f t="shared" si="69"/>
        <v>0</v>
      </c>
      <c r="P247" s="75"/>
      <c r="Q247" s="73">
        <f>O247+P247</f>
        <v>0</v>
      </c>
      <c r="R247" s="87"/>
    </row>
    <row r="248" spans="1:18" ht="12.75">
      <c r="A248" s="39" t="s">
        <v>54</v>
      </c>
      <c r="B248" s="96"/>
      <c r="C248" s="156">
        <f>SUM(C250:C254)</f>
        <v>0</v>
      </c>
      <c r="D248" s="115">
        <f aca="true" t="shared" si="70" ref="D248:Q248">SUM(D250:D254)</f>
        <v>55774.899999999994</v>
      </c>
      <c r="E248" s="173">
        <f t="shared" si="70"/>
        <v>0</v>
      </c>
      <c r="F248" s="192">
        <f t="shared" si="70"/>
        <v>55774.899999999994</v>
      </c>
      <c r="G248" s="237">
        <f t="shared" si="70"/>
        <v>8268.210000000001</v>
      </c>
      <c r="H248" s="238">
        <f t="shared" si="70"/>
        <v>0</v>
      </c>
      <c r="I248" s="274">
        <f t="shared" si="70"/>
        <v>64043.10999999999</v>
      </c>
      <c r="J248" s="278">
        <f t="shared" si="70"/>
        <v>15059.84</v>
      </c>
      <c r="K248" s="238">
        <f t="shared" si="70"/>
        <v>0</v>
      </c>
      <c r="L248" s="274">
        <f t="shared" si="70"/>
        <v>79102.94999999998</v>
      </c>
      <c r="M248" s="114">
        <f t="shared" si="70"/>
        <v>0</v>
      </c>
      <c r="N248" s="114">
        <f t="shared" si="70"/>
        <v>0</v>
      </c>
      <c r="O248" s="114">
        <f t="shared" si="70"/>
        <v>79102.94999999998</v>
      </c>
      <c r="P248" s="114">
        <f t="shared" si="70"/>
        <v>0</v>
      </c>
      <c r="Q248" s="192">
        <f t="shared" si="70"/>
        <v>79102.94999999998</v>
      </c>
      <c r="R248" s="87"/>
    </row>
    <row r="249" spans="1:18" ht="12.75">
      <c r="A249" s="35" t="s">
        <v>26</v>
      </c>
      <c r="B249" s="92"/>
      <c r="C249" s="135"/>
      <c r="D249" s="108"/>
      <c r="E249" s="136"/>
      <c r="F249" s="188"/>
      <c r="G249" s="229"/>
      <c r="H249" s="230"/>
      <c r="I249" s="271"/>
      <c r="J249" s="305"/>
      <c r="K249" s="230"/>
      <c r="L249" s="271"/>
      <c r="M249" s="21"/>
      <c r="N249" s="7"/>
      <c r="O249" s="22"/>
      <c r="P249" s="75"/>
      <c r="Q249" s="73"/>
      <c r="R249" s="87"/>
    </row>
    <row r="250" spans="1:18" ht="12.75" hidden="1">
      <c r="A250" s="43" t="s">
        <v>55</v>
      </c>
      <c r="B250" s="95"/>
      <c r="C250" s="157">
        <v>0</v>
      </c>
      <c r="D250" s="116"/>
      <c r="E250" s="214"/>
      <c r="F250" s="224">
        <f>C250+D250+E250</f>
        <v>0</v>
      </c>
      <c r="G250" s="229"/>
      <c r="H250" s="230"/>
      <c r="I250" s="271"/>
      <c r="J250" s="305"/>
      <c r="K250" s="230"/>
      <c r="L250" s="271">
        <f>I250+J250+K250</f>
        <v>0</v>
      </c>
      <c r="M250" s="21"/>
      <c r="N250" s="7"/>
      <c r="O250" s="22"/>
      <c r="P250" s="75"/>
      <c r="Q250" s="73"/>
      <c r="R250" s="87"/>
    </row>
    <row r="251" spans="1:18" ht="12.75" hidden="1">
      <c r="A251" s="37" t="s">
        <v>235</v>
      </c>
      <c r="B251" s="92"/>
      <c r="C251" s="135"/>
      <c r="D251" s="108"/>
      <c r="E251" s="136"/>
      <c r="F251" s="188">
        <f>C251+D251+E251</f>
        <v>0</v>
      </c>
      <c r="G251" s="229"/>
      <c r="H251" s="230"/>
      <c r="I251" s="271"/>
      <c r="J251" s="305"/>
      <c r="K251" s="230"/>
      <c r="L251" s="271">
        <f>I251+J251+K251</f>
        <v>0</v>
      </c>
      <c r="M251" s="21"/>
      <c r="N251" s="7"/>
      <c r="O251" s="22"/>
      <c r="P251" s="75"/>
      <c r="Q251" s="73"/>
      <c r="R251" s="87"/>
    </row>
    <row r="252" spans="1:18" ht="12.75">
      <c r="A252" s="37" t="s">
        <v>86</v>
      </c>
      <c r="B252" s="92"/>
      <c r="C252" s="135"/>
      <c r="D252" s="108"/>
      <c r="E252" s="136"/>
      <c r="F252" s="188">
        <f>C252+D252+E252</f>
        <v>0</v>
      </c>
      <c r="G252" s="229"/>
      <c r="H252" s="230"/>
      <c r="I252" s="271">
        <f>F252+G252+H252</f>
        <v>0</v>
      </c>
      <c r="J252" s="305">
        <f>15000</f>
        <v>15000</v>
      </c>
      <c r="K252" s="230"/>
      <c r="L252" s="271">
        <f>I252+J252+K252</f>
        <v>15000</v>
      </c>
      <c r="M252" s="21"/>
      <c r="N252" s="7"/>
      <c r="O252" s="22">
        <f>L252+M252+N252</f>
        <v>15000</v>
      </c>
      <c r="P252" s="75"/>
      <c r="Q252" s="73">
        <f>O252+P252</f>
        <v>15000</v>
      </c>
      <c r="R252" s="87"/>
    </row>
    <row r="253" spans="1:18" ht="12.75" hidden="1">
      <c r="A253" s="37" t="s">
        <v>210</v>
      </c>
      <c r="B253" s="92"/>
      <c r="C253" s="135"/>
      <c r="D253" s="108"/>
      <c r="E253" s="136"/>
      <c r="F253" s="188">
        <f>C253+D253+E253</f>
        <v>0</v>
      </c>
      <c r="G253" s="241"/>
      <c r="H253" s="242"/>
      <c r="I253" s="276">
        <f>F253+G253+H253</f>
        <v>0</v>
      </c>
      <c r="J253" s="310"/>
      <c r="K253" s="242"/>
      <c r="L253" s="276">
        <f>I253+J253+K253</f>
        <v>0</v>
      </c>
      <c r="M253" s="25"/>
      <c r="N253" s="10"/>
      <c r="O253" s="26">
        <f>L253+M253+N253</f>
        <v>0</v>
      </c>
      <c r="P253" s="78"/>
      <c r="Q253" s="79">
        <f>O253+P253</f>
        <v>0</v>
      </c>
      <c r="R253" s="87"/>
    </row>
    <row r="254" spans="1:18" ht="12.75">
      <c r="A254" s="36" t="s">
        <v>77</v>
      </c>
      <c r="B254" s="95"/>
      <c r="C254" s="157"/>
      <c r="D254" s="116">
        <f>32303.48+23471.42</f>
        <v>55774.899999999994</v>
      </c>
      <c r="E254" s="214"/>
      <c r="F254" s="224">
        <f>C254+D254+E254</f>
        <v>55774.899999999994</v>
      </c>
      <c r="G254" s="241">
        <f>3475.66+3267.34+1583.29-58.08</f>
        <v>8268.210000000001</v>
      </c>
      <c r="H254" s="242"/>
      <c r="I254" s="276">
        <f>F254+G254+H254</f>
        <v>64043.10999999999</v>
      </c>
      <c r="J254" s="310">
        <f>207.99-148.15</f>
        <v>59.84</v>
      </c>
      <c r="K254" s="242"/>
      <c r="L254" s="276">
        <f>I254+J254+K254</f>
        <v>64102.94999999999</v>
      </c>
      <c r="M254" s="25"/>
      <c r="N254" s="10"/>
      <c r="O254" s="26">
        <f>L254+M254+N254</f>
        <v>64102.94999999999</v>
      </c>
      <c r="P254" s="78"/>
      <c r="Q254" s="79">
        <f>O254+P254</f>
        <v>64102.94999999999</v>
      </c>
      <c r="R254" s="87"/>
    </row>
    <row r="255" spans="1:18" ht="12.75">
      <c r="A255" s="44" t="s">
        <v>317</v>
      </c>
      <c r="B255" s="97"/>
      <c r="C255" s="129">
        <f aca="true" t="shared" si="71" ref="C255:Q255">C256+C271</f>
        <v>256495.47000000003</v>
      </c>
      <c r="D255" s="111">
        <f t="shared" si="71"/>
        <v>20526.07</v>
      </c>
      <c r="E255" s="130">
        <f t="shared" si="71"/>
        <v>0</v>
      </c>
      <c r="F255" s="190">
        <f t="shared" si="71"/>
        <v>277021.54000000004</v>
      </c>
      <c r="G255" s="233">
        <f t="shared" si="71"/>
        <v>12492.12</v>
      </c>
      <c r="H255" s="234">
        <f t="shared" si="71"/>
        <v>0</v>
      </c>
      <c r="I255" s="272">
        <f t="shared" si="71"/>
        <v>289513.66000000003</v>
      </c>
      <c r="J255" s="290">
        <f t="shared" si="71"/>
        <v>5989.08</v>
      </c>
      <c r="K255" s="234">
        <f t="shared" si="71"/>
        <v>941.53</v>
      </c>
      <c r="L255" s="272">
        <f t="shared" si="71"/>
        <v>296444.27</v>
      </c>
      <c r="M255" s="110">
        <f t="shared" si="71"/>
        <v>0</v>
      </c>
      <c r="N255" s="110">
        <f t="shared" si="71"/>
        <v>0</v>
      </c>
      <c r="O255" s="110">
        <f t="shared" si="71"/>
        <v>290705.3300000001</v>
      </c>
      <c r="P255" s="110">
        <f t="shared" si="71"/>
        <v>0</v>
      </c>
      <c r="Q255" s="190">
        <f t="shared" si="71"/>
        <v>290705.3300000001</v>
      </c>
      <c r="R255" s="87"/>
    </row>
    <row r="256" spans="1:18" ht="12.75">
      <c r="A256" s="39" t="s">
        <v>49</v>
      </c>
      <c r="B256" s="96"/>
      <c r="C256" s="156">
        <f aca="true" t="shared" si="72" ref="C256:Q256">SUM(C258:C270)</f>
        <v>253645.47000000003</v>
      </c>
      <c r="D256" s="115">
        <f t="shared" si="72"/>
        <v>11084.07</v>
      </c>
      <c r="E256" s="173">
        <f t="shared" si="72"/>
        <v>0</v>
      </c>
      <c r="F256" s="192">
        <f t="shared" si="72"/>
        <v>264729.54000000004</v>
      </c>
      <c r="G256" s="237">
        <f t="shared" si="72"/>
        <v>11013.12</v>
      </c>
      <c r="H256" s="238">
        <f t="shared" si="72"/>
        <v>0</v>
      </c>
      <c r="I256" s="274">
        <f t="shared" si="72"/>
        <v>275742.66000000003</v>
      </c>
      <c r="J256" s="278">
        <f t="shared" si="72"/>
        <v>5257.74</v>
      </c>
      <c r="K256" s="238">
        <f t="shared" si="72"/>
        <v>98.63</v>
      </c>
      <c r="L256" s="274">
        <f t="shared" si="72"/>
        <v>281099.03</v>
      </c>
      <c r="M256" s="114">
        <f t="shared" si="72"/>
        <v>0</v>
      </c>
      <c r="N256" s="114">
        <f t="shared" si="72"/>
        <v>0</v>
      </c>
      <c r="O256" s="114">
        <f t="shared" si="72"/>
        <v>275991.43000000005</v>
      </c>
      <c r="P256" s="114">
        <f t="shared" si="72"/>
        <v>0</v>
      </c>
      <c r="Q256" s="192">
        <f t="shared" si="72"/>
        <v>275991.43000000005</v>
      </c>
      <c r="R256" s="87"/>
    </row>
    <row r="257" spans="1:18" ht="12.75">
      <c r="A257" s="35" t="s">
        <v>26</v>
      </c>
      <c r="B257" s="92"/>
      <c r="C257" s="135"/>
      <c r="D257" s="108"/>
      <c r="E257" s="136"/>
      <c r="F257" s="188"/>
      <c r="G257" s="229"/>
      <c r="H257" s="230"/>
      <c r="I257" s="271"/>
      <c r="J257" s="305"/>
      <c r="K257" s="230"/>
      <c r="L257" s="271"/>
      <c r="M257" s="21"/>
      <c r="N257" s="7"/>
      <c r="O257" s="22"/>
      <c r="P257" s="75"/>
      <c r="Q257" s="73"/>
      <c r="R257" s="87"/>
    </row>
    <row r="258" spans="1:18" ht="12.75">
      <c r="A258" s="37" t="s">
        <v>74</v>
      </c>
      <c r="B258" s="92"/>
      <c r="C258" s="135">
        <v>203580.2</v>
      </c>
      <c r="D258" s="108">
        <f>510+2680</f>
        <v>3190</v>
      </c>
      <c r="E258" s="136"/>
      <c r="F258" s="188">
        <f aca="true" t="shared" si="73" ref="F258:F270">C258+D258+E258</f>
        <v>206770.2</v>
      </c>
      <c r="G258" s="229">
        <f>4840+572.7+700+2284.5</f>
        <v>8397.2</v>
      </c>
      <c r="H258" s="230"/>
      <c r="I258" s="271">
        <f>F258+G258+H258</f>
        <v>215167.40000000002</v>
      </c>
      <c r="J258" s="305">
        <f>1060+200.7</f>
        <v>1260.7</v>
      </c>
      <c r="K258" s="230"/>
      <c r="L258" s="271">
        <f>I258+J258+K258</f>
        <v>216428.10000000003</v>
      </c>
      <c r="M258" s="21"/>
      <c r="N258" s="7"/>
      <c r="O258" s="22">
        <f>L258+M258+N258</f>
        <v>216428.10000000003</v>
      </c>
      <c r="P258" s="75"/>
      <c r="Q258" s="73">
        <f aca="true" t="shared" si="74" ref="Q258:Q270">O258+P258</f>
        <v>216428.10000000003</v>
      </c>
      <c r="R258" s="87"/>
    </row>
    <row r="259" spans="1:18" ht="12.75">
      <c r="A259" s="37" t="s">
        <v>51</v>
      </c>
      <c r="B259" s="92"/>
      <c r="C259" s="135">
        <v>31008.2</v>
      </c>
      <c r="D259" s="108">
        <f>103-6509.6+1270.24-400-30-111+230+25</f>
        <v>-5422.360000000001</v>
      </c>
      <c r="E259" s="136"/>
      <c r="F259" s="188">
        <f t="shared" si="73"/>
        <v>25585.84</v>
      </c>
      <c r="G259" s="229">
        <f>16375.07-1850-25+715.5</f>
        <v>15215.57</v>
      </c>
      <c r="H259" s="230"/>
      <c r="I259" s="271">
        <f aca="true" t="shared" si="75" ref="I259:I270">F259+G259+H259</f>
        <v>40801.41</v>
      </c>
      <c r="J259" s="305">
        <f>150+600</f>
        <v>750</v>
      </c>
      <c r="K259" s="230">
        <f>98.63</f>
        <v>98.63</v>
      </c>
      <c r="L259" s="271">
        <f aca="true" t="shared" si="76" ref="L259:L269">I259+J259+K259</f>
        <v>41650.04</v>
      </c>
      <c r="M259" s="21"/>
      <c r="N259" s="7"/>
      <c r="O259" s="22">
        <f aca="true" t="shared" si="77" ref="O259:O270">L259+M259+N259</f>
        <v>41650.04</v>
      </c>
      <c r="P259" s="75"/>
      <c r="Q259" s="73">
        <f t="shared" si="74"/>
        <v>41650.04</v>
      </c>
      <c r="R259" s="87"/>
    </row>
    <row r="260" spans="1:18" ht="12.75">
      <c r="A260" s="37" t="s">
        <v>310</v>
      </c>
      <c r="B260" s="92"/>
      <c r="C260" s="135">
        <v>15375.07</v>
      </c>
      <c r="D260" s="108">
        <f>1000</f>
        <v>1000</v>
      </c>
      <c r="E260" s="136"/>
      <c r="F260" s="188">
        <f t="shared" si="73"/>
        <v>16375.07</v>
      </c>
      <c r="G260" s="229">
        <f>-16375.07</f>
        <v>-16375.07</v>
      </c>
      <c r="H260" s="230"/>
      <c r="I260" s="271">
        <f t="shared" si="75"/>
        <v>0</v>
      </c>
      <c r="J260" s="305"/>
      <c r="K260" s="230"/>
      <c r="L260" s="271">
        <f t="shared" si="76"/>
        <v>0</v>
      </c>
      <c r="M260" s="21"/>
      <c r="N260" s="7"/>
      <c r="O260" s="22"/>
      <c r="P260" s="75"/>
      <c r="Q260" s="73"/>
      <c r="R260" s="87"/>
    </row>
    <row r="261" spans="1:18" ht="12.75">
      <c r="A261" s="37" t="s">
        <v>131</v>
      </c>
      <c r="B261" s="92"/>
      <c r="C261" s="135">
        <v>3482</v>
      </c>
      <c r="D261" s="108">
        <f>111</f>
        <v>111</v>
      </c>
      <c r="E261" s="136"/>
      <c r="F261" s="188">
        <f t="shared" si="73"/>
        <v>3593</v>
      </c>
      <c r="G261" s="229"/>
      <c r="H261" s="230"/>
      <c r="I261" s="271">
        <f t="shared" si="75"/>
        <v>3593</v>
      </c>
      <c r="J261" s="305"/>
      <c r="K261" s="230"/>
      <c r="L261" s="271">
        <f t="shared" si="76"/>
        <v>3593</v>
      </c>
      <c r="M261" s="21"/>
      <c r="N261" s="7"/>
      <c r="O261" s="22">
        <f t="shared" si="77"/>
        <v>3593</v>
      </c>
      <c r="P261" s="75"/>
      <c r="Q261" s="73">
        <f t="shared" si="74"/>
        <v>3593</v>
      </c>
      <c r="R261" s="87"/>
    </row>
    <row r="262" spans="1:18" ht="12.75">
      <c r="A262" s="37" t="s">
        <v>65</v>
      </c>
      <c r="B262" s="92"/>
      <c r="C262" s="135"/>
      <c r="D262" s="108">
        <f>6509.6+400</f>
        <v>6909.6</v>
      </c>
      <c r="E262" s="136"/>
      <c r="F262" s="188">
        <f t="shared" si="73"/>
        <v>6909.6</v>
      </c>
      <c r="G262" s="229">
        <f>1850</f>
        <v>1850</v>
      </c>
      <c r="H262" s="230"/>
      <c r="I262" s="271">
        <f t="shared" si="75"/>
        <v>8759.6</v>
      </c>
      <c r="J262" s="305">
        <f>-150</f>
        <v>-150</v>
      </c>
      <c r="K262" s="230"/>
      <c r="L262" s="271">
        <f t="shared" si="76"/>
        <v>8609.6</v>
      </c>
      <c r="M262" s="21"/>
      <c r="N262" s="7"/>
      <c r="O262" s="22">
        <f t="shared" si="77"/>
        <v>8609.6</v>
      </c>
      <c r="P262" s="75"/>
      <c r="Q262" s="73">
        <f t="shared" si="74"/>
        <v>8609.6</v>
      </c>
      <c r="R262" s="87"/>
    </row>
    <row r="263" spans="1:18" ht="12.75">
      <c r="A263" s="37" t="s">
        <v>90</v>
      </c>
      <c r="B263" s="92">
        <v>34070</v>
      </c>
      <c r="C263" s="135"/>
      <c r="D263" s="108"/>
      <c r="E263" s="136"/>
      <c r="F263" s="188">
        <f t="shared" si="73"/>
        <v>0</v>
      </c>
      <c r="G263" s="229">
        <f>860</f>
        <v>860</v>
      </c>
      <c r="H263" s="230"/>
      <c r="I263" s="271">
        <f t="shared" si="75"/>
        <v>860</v>
      </c>
      <c r="J263" s="305">
        <f>25+213.86+345+160+160</f>
        <v>903.86</v>
      </c>
      <c r="K263" s="230"/>
      <c r="L263" s="271">
        <f t="shared" si="76"/>
        <v>1763.8600000000001</v>
      </c>
      <c r="M263" s="21"/>
      <c r="N263" s="7"/>
      <c r="O263" s="22">
        <f t="shared" si="77"/>
        <v>1763.8600000000001</v>
      </c>
      <c r="P263" s="75"/>
      <c r="Q263" s="73">
        <f t="shared" si="74"/>
        <v>1763.8600000000001</v>
      </c>
      <c r="R263" s="87"/>
    </row>
    <row r="264" spans="1:18" ht="12.75">
      <c r="A264" s="37" t="s">
        <v>91</v>
      </c>
      <c r="B264" s="92">
        <v>34053</v>
      </c>
      <c r="C264" s="135"/>
      <c r="D264" s="108"/>
      <c r="E264" s="136"/>
      <c r="F264" s="188">
        <f t="shared" si="73"/>
        <v>0</v>
      </c>
      <c r="G264" s="229">
        <f>334+122</f>
        <v>456</v>
      </c>
      <c r="H264" s="230"/>
      <c r="I264" s="271">
        <f t="shared" si="75"/>
        <v>456</v>
      </c>
      <c r="J264" s="305"/>
      <c r="K264" s="230"/>
      <c r="L264" s="271">
        <f t="shared" si="76"/>
        <v>456</v>
      </c>
      <c r="M264" s="21"/>
      <c r="N264" s="7"/>
      <c r="O264" s="22">
        <f t="shared" si="77"/>
        <v>456</v>
      </c>
      <c r="P264" s="75"/>
      <c r="Q264" s="73">
        <f t="shared" si="74"/>
        <v>456</v>
      </c>
      <c r="R264" s="87"/>
    </row>
    <row r="265" spans="1:18" ht="12.75">
      <c r="A265" s="37" t="s">
        <v>359</v>
      </c>
      <c r="B265" s="92">
        <v>34017</v>
      </c>
      <c r="C265" s="135"/>
      <c r="D265" s="108"/>
      <c r="E265" s="136"/>
      <c r="F265" s="188">
        <f t="shared" si="73"/>
        <v>0</v>
      </c>
      <c r="G265" s="229">
        <f>137+31.29</f>
        <v>168.29</v>
      </c>
      <c r="H265" s="230"/>
      <c r="I265" s="271">
        <f t="shared" si="75"/>
        <v>168.29</v>
      </c>
      <c r="J265" s="305"/>
      <c r="K265" s="230"/>
      <c r="L265" s="271">
        <f t="shared" si="76"/>
        <v>168.29</v>
      </c>
      <c r="M265" s="21"/>
      <c r="N265" s="7"/>
      <c r="O265" s="22"/>
      <c r="P265" s="75"/>
      <c r="Q265" s="73"/>
      <c r="R265" s="87"/>
    </row>
    <row r="266" spans="1:18" ht="12.75">
      <c r="A266" s="37" t="s">
        <v>349</v>
      </c>
      <c r="B266" s="92">
        <v>34019</v>
      </c>
      <c r="C266" s="135"/>
      <c r="D266" s="108"/>
      <c r="E266" s="136"/>
      <c r="F266" s="188">
        <f t="shared" si="73"/>
        <v>0</v>
      </c>
      <c r="G266" s="229">
        <f>41.13</f>
        <v>41.13</v>
      </c>
      <c r="H266" s="230"/>
      <c r="I266" s="271">
        <f t="shared" si="75"/>
        <v>41.13</v>
      </c>
      <c r="J266" s="305"/>
      <c r="K266" s="230"/>
      <c r="L266" s="271">
        <f t="shared" si="76"/>
        <v>41.13</v>
      </c>
      <c r="M266" s="21"/>
      <c r="N266" s="7"/>
      <c r="O266" s="22"/>
      <c r="P266" s="75"/>
      <c r="Q266" s="73"/>
      <c r="R266" s="87"/>
    </row>
    <row r="267" spans="1:18" ht="12.75">
      <c r="A267" s="37" t="s">
        <v>350</v>
      </c>
      <c r="B267" s="92">
        <v>34026</v>
      </c>
      <c r="C267" s="135"/>
      <c r="D267" s="108"/>
      <c r="E267" s="136"/>
      <c r="F267" s="188">
        <f t="shared" si="73"/>
        <v>0</v>
      </c>
      <c r="G267" s="229">
        <f>400</f>
        <v>400</v>
      </c>
      <c r="H267" s="230"/>
      <c r="I267" s="271">
        <f t="shared" si="75"/>
        <v>400</v>
      </c>
      <c r="J267" s="305"/>
      <c r="K267" s="230"/>
      <c r="L267" s="271">
        <f t="shared" si="76"/>
        <v>400</v>
      </c>
      <c r="M267" s="21"/>
      <c r="N267" s="7"/>
      <c r="O267" s="22"/>
      <c r="P267" s="75"/>
      <c r="Q267" s="73"/>
      <c r="R267" s="87"/>
    </row>
    <row r="268" spans="1:18" ht="12.75">
      <c r="A268" s="37" t="s">
        <v>367</v>
      </c>
      <c r="B268" s="92">
        <v>34031</v>
      </c>
      <c r="C268" s="135"/>
      <c r="D268" s="108"/>
      <c r="E268" s="136"/>
      <c r="F268" s="188"/>
      <c r="G268" s="229"/>
      <c r="H268" s="230"/>
      <c r="I268" s="271">
        <f t="shared" si="75"/>
        <v>0</v>
      </c>
      <c r="J268" s="305">
        <f>110+124+121+99+93+59</f>
        <v>606</v>
      </c>
      <c r="K268" s="230"/>
      <c r="L268" s="271">
        <f t="shared" si="76"/>
        <v>606</v>
      </c>
      <c r="M268" s="21"/>
      <c r="N268" s="7"/>
      <c r="O268" s="22"/>
      <c r="P268" s="75"/>
      <c r="Q268" s="73"/>
      <c r="R268" s="87"/>
    </row>
    <row r="269" spans="1:18" ht="12.75">
      <c r="A269" s="37" t="s">
        <v>267</v>
      </c>
      <c r="B269" s="92"/>
      <c r="C269" s="135"/>
      <c r="D269" s="108">
        <f>1805</f>
        <v>1805</v>
      </c>
      <c r="E269" s="136"/>
      <c r="F269" s="188">
        <f t="shared" si="73"/>
        <v>1805</v>
      </c>
      <c r="G269" s="229"/>
      <c r="H269" s="230"/>
      <c r="I269" s="271">
        <f t="shared" si="75"/>
        <v>1805</v>
      </c>
      <c r="J269" s="305">
        <f>2087.18</f>
        <v>2087.18</v>
      </c>
      <c r="K269" s="230"/>
      <c r="L269" s="271">
        <f t="shared" si="76"/>
        <v>3892.18</v>
      </c>
      <c r="M269" s="21"/>
      <c r="N269" s="7"/>
      <c r="O269" s="22"/>
      <c r="P269" s="75"/>
      <c r="Q269" s="73"/>
      <c r="R269" s="87"/>
    </row>
    <row r="270" spans="1:18" ht="12.75">
      <c r="A270" s="37" t="s">
        <v>77</v>
      </c>
      <c r="B270" s="92"/>
      <c r="C270" s="135">
        <v>200</v>
      </c>
      <c r="D270" s="108">
        <f>490.83+3000</f>
        <v>3490.83</v>
      </c>
      <c r="E270" s="136"/>
      <c r="F270" s="188">
        <f t="shared" si="73"/>
        <v>3690.83</v>
      </c>
      <c r="G270" s="229"/>
      <c r="H270" s="230"/>
      <c r="I270" s="271">
        <f t="shared" si="75"/>
        <v>3690.83</v>
      </c>
      <c r="J270" s="305">
        <f>-200</f>
        <v>-200</v>
      </c>
      <c r="K270" s="230"/>
      <c r="L270" s="271">
        <f>I270+J270+K270</f>
        <v>3490.83</v>
      </c>
      <c r="M270" s="21"/>
      <c r="N270" s="7"/>
      <c r="O270" s="22">
        <f t="shared" si="77"/>
        <v>3490.83</v>
      </c>
      <c r="P270" s="75"/>
      <c r="Q270" s="73">
        <f t="shared" si="74"/>
        <v>3490.83</v>
      </c>
      <c r="R270" s="87"/>
    </row>
    <row r="271" spans="1:18" ht="12.75">
      <c r="A271" s="39" t="s">
        <v>54</v>
      </c>
      <c r="B271" s="96"/>
      <c r="C271" s="156">
        <f>SUM(C273:C277)</f>
        <v>2850</v>
      </c>
      <c r="D271" s="115">
        <f aca="true" t="shared" si="78" ref="D271:Q271">SUM(D273:D277)</f>
        <v>9442</v>
      </c>
      <c r="E271" s="173">
        <f t="shared" si="78"/>
        <v>0</v>
      </c>
      <c r="F271" s="192">
        <f t="shared" si="78"/>
        <v>12292</v>
      </c>
      <c r="G271" s="237">
        <f t="shared" si="78"/>
        <v>1479</v>
      </c>
      <c r="H271" s="238">
        <f t="shared" si="78"/>
        <v>0</v>
      </c>
      <c r="I271" s="274">
        <f t="shared" si="78"/>
        <v>13771</v>
      </c>
      <c r="J271" s="278">
        <f t="shared" si="78"/>
        <v>731.3399999999999</v>
      </c>
      <c r="K271" s="238">
        <f t="shared" si="78"/>
        <v>842.9</v>
      </c>
      <c r="L271" s="274">
        <f t="shared" si="78"/>
        <v>15345.24</v>
      </c>
      <c r="M271" s="114">
        <f t="shared" si="78"/>
        <v>0</v>
      </c>
      <c r="N271" s="114">
        <f t="shared" si="78"/>
        <v>0</v>
      </c>
      <c r="O271" s="114">
        <f t="shared" si="78"/>
        <v>14713.9</v>
      </c>
      <c r="P271" s="114">
        <f t="shared" si="78"/>
        <v>0</v>
      </c>
      <c r="Q271" s="192">
        <f t="shared" si="78"/>
        <v>14713.9</v>
      </c>
      <c r="R271" s="87"/>
    </row>
    <row r="272" spans="1:18" ht="12.75">
      <c r="A272" s="35" t="s">
        <v>26</v>
      </c>
      <c r="B272" s="92"/>
      <c r="C272" s="135"/>
      <c r="D272" s="108"/>
      <c r="E272" s="136"/>
      <c r="F272" s="188"/>
      <c r="G272" s="229"/>
      <c r="H272" s="230"/>
      <c r="I272" s="271"/>
      <c r="J272" s="305"/>
      <c r="K272" s="230"/>
      <c r="L272" s="271"/>
      <c r="M272" s="21"/>
      <c r="N272" s="7"/>
      <c r="O272" s="22"/>
      <c r="P272" s="75"/>
      <c r="Q272" s="73"/>
      <c r="R272" s="87"/>
    </row>
    <row r="273" spans="1:18" ht="12.75">
      <c r="A273" s="37" t="s">
        <v>91</v>
      </c>
      <c r="B273" s="92">
        <v>34544</v>
      </c>
      <c r="C273" s="135"/>
      <c r="D273" s="108"/>
      <c r="E273" s="136"/>
      <c r="F273" s="188">
        <f>C273+D273+E273</f>
        <v>0</v>
      </c>
      <c r="G273" s="229">
        <f>79</f>
        <v>79</v>
      </c>
      <c r="H273" s="230"/>
      <c r="I273" s="271">
        <f>F273+G273+H273</f>
        <v>79</v>
      </c>
      <c r="J273" s="305"/>
      <c r="K273" s="230"/>
      <c r="L273" s="271">
        <f>I273+J273+K273</f>
        <v>79</v>
      </c>
      <c r="M273" s="21"/>
      <c r="N273" s="7"/>
      <c r="O273" s="22">
        <f>L273+M273+N273</f>
        <v>79</v>
      </c>
      <c r="P273" s="75"/>
      <c r="Q273" s="73">
        <f>O273+P273</f>
        <v>79</v>
      </c>
      <c r="R273" s="87"/>
    </row>
    <row r="274" spans="1:18" ht="12.75">
      <c r="A274" s="37" t="s">
        <v>367</v>
      </c>
      <c r="B274" s="92" t="s">
        <v>368</v>
      </c>
      <c r="C274" s="135"/>
      <c r="D274" s="108"/>
      <c r="E274" s="136"/>
      <c r="F274" s="188"/>
      <c r="G274" s="229"/>
      <c r="H274" s="230"/>
      <c r="I274" s="271">
        <f>F274+G274+H274</f>
        <v>0</v>
      </c>
      <c r="J274" s="305">
        <f>75+412.34+144</f>
        <v>631.3399999999999</v>
      </c>
      <c r="K274" s="230"/>
      <c r="L274" s="271">
        <f>I274+J274+K274</f>
        <v>631.3399999999999</v>
      </c>
      <c r="M274" s="21"/>
      <c r="N274" s="7"/>
      <c r="O274" s="22"/>
      <c r="P274" s="75"/>
      <c r="Q274" s="73"/>
      <c r="R274" s="87"/>
    </row>
    <row r="275" spans="1:18" ht="12.75">
      <c r="A275" s="90" t="s">
        <v>86</v>
      </c>
      <c r="B275" s="92"/>
      <c r="C275" s="135">
        <v>2850</v>
      </c>
      <c r="D275" s="119">
        <f>1352+8000+90</f>
        <v>9442</v>
      </c>
      <c r="E275" s="136"/>
      <c r="F275" s="188">
        <f>C275+D275+E275</f>
        <v>12292</v>
      </c>
      <c r="G275" s="229">
        <f>1000+400</f>
        <v>1400</v>
      </c>
      <c r="H275" s="230"/>
      <c r="I275" s="271">
        <f>F275+G275+H275</f>
        <v>13692</v>
      </c>
      <c r="J275" s="319">
        <f>100</f>
        <v>100</v>
      </c>
      <c r="K275" s="230"/>
      <c r="L275" s="271">
        <f>I275+J275+K275</f>
        <v>13792</v>
      </c>
      <c r="M275" s="21"/>
      <c r="N275" s="7"/>
      <c r="O275" s="22">
        <f>L275+M275+N275</f>
        <v>13792</v>
      </c>
      <c r="P275" s="75"/>
      <c r="Q275" s="73">
        <f>O275+P275</f>
        <v>13792</v>
      </c>
      <c r="R275" s="87"/>
    </row>
    <row r="276" spans="1:18" ht="12.75">
      <c r="A276" s="186" t="s">
        <v>55</v>
      </c>
      <c r="B276" s="95"/>
      <c r="C276" s="157"/>
      <c r="D276" s="116"/>
      <c r="E276" s="214"/>
      <c r="F276" s="224">
        <f>C276+D276+E276</f>
        <v>0</v>
      </c>
      <c r="G276" s="241"/>
      <c r="H276" s="242"/>
      <c r="I276" s="276"/>
      <c r="J276" s="310"/>
      <c r="K276" s="242">
        <f>842.9</f>
        <v>842.9</v>
      </c>
      <c r="L276" s="276">
        <f>I276+J276+K276</f>
        <v>842.9</v>
      </c>
      <c r="M276" s="21"/>
      <c r="N276" s="7"/>
      <c r="O276" s="22">
        <f>L276+M276+N276</f>
        <v>842.9</v>
      </c>
      <c r="P276" s="75"/>
      <c r="Q276" s="73">
        <f>O276+P276</f>
        <v>842.9</v>
      </c>
      <c r="R276" s="87"/>
    </row>
    <row r="277" spans="1:18" ht="12.75" hidden="1">
      <c r="A277" s="43" t="s">
        <v>77</v>
      </c>
      <c r="B277" s="95"/>
      <c r="C277" s="157"/>
      <c r="D277" s="116"/>
      <c r="E277" s="214"/>
      <c r="F277" s="224">
        <f>C277+D277+E277</f>
        <v>0</v>
      </c>
      <c r="G277" s="241"/>
      <c r="H277" s="242"/>
      <c r="I277" s="276">
        <f>F277+G277+H277</f>
        <v>0</v>
      </c>
      <c r="J277" s="310"/>
      <c r="K277" s="242"/>
      <c r="L277" s="276">
        <f>I277+J277+K277</f>
        <v>0</v>
      </c>
      <c r="M277" s="70"/>
      <c r="N277" s="10"/>
      <c r="O277" s="26">
        <f>L277+M277+N277</f>
        <v>0</v>
      </c>
      <c r="P277" s="78"/>
      <c r="Q277" s="79">
        <f>O277+P277</f>
        <v>0</v>
      </c>
      <c r="R277" s="87"/>
    </row>
    <row r="278" spans="1:27" ht="12.75">
      <c r="A278" s="30" t="s">
        <v>273</v>
      </c>
      <c r="B278" s="96"/>
      <c r="C278" s="330">
        <f>C279+C282</f>
        <v>1365.7</v>
      </c>
      <c r="D278" s="143">
        <f aca="true" t="shared" si="79" ref="D278:L278">D279+D282</f>
        <v>195</v>
      </c>
      <c r="E278" s="142">
        <f t="shared" si="79"/>
        <v>0</v>
      </c>
      <c r="F278" s="142">
        <f t="shared" si="79"/>
        <v>1560.7</v>
      </c>
      <c r="G278" s="142">
        <f t="shared" si="79"/>
        <v>0</v>
      </c>
      <c r="H278" s="142">
        <f t="shared" si="79"/>
        <v>0</v>
      </c>
      <c r="I278" s="331">
        <f t="shared" si="79"/>
        <v>1560.7</v>
      </c>
      <c r="J278" s="312">
        <f t="shared" si="79"/>
        <v>0</v>
      </c>
      <c r="K278" s="228">
        <f t="shared" si="79"/>
        <v>0</v>
      </c>
      <c r="L278" s="270">
        <f t="shared" si="79"/>
        <v>1560.7</v>
      </c>
      <c r="M278" s="29"/>
      <c r="N278" s="127"/>
      <c r="O278" s="81"/>
      <c r="P278" s="75"/>
      <c r="Q278" s="73"/>
      <c r="R278" s="87"/>
      <c r="Z278" s="189"/>
      <c r="AA278" s="143"/>
    </row>
    <row r="279" spans="1:18" ht="12.75">
      <c r="A279" s="39" t="s">
        <v>49</v>
      </c>
      <c r="B279" s="96"/>
      <c r="C279" s="156">
        <f aca="true" t="shared" si="80" ref="C279:I279">SUM(C281:C281)</f>
        <v>1365.7</v>
      </c>
      <c r="D279" s="115">
        <f t="shared" si="80"/>
        <v>195</v>
      </c>
      <c r="E279" s="173">
        <f t="shared" si="80"/>
        <v>0</v>
      </c>
      <c r="F279" s="192">
        <f t="shared" si="80"/>
        <v>1560.7</v>
      </c>
      <c r="G279" s="237">
        <f t="shared" si="80"/>
        <v>0</v>
      </c>
      <c r="H279" s="238">
        <f t="shared" si="80"/>
        <v>0</v>
      </c>
      <c r="I279" s="274">
        <f t="shared" si="80"/>
        <v>1560.7</v>
      </c>
      <c r="J279" s="278">
        <f>SUM(J281:J281)</f>
        <v>0</v>
      </c>
      <c r="K279" s="238">
        <f>SUM(K281:K281)</f>
        <v>0</v>
      </c>
      <c r="L279" s="274">
        <f>SUM(L281:L281)</f>
        <v>1560.7</v>
      </c>
      <c r="M279" s="29"/>
      <c r="N279" s="127"/>
      <c r="O279" s="81"/>
      <c r="P279" s="75"/>
      <c r="Q279" s="73"/>
      <c r="R279" s="87"/>
    </row>
    <row r="280" spans="1:18" ht="12.75">
      <c r="A280" s="35" t="s">
        <v>26</v>
      </c>
      <c r="B280" s="92"/>
      <c r="C280" s="135"/>
      <c r="D280" s="108"/>
      <c r="E280" s="136"/>
      <c r="F280" s="188"/>
      <c r="G280" s="229"/>
      <c r="H280" s="230"/>
      <c r="I280" s="271"/>
      <c r="J280" s="305"/>
      <c r="K280" s="230"/>
      <c r="L280" s="271"/>
      <c r="M280" s="29"/>
      <c r="N280" s="127"/>
      <c r="O280" s="81"/>
      <c r="P280" s="75"/>
      <c r="Q280" s="73"/>
      <c r="R280" s="87"/>
    </row>
    <row r="281" spans="1:18" ht="12.75">
      <c r="A281" s="36" t="s">
        <v>51</v>
      </c>
      <c r="B281" s="95"/>
      <c r="C281" s="157">
        <v>1365.7</v>
      </c>
      <c r="D281" s="116">
        <f>195</f>
        <v>195</v>
      </c>
      <c r="E281" s="214"/>
      <c r="F281" s="224">
        <f>C281+D281+E281</f>
        <v>1560.7</v>
      </c>
      <c r="G281" s="241"/>
      <c r="H281" s="242"/>
      <c r="I281" s="276">
        <f>F281+G281+H281</f>
        <v>1560.7</v>
      </c>
      <c r="J281" s="309"/>
      <c r="K281" s="242"/>
      <c r="L281" s="276">
        <f>I281+J281+K281</f>
        <v>1560.7</v>
      </c>
      <c r="M281" s="29"/>
      <c r="N281" s="127"/>
      <c r="O281" s="81"/>
      <c r="P281" s="75"/>
      <c r="Q281" s="73"/>
      <c r="R281" s="87"/>
    </row>
    <row r="282" spans="1:18" ht="12.75" hidden="1">
      <c r="A282" s="39" t="s">
        <v>54</v>
      </c>
      <c r="B282" s="96"/>
      <c r="C282" s="156">
        <f>C284</f>
        <v>0</v>
      </c>
      <c r="D282" s="156">
        <f aca="true" t="shared" si="81" ref="D282:P282">D284</f>
        <v>0</v>
      </c>
      <c r="E282" s="156">
        <f t="shared" si="81"/>
        <v>0</v>
      </c>
      <c r="F282" s="156">
        <f t="shared" si="81"/>
        <v>0</v>
      </c>
      <c r="G282" s="156">
        <f t="shared" si="81"/>
        <v>0</v>
      </c>
      <c r="H282" s="156">
        <f t="shared" si="81"/>
        <v>0</v>
      </c>
      <c r="I282" s="156">
        <f t="shared" si="81"/>
        <v>0</v>
      </c>
      <c r="J282" s="313">
        <f t="shared" si="81"/>
        <v>0</v>
      </c>
      <c r="K282" s="238">
        <f t="shared" si="81"/>
        <v>0</v>
      </c>
      <c r="L282" s="274">
        <f t="shared" si="81"/>
        <v>0</v>
      </c>
      <c r="M282" s="156">
        <f t="shared" si="81"/>
        <v>0</v>
      </c>
      <c r="N282" s="156">
        <f t="shared" si="81"/>
        <v>0</v>
      </c>
      <c r="O282" s="156">
        <f t="shared" si="81"/>
        <v>0</v>
      </c>
      <c r="P282" s="156">
        <f t="shared" si="81"/>
        <v>0</v>
      </c>
      <c r="Q282" s="192">
        <f>SUM(Q284:Q286)</f>
        <v>107548.09999999999</v>
      </c>
      <c r="R282" s="87"/>
    </row>
    <row r="283" spans="1:18" ht="12.75" hidden="1">
      <c r="A283" s="35" t="s">
        <v>26</v>
      </c>
      <c r="B283" s="92"/>
      <c r="C283" s="135"/>
      <c r="D283" s="108"/>
      <c r="E283" s="136"/>
      <c r="F283" s="188"/>
      <c r="G283" s="229"/>
      <c r="H283" s="230"/>
      <c r="I283" s="271"/>
      <c r="J283" s="305"/>
      <c r="K283" s="230"/>
      <c r="L283" s="271"/>
      <c r="M283" s="21"/>
      <c r="N283" s="7"/>
      <c r="O283" s="22"/>
      <c r="P283" s="75"/>
      <c r="Q283" s="73"/>
      <c r="R283" s="87"/>
    </row>
    <row r="284" spans="1:18" ht="12.75" hidden="1">
      <c r="A284" s="186" t="s">
        <v>55</v>
      </c>
      <c r="B284" s="95"/>
      <c r="C284" s="157"/>
      <c r="D284" s="116"/>
      <c r="E284" s="214"/>
      <c r="F284" s="224">
        <f>C284+D284+E284</f>
        <v>0</v>
      </c>
      <c r="G284" s="229"/>
      <c r="H284" s="230"/>
      <c r="I284" s="271"/>
      <c r="J284" s="305"/>
      <c r="K284" s="230"/>
      <c r="L284" s="271">
        <f>I284+J284+K284</f>
        <v>0</v>
      </c>
      <c r="M284" s="21"/>
      <c r="N284" s="7"/>
      <c r="O284" s="22">
        <f>L284+M284+N284</f>
        <v>0</v>
      </c>
      <c r="P284" s="75"/>
      <c r="Q284" s="73">
        <f>O284+P284</f>
        <v>0</v>
      </c>
      <c r="R284" s="87"/>
    </row>
    <row r="285" spans="1:18" ht="12.75">
      <c r="A285" s="30" t="s">
        <v>48</v>
      </c>
      <c r="B285" s="94"/>
      <c r="C285" s="142">
        <f aca="true" t="shared" si="82" ref="C285:Q285">C286+C299</f>
        <v>62729.03999999999</v>
      </c>
      <c r="D285" s="107">
        <f t="shared" si="82"/>
        <v>21945.010000000002</v>
      </c>
      <c r="E285" s="143">
        <f t="shared" si="82"/>
        <v>0</v>
      </c>
      <c r="F285" s="187">
        <f t="shared" si="82"/>
        <v>84674.04999999999</v>
      </c>
      <c r="G285" s="227">
        <f t="shared" si="82"/>
        <v>190</v>
      </c>
      <c r="H285" s="228">
        <f t="shared" si="82"/>
        <v>0</v>
      </c>
      <c r="I285" s="270">
        <f t="shared" si="82"/>
        <v>84864.04999999999</v>
      </c>
      <c r="J285" s="288">
        <f>J286+J299</f>
        <v>4400</v>
      </c>
      <c r="K285" s="228">
        <f>K286+K299</f>
        <v>0</v>
      </c>
      <c r="L285" s="270">
        <f>L286+L299</f>
        <v>89264.04999999999</v>
      </c>
      <c r="M285" s="106">
        <f t="shared" si="82"/>
        <v>0</v>
      </c>
      <c r="N285" s="106">
        <f t="shared" si="82"/>
        <v>0</v>
      </c>
      <c r="O285" s="106">
        <f t="shared" si="82"/>
        <v>54174.049999999996</v>
      </c>
      <c r="P285" s="106">
        <f t="shared" si="82"/>
        <v>0</v>
      </c>
      <c r="Q285" s="187">
        <f t="shared" si="82"/>
        <v>54174.049999999996</v>
      </c>
      <c r="R285" s="87"/>
    </row>
    <row r="286" spans="1:18" ht="12.75">
      <c r="A286" s="39" t="s">
        <v>49</v>
      </c>
      <c r="B286" s="94"/>
      <c r="C286" s="156">
        <f aca="true" t="shared" si="83" ref="C286:Q286">SUM(C288:C298)</f>
        <v>61929.03999999999</v>
      </c>
      <c r="D286" s="115">
        <f t="shared" si="83"/>
        <v>20645.010000000002</v>
      </c>
      <c r="E286" s="173">
        <f t="shared" si="83"/>
        <v>0</v>
      </c>
      <c r="F286" s="192">
        <f t="shared" si="83"/>
        <v>82574.04999999999</v>
      </c>
      <c r="G286" s="237">
        <f t="shared" si="83"/>
        <v>0</v>
      </c>
      <c r="H286" s="238">
        <f t="shared" si="83"/>
        <v>0</v>
      </c>
      <c r="I286" s="274">
        <f t="shared" si="83"/>
        <v>82574.04999999999</v>
      </c>
      <c r="J286" s="278">
        <f>SUM(J288:J298)</f>
        <v>4400</v>
      </c>
      <c r="K286" s="238">
        <f>SUM(K288:K298)</f>
        <v>0</v>
      </c>
      <c r="L286" s="274">
        <f>SUM(L288:L298)</f>
        <v>86974.04999999999</v>
      </c>
      <c r="M286" s="114">
        <f t="shared" si="83"/>
        <v>0</v>
      </c>
      <c r="N286" s="114">
        <f t="shared" si="83"/>
        <v>0</v>
      </c>
      <c r="O286" s="114">
        <f t="shared" si="83"/>
        <v>53374.049999999996</v>
      </c>
      <c r="P286" s="114">
        <f t="shared" si="83"/>
        <v>0</v>
      </c>
      <c r="Q286" s="192">
        <f t="shared" si="83"/>
        <v>53374.049999999996</v>
      </c>
      <c r="R286" s="87"/>
    </row>
    <row r="287" spans="1:18" ht="12.75">
      <c r="A287" s="35" t="s">
        <v>26</v>
      </c>
      <c r="B287" s="67"/>
      <c r="C287" s="135"/>
      <c r="D287" s="108"/>
      <c r="E287" s="136"/>
      <c r="F287" s="188"/>
      <c r="G287" s="229"/>
      <c r="H287" s="230"/>
      <c r="I287" s="271"/>
      <c r="J287" s="305"/>
      <c r="K287" s="230"/>
      <c r="L287" s="271"/>
      <c r="M287" s="21"/>
      <c r="N287" s="7"/>
      <c r="O287" s="22"/>
      <c r="P287" s="75"/>
      <c r="Q287" s="73"/>
      <c r="R287" s="87"/>
    </row>
    <row r="288" spans="1:18" ht="12.75">
      <c r="A288" s="33" t="s">
        <v>135</v>
      </c>
      <c r="B288" s="92"/>
      <c r="C288" s="135">
        <v>28272.67</v>
      </c>
      <c r="D288" s="108"/>
      <c r="E288" s="136"/>
      <c r="F288" s="188">
        <f aca="true" t="shared" si="84" ref="F288:F298">C288+D288+E288</f>
        <v>28272.67</v>
      </c>
      <c r="G288" s="229"/>
      <c r="H288" s="230"/>
      <c r="I288" s="271">
        <f>F288+G288+H288</f>
        <v>28272.67</v>
      </c>
      <c r="J288" s="305"/>
      <c r="K288" s="230"/>
      <c r="L288" s="271">
        <f>I288+J288+K288</f>
        <v>28272.67</v>
      </c>
      <c r="M288" s="21"/>
      <c r="N288" s="7"/>
      <c r="O288" s="22">
        <f>L288+M288+N288</f>
        <v>28272.67</v>
      </c>
      <c r="P288" s="75"/>
      <c r="Q288" s="73">
        <f>O288+P288</f>
        <v>28272.67</v>
      </c>
      <c r="R288" s="87"/>
    </row>
    <row r="289" spans="1:18" ht="12.75">
      <c r="A289" s="33" t="s">
        <v>50</v>
      </c>
      <c r="B289" s="92"/>
      <c r="C289" s="135">
        <v>7192.59</v>
      </c>
      <c r="D289" s="108"/>
      <c r="E289" s="136"/>
      <c r="F289" s="188">
        <f t="shared" si="84"/>
        <v>7192.59</v>
      </c>
      <c r="G289" s="229"/>
      <c r="H289" s="230"/>
      <c r="I289" s="271">
        <f>F289+G289+H289</f>
        <v>7192.59</v>
      </c>
      <c r="J289" s="305"/>
      <c r="K289" s="230"/>
      <c r="L289" s="271">
        <f>I289+J289+K289</f>
        <v>7192.59</v>
      </c>
      <c r="M289" s="21"/>
      <c r="N289" s="7"/>
      <c r="O289" s="22">
        <f>L289+M289+N289</f>
        <v>7192.59</v>
      </c>
      <c r="P289" s="75"/>
      <c r="Q289" s="73">
        <f>O289+P289</f>
        <v>7192.59</v>
      </c>
      <c r="R289" s="87"/>
    </row>
    <row r="290" spans="1:18" ht="12.75">
      <c r="A290" s="33" t="s">
        <v>243</v>
      </c>
      <c r="B290" s="92"/>
      <c r="C290" s="135">
        <v>1450</v>
      </c>
      <c r="D290" s="108"/>
      <c r="E290" s="136"/>
      <c r="F290" s="188">
        <f t="shared" si="84"/>
        <v>1450</v>
      </c>
      <c r="G290" s="229"/>
      <c r="H290" s="230"/>
      <c r="I290" s="271">
        <f>F290+G290+H290</f>
        <v>1450</v>
      </c>
      <c r="J290" s="305"/>
      <c r="K290" s="230"/>
      <c r="L290" s="271">
        <f>I290+J290+K290</f>
        <v>1450</v>
      </c>
      <c r="M290" s="21"/>
      <c r="N290" s="7"/>
      <c r="O290" s="22">
        <f>L290+M290+N290</f>
        <v>1450</v>
      </c>
      <c r="P290" s="75"/>
      <c r="Q290" s="73">
        <f>O290+P290</f>
        <v>1450</v>
      </c>
      <c r="R290" s="87"/>
    </row>
    <row r="291" spans="1:18" ht="12.75">
      <c r="A291" s="33" t="s">
        <v>51</v>
      </c>
      <c r="B291" s="92"/>
      <c r="C291" s="135">
        <v>15713.78</v>
      </c>
      <c r="D291" s="108">
        <f>214.65+30.36</f>
        <v>245.01</v>
      </c>
      <c r="E291" s="136"/>
      <c r="F291" s="188">
        <f t="shared" si="84"/>
        <v>15958.79</v>
      </c>
      <c r="G291" s="229"/>
      <c r="H291" s="230"/>
      <c r="I291" s="271">
        <f>F291+G291+H291</f>
        <v>15958.79</v>
      </c>
      <c r="J291" s="305"/>
      <c r="K291" s="230"/>
      <c r="L291" s="271">
        <f>I291+J291+K291</f>
        <v>15958.79</v>
      </c>
      <c r="M291" s="21"/>
      <c r="N291" s="7"/>
      <c r="O291" s="22">
        <f>L291+M291+N291</f>
        <v>15958.79</v>
      </c>
      <c r="P291" s="75"/>
      <c r="Q291" s="73">
        <f>O291+P291</f>
        <v>15958.79</v>
      </c>
      <c r="R291" s="87"/>
    </row>
    <row r="292" spans="1:18" ht="12.75" hidden="1">
      <c r="A292" s="33" t="s">
        <v>77</v>
      </c>
      <c r="B292" s="92"/>
      <c r="C292" s="135"/>
      <c r="D292" s="108"/>
      <c r="E292" s="136"/>
      <c r="F292" s="188">
        <f t="shared" si="84"/>
        <v>0</v>
      </c>
      <c r="G292" s="229"/>
      <c r="H292" s="230"/>
      <c r="I292" s="271"/>
      <c r="J292" s="305"/>
      <c r="K292" s="230"/>
      <c r="L292" s="271">
        <f aca="true" t="shared" si="85" ref="L292:L297">I292+J292+K292</f>
        <v>0</v>
      </c>
      <c r="M292" s="21"/>
      <c r="N292" s="7"/>
      <c r="O292" s="22"/>
      <c r="P292" s="75"/>
      <c r="Q292" s="73"/>
      <c r="R292" s="87"/>
    </row>
    <row r="293" spans="1:18" ht="12.75">
      <c r="A293" s="33" t="s">
        <v>52</v>
      </c>
      <c r="B293" s="92"/>
      <c r="C293" s="135">
        <v>500</v>
      </c>
      <c r="D293" s="108"/>
      <c r="E293" s="136"/>
      <c r="F293" s="188">
        <f t="shared" si="84"/>
        <v>500</v>
      </c>
      <c r="G293" s="229"/>
      <c r="H293" s="230"/>
      <c r="I293" s="271">
        <f aca="true" t="shared" si="86" ref="I293:I298">F293+G293+H293</f>
        <v>500</v>
      </c>
      <c r="J293" s="305"/>
      <c r="K293" s="230"/>
      <c r="L293" s="271">
        <f t="shared" si="85"/>
        <v>500</v>
      </c>
      <c r="M293" s="21"/>
      <c r="N293" s="7"/>
      <c r="O293" s="22">
        <f>L293+M293+N293</f>
        <v>500</v>
      </c>
      <c r="P293" s="75"/>
      <c r="Q293" s="73">
        <f>O293+P293</f>
        <v>500</v>
      </c>
      <c r="R293" s="87"/>
    </row>
    <row r="294" spans="1:18" ht="12.75">
      <c r="A294" s="33" t="s">
        <v>313</v>
      </c>
      <c r="B294" s="92">
        <v>98032</v>
      </c>
      <c r="C294" s="135"/>
      <c r="D294" s="108">
        <f>10000</f>
        <v>10000</v>
      </c>
      <c r="E294" s="136"/>
      <c r="F294" s="188">
        <f t="shared" si="84"/>
        <v>10000</v>
      </c>
      <c r="G294" s="229"/>
      <c r="H294" s="230"/>
      <c r="I294" s="271">
        <f t="shared" si="86"/>
        <v>10000</v>
      </c>
      <c r="J294" s="305"/>
      <c r="K294" s="230"/>
      <c r="L294" s="271">
        <f t="shared" si="85"/>
        <v>10000</v>
      </c>
      <c r="M294" s="21"/>
      <c r="N294" s="7"/>
      <c r="O294" s="22"/>
      <c r="P294" s="75"/>
      <c r="Q294" s="73"/>
      <c r="R294" s="87"/>
    </row>
    <row r="295" spans="1:18" ht="12.75">
      <c r="A295" s="33" t="s">
        <v>308</v>
      </c>
      <c r="B295" s="92"/>
      <c r="C295" s="135"/>
      <c r="D295" s="108">
        <f>5000</f>
        <v>5000</v>
      </c>
      <c r="E295" s="136"/>
      <c r="F295" s="188">
        <f t="shared" si="84"/>
        <v>5000</v>
      </c>
      <c r="G295" s="229"/>
      <c r="H295" s="230"/>
      <c r="I295" s="271">
        <f t="shared" si="86"/>
        <v>5000</v>
      </c>
      <c r="J295" s="305"/>
      <c r="K295" s="230"/>
      <c r="L295" s="271">
        <f t="shared" si="85"/>
        <v>5000</v>
      </c>
      <c r="M295" s="21"/>
      <c r="N295" s="7"/>
      <c r="O295" s="22"/>
      <c r="P295" s="75"/>
      <c r="Q295" s="73"/>
      <c r="R295" s="87"/>
    </row>
    <row r="296" spans="1:18" ht="12.75">
      <c r="A296" s="33" t="s">
        <v>244</v>
      </c>
      <c r="B296" s="92"/>
      <c r="C296" s="135">
        <v>8200</v>
      </c>
      <c r="D296" s="108">
        <f>5000</f>
        <v>5000</v>
      </c>
      <c r="E296" s="136"/>
      <c r="F296" s="188">
        <f t="shared" si="84"/>
        <v>13200</v>
      </c>
      <c r="G296" s="229"/>
      <c r="H296" s="230"/>
      <c r="I296" s="271">
        <f t="shared" si="86"/>
        <v>13200</v>
      </c>
      <c r="J296" s="305">
        <f>200+3000</f>
        <v>3200</v>
      </c>
      <c r="K296" s="230"/>
      <c r="L296" s="271">
        <f t="shared" si="85"/>
        <v>16400</v>
      </c>
      <c r="M296" s="21"/>
      <c r="N296" s="7"/>
      <c r="O296" s="22"/>
      <c r="P296" s="75"/>
      <c r="Q296" s="73"/>
      <c r="R296" s="87"/>
    </row>
    <row r="297" spans="1:18" ht="13.5" thickBot="1">
      <c r="A297" s="332" t="s">
        <v>245</v>
      </c>
      <c r="B297" s="133"/>
      <c r="C297" s="159">
        <v>600</v>
      </c>
      <c r="D297" s="134">
        <f>400</f>
        <v>400</v>
      </c>
      <c r="E297" s="213"/>
      <c r="F297" s="223">
        <f t="shared" si="84"/>
        <v>1000</v>
      </c>
      <c r="G297" s="325"/>
      <c r="H297" s="326"/>
      <c r="I297" s="327">
        <f t="shared" si="86"/>
        <v>1000</v>
      </c>
      <c r="J297" s="328">
        <f>1200</f>
        <v>1200</v>
      </c>
      <c r="K297" s="326"/>
      <c r="L297" s="327">
        <f t="shared" si="85"/>
        <v>2200</v>
      </c>
      <c r="M297" s="21"/>
      <c r="N297" s="7"/>
      <c r="O297" s="22"/>
      <c r="P297" s="75"/>
      <c r="Q297" s="73"/>
      <c r="R297" s="87"/>
    </row>
    <row r="298" spans="1:18" ht="12.75" hidden="1">
      <c r="A298" s="33" t="s">
        <v>53</v>
      </c>
      <c r="B298" s="92"/>
      <c r="C298" s="135"/>
      <c r="D298" s="108"/>
      <c r="E298" s="136"/>
      <c r="F298" s="188">
        <f t="shared" si="84"/>
        <v>0</v>
      </c>
      <c r="G298" s="229"/>
      <c r="H298" s="230"/>
      <c r="I298" s="271">
        <f t="shared" si="86"/>
        <v>0</v>
      </c>
      <c r="J298" s="305"/>
      <c r="K298" s="230"/>
      <c r="L298" s="271">
        <f>I298+J298+K298</f>
        <v>0</v>
      </c>
      <c r="M298" s="21"/>
      <c r="N298" s="7"/>
      <c r="O298" s="22">
        <f>L298+M298+N298</f>
        <v>0</v>
      </c>
      <c r="P298" s="75"/>
      <c r="Q298" s="73">
        <f>O298+P298</f>
        <v>0</v>
      </c>
      <c r="R298" s="87"/>
    </row>
    <row r="299" spans="1:18" ht="12.75">
      <c r="A299" s="40" t="s">
        <v>54</v>
      </c>
      <c r="B299" s="96"/>
      <c r="C299" s="158">
        <f aca="true" t="shared" si="87" ref="C299:Q299">SUM(C301:C305)</f>
        <v>800</v>
      </c>
      <c r="D299" s="118">
        <f t="shared" si="87"/>
        <v>1300</v>
      </c>
      <c r="E299" s="174">
        <f t="shared" si="87"/>
        <v>0</v>
      </c>
      <c r="F299" s="193">
        <f t="shared" si="87"/>
        <v>2100</v>
      </c>
      <c r="G299" s="239">
        <f t="shared" si="87"/>
        <v>190</v>
      </c>
      <c r="H299" s="240">
        <f t="shared" si="87"/>
        <v>0</v>
      </c>
      <c r="I299" s="275">
        <f t="shared" si="87"/>
        <v>2290</v>
      </c>
      <c r="J299" s="292">
        <f t="shared" si="87"/>
        <v>0</v>
      </c>
      <c r="K299" s="240">
        <f t="shared" si="87"/>
        <v>0</v>
      </c>
      <c r="L299" s="275">
        <f t="shared" si="87"/>
        <v>2290</v>
      </c>
      <c r="M299" s="117">
        <f t="shared" si="87"/>
        <v>0</v>
      </c>
      <c r="N299" s="117">
        <f t="shared" si="87"/>
        <v>0</v>
      </c>
      <c r="O299" s="117">
        <f t="shared" si="87"/>
        <v>800</v>
      </c>
      <c r="P299" s="117">
        <f t="shared" si="87"/>
        <v>0</v>
      </c>
      <c r="Q299" s="193">
        <f t="shared" si="87"/>
        <v>800</v>
      </c>
      <c r="R299" s="87"/>
    </row>
    <row r="300" spans="1:18" ht="12.75">
      <c r="A300" s="31" t="s">
        <v>26</v>
      </c>
      <c r="B300" s="92"/>
      <c r="C300" s="129"/>
      <c r="D300" s="111"/>
      <c r="E300" s="130"/>
      <c r="F300" s="190"/>
      <c r="G300" s="233"/>
      <c r="H300" s="234"/>
      <c r="I300" s="272"/>
      <c r="J300" s="308"/>
      <c r="K300" s="234"/>
      <c r="L300" s="272"/>
      <c r="M300" s="23"/>
      <c r="N300" s="8"/>
      <c r="O300" s="24"/>
      <c r="P300" s="75"/>
      <c r="Q300" s="73"/>
      <c r="R300" s="87"/>
    </row>
    <row r="301" spans="1:18" ht="12.75" hidden="1">
      <c r="A301" s="33" t="s">
        <v>154</v>
      </c>
      <c r="B301" s="92"/>
      <c r="C301" s="135"/>
      <c r="D301" s="108"/>
      <c r="E301" s="136"/>
      <c r="F301" s="188">
        <f>C301+D301+E301</f>
        <v>0</v>
      </c>
      <c r="G301" s="229"/>
      <c r="H301" s="230"/>
      <c r="I301" s="271">
        <f>F301+G301+H301</f>
        <v>0</v>
      </c>
      <c r="J301" s="305"/>
      <c r="K301" s="230"/>
      <c r="L301" s="271">
        <f>I301+J301+K301</f>
        <v>0</v>
      </c>
      <c r="M301" s="21"/>
      <c r="N301" s="7"/>
      <c r="O301" s="22">
        <f>L301+M301+N301</f>
        <v>0</v>
      </c>
      <c r="P301" s="75"/>
      <c r="Q301" s="73">
        <f>O301+P301</f>
        <v>0</v>
      </c>
      <c r="R301" s="87"/>
    </row>
    <row r="302" spans="1:18" ht="12.75">
      <c r="A302" s="33" t="s">
        <v>244</v>
      </c>
      <c r="B302" s="92"/>
      <c r="C302" s="135">
        <v>800</v>
      </c>
      <c r="D302" s="108">
        <f>500</f>
        <v>500</v>
      </c>
      <c r="E302" s="136"/>
      <c r="F302" s="188">
        <f>C302+D302+E302</f>
        <v>1300</v>
      </c>
      <c r="G302" s="229">
        <f>190</f>
        <v>190</v>
      </c>
      <c r="H302" s="230"/>
      <c r="I302" s="271">
        <f>F302+G302+H302</f>
        <v>1490</v>
      </c>
      <c r="J302" s="305"/>
      <c r="K302" s="230"/>
      <c r="L302" s="271">
        <f>I302+J302+K302</f>
        <v>1490</v>
      </c>
      <c r="M302" s="21"/>
      <c r="N302" s="7"/>
      <c r="O302" s="22"/>
      <c r="P302" s="75"/>
      <c r="Q302" s="73"/>
      <c r="R302" s="87"/>
    </row>
    <row r="303" spans="1:18" ht="12.75" hidden="1">
      <c r="A303" s="36" t="s">
        <v>245</v>
      </c>
      <c r="B303" s="95"/>
      <c r="C303" s="157"/>
      <c r="D303" s="116"/>
      <c r="E303" s="214"/>
      <c r="F303" s="224">
        <f>C303+D303+E303</f>
        <v>0</v>
      </c>
      <c r="G303" s="229"/>
      <c r="H303" s="230"/>
      <c r="I303" s="271"/>
      <c r="J303" s="305"/>
      <c r="K303" s="230"/>
      <c r="L303" s="271"/>
      <c r="M303" s="21"/>
      <c r="N303" s="7"/>
      <c r="O303" s="22"/>
      <c r="P303" s="75"/>
      <c r="Q303" s="73"/>
      <c r="R303" s="87"/>
    </row>
    <row r="304" spans="1:18" ht="12.75" hidden="1">
      <c r="A304" s="33" t="s">
        <v>53</v>
      </c>
      <c r="B304" s="92"/>
      <c r="C304" s="135"/>
      <c r="D304" s="108"/>
      <c r="E304" s="136"/>
      <c r="F304" s="188">
        <f>C304+D304+E304</f>
        <v>0</v>
      </c>
      <c r="G304" s="241"/>
      <c r="H304" s="242"/>
      <c r="I304" s="276">
        <f>F304+G304+H304</f>
        <v>0</v>
      </c>
      <c r="J304" s="310"/>
      <c r="K304" s="242"/>
      <c r="L304" s="276">
        <f>I304+J304+K304</f>
        <v>0</v>
      </c>
      <c r="M304" s="25"/>
      <c r="N304" s="10"/>
      <c r="O304" s="26">
        <f>L304+M304+N304</f>
        <v>0</v>
      </c>
      <c r="P304" s="78"/>
      <c r="Q304" s="79">
        <f>O304+P304</f>
        <v>0</v>
      </c>
      <c r="R304" s="87"/>
    </row>
    <row r="305" spans="1:18" ht="12.75">
      <c r="A305" s="36" t="s">
        <v>55</v>
      </c>
      <c r="B305" s="95"/>
      <c r="C305" s="157"/>
      <c r="D305" s="116">
        <f>800</f>
        <v>800</v>
      </c>
      <c r="E305" s="214"/>
      <c r="F305" s="224">
        <f>C305+D305+E305</f>
        <v>800</v>
      </c>
      <c r="G305" s="241"/>
      <c r="H305" s="242"/>
      <c r="I305" s="276">
        <f>F305+G305+H305</f>
        <v>800</v>
      </c>
      <c r="J305" s="310"/>
      <c r="K305" s="242"/>
      <c r="L305" s="276">
        <f>I305+J305+K305</f>
        <v>800</v>
      </c>
      <c r="M305" s="25"/>
      <c r="N305" s="10"/>
      <c r="O305" s="26">
        <f>L305+M305+N305</f>
        <v>800</v>
      </c>
      <c r="P305" s="75"/>
      <c r="Q305" s="73">
        <f>O305+P305</f>
        <v>800</v>
      </c>
      <c r="R305" s="87"/>
    </row>
    <row r="306" spans="1:18" ht="12.75">
      <c r="A306" s="30" t="s">
        <v>248</v>
      </c>
      <c r="B306" s="96"/>
      <c r="C306" s="142">
        <f aca="true" t="shared" si="88" ref="C306:Q306">C307+C326</f>
        <v>457700.91</v>
      </c>
      <c r="D306" s="107">
        <f t="shared" si="88"/>
        <v>23664.519999999997</v>
      </c>
      <c r="E306" s="143">
        <f t="shared" si="88"/>
        <v>0</v>
      </c>
      <c r="F306" s="187">
        <f t="shared" si="88"/>
        <v>481365.43000000005</v>
      </c>
      <c r="G306" s="227">
        <f t="shared" si="88"/>
        <v>6601.9800000000005</v>
      </c>
      <c r="H306" s="228">
        <f t="shared" si="88"/>
        <v>0</v>
      </c>
      <c r="I306" s="270">
        <f t="shared" si="88"/>
        <v>487967.41000000003</v>
      </c>
      <c r="J306" s="288">
        <f>J307+J326</f>
        <v>1095.28</v>
      </c>
      <c r="K306" s="228">
        <f>K307+K326</f>
        <v>0</v>
      </c>
      <c r="L306" s="270">
        <f>L307+L326</f>
        <v>489062.69</v>
      </c>
      <c r="M306" s="106">
        <f t="shared" si="88"/>
        <v>0</v>
      </c>
      <c r="N306" s="106">
        <f t="shared" si="88"/>
        <v>0</v>
      </c>
      <c r="O306" s="106">
        <f t="shared" si="88"/>
        <v>486509.68000000005</v>
      </c>
      <c r="P306" s="106">
        <f t="shared" si="88"/>
        <v>0</v>
      </c>
      <c r="Q306" s="187">
        <f t="shared" si="88"/>
        <v>486509.68000000005</v>
      </c>
      <c r="R306" s="87"/>
    </row>
    <row r="307" spans="1:18" ht="12.75">
      <c r="A307" s="39" t="s">
        <v>49</v>
      </c>
      <c r="B307" s="96"/>
      <c r="C307" s="156">
        <f aca="true" t="shared" si="89" ref="C307:Q307">SUM(C309:C325)</f>
        <v>457700.91</v>
      </c>
      <c r="D307" s="115">
        <f t="shared" si="89"/>
        <v>23664.519999999997</v>
      </c>
      <c r="E307" s="173">
        <f t="shared" si="89"/>
        <v>0</v>
      </c>
      <c r="F307" s="192">
        <f t="shared" si="89"/>
        <v>481365.43000000005</v>
      </c>
      <c r="G307" s="237">
        <f t="shared" si="89"/>
        <v>6601.9800000000005</v>
      </c>
      <c r="H307" s="238">
        <f t="shared" si="89"/>
        <v>0</v>
      </c>
      <c r="I307" s="274">
        <f t="shared" si="89"/>
        <v>487967.41000000003</v>
      </c>
      <c r="J307" s="278">
        <f>SUM(J309:J325)</f>
        <v>1095.28</v>
      </c>
      <c r="K307" s="238">
        <f>SUM(K309:K325)</f>
        <v>0</v>
      </c>
      <c r="L307" s="274">
        <f>SUM(L309:L325)</f>
        <v>489062.69</v>
      </c>
      <c r="M307" s="114">
        <f t="shared" si="89"/>
        <v>0</v>
      </c>
      <c r="N307" s="114">
        <f t="shared" si="89"/>
        <v>0</v>
      </c>
      <c r="O307" s="114">
        <f t="shared" si="89"/>
        <v>486509.68000000005</v>
      </c>
      <c r="P307" s="114">
        <f t="shared" si="89"/>
        <v>0</v>
      </c>
      <c r="Q307" s="192">
        <f t="shared" si="89"/>
        <v>486509.68000000005</v>
      </c>
      <c r="R307" s="87"/>
    </row>
    <row r="308" spans="1:18" ht="12.75">
      <c r="A308" s="35" t="s">
        <v>26</v>
      </c>
      <c r="B308" s="92"/>
      <c r="C308" s="135"/>
      <c r="D308" s="108"/>
      <c r="E308" s="136"/>
      <c r="F308" s="188"/>
      <c r="G308" s="229"/>
      <c r="H308" s="230"/>
      <c r="I308" s="271"/>
      <c r="J308" s="305"/>
      <c r="K308" s="230"/>
      <c r="L308" s="271"/>
      <c r="M308" s="21"/>
      <c r="N308" s="7"/>
      <c r="O308" s="22"/>
      <c r="P308" s="75"/>
      <c r="Q308" s="73"/>
      <c r="R308" s="87"/>
    </row>
    <row r="309" spans="1:18" ht="12.75">
      <c r="A309" s="42" t="s">
        <v>136</v>
      </c>
      <c r="B309" s="92"/>
      <c r="C309" s="135">
        <v>245389.18</v>
      </c>
      <c r="D309" s="119">
        <f>10126.39+747.39+30</f>
        <v>10903.779999999999</v>
      </c>
      <c r="E309" s="136"/>
      <c r="F309" s="188">
        <f aca="true" t="shared" si="90" ref="F309:F325">C309+D309+E309</f>
        <v>256292.96</v>
      </c>
      <c r="G309" s="229">
        <f>100</f>
        <v>100</v>
      </c>
      <c r="H309" s="230"/>
      <c r="I309" s="271">
        <f>F309+G309+H309</f>
        <v>256392.96</v>
      </c>
      <c r="J309" s="305"/>
      <c r="K309" s="230"/>
      <c r="L309" s="271">
        <f>I309+J309+K309</f>
        <v>256392.96</v>
      </c>
      <c r="M309" s="21"/>
      <c r="N309" s="7"/>
      <c r="O309" s="22">
        <f>L309+M309+N309</f>
        <v>256392.96</v>
      </c>
      <c r="P309" s="75"/>
      <c r="Q309" s="73">
        <f aca="true" t="shared" si="91" ref="Q309:Q316">O309+P309</f>
        <v>256392.96</v>
      </c>
      <c r="R309" s="87"/>
    </row>
    <row r="310" spans="1:18" ht="12.75">
      <c r="A310" s="33" t="s">
        <v>50</v>
      </c>
      <c r="B310" s="92"/>
      <c r="C310" s="135">
        <v>83616.7</v>
      </c>
      <c r="D310" s="108">
        <f>1682.79+252.61</f>
        <v>1935.4</v>
      </c>
      <c r="E310" s="136"/>
      <c r="F310" s="188">
        <f t="shared" si="90"/>
        <v>85552.09999999999</v>
      </c>
      <c r="G310" s="229"/>
      <c r="H310" s="230"/>
      <c r="I310" s="271">
        <f aca="true" t="shared" si="92" ref="I310:I320">F310+G310+H310</f>
        <v>85552.09999999999</v>
      </c>
      <c r="J310" s="305"/>
      <c r="K310" s="230"/>
      <c r="L310" s="271">
        <f aca="true" t="shared" si="93" ref="L310:L324">I310+J310+K310</f>
        <v>85552.09999999999</v>
      </c>
      <c r="M310" s="21"/>
      <c r="N310" s="7"/>
      <c r="O310" s="22">
        <f aca="true" t="shared" si="94" ref="O310:O316">L310+M310+N310</f>
        <v>85552.09999999999</v>
      </c>
      <c r="P310" s="75"/>
      <c r="Q310" s="73">
        <f t="shared" si="91"/>
        <v>85552.09999999999</v>
      </c>
      <c r="R310" s="87"/>
    </row>
    <row r="311" spans="1:18" ht="12.75">
      <c r="A311" s="33" t="s">
        <v>243</v>
      </c>
      <c r="B311" s="92"/>
      <c r="C311" s="135">
        <v>200</v>
      </c>
      <c r="D311" s="108"/>
      <c r="E311" s="136"/>
      <c r="F311" s="188">
        <f t="shared" si="90"/>
        <v>200</v>
      </c>
      <c r="G311" s="229"/>
      <c r="H311" s="230"/>
      <c r="I311" s="271">
        <f t="shared" si="92"/>
        <v>200</v>
      </c>
      <c r="J311" s="305"/>
      <c r="K311" s="230"/>
      <c r="L311" s="271">
        <f t="shared" si="93"/>
        <v>200</v>
      </c>
      <c r="M311" s="21"/>
      <c r="N311" s="7"/>
      <c r="O311" s="22">
        <f t="shared" si="94"/>
        <v>200</v>
      </c>
      <c r="P311" s="75"/>
      <c r="Q311" s="73">
        <f t="shared" si="91"/>
        <v>200</v>
      </c>
      <c r="R311" s="87"/>
    </row>
    <row r="312" spans="1:18" ht="12.75">
      <c r="A312" s="33" t="s">
        <v>51</v>
      </c>
      <c r="B312" s="92"/>
      <c r="C312" s="135">
        <v>64328.3</v>
      </c>
      <c r="D312" s="132">
        <f>9273.47+270+130</f>
        <v>9673.47</v>
      </c>
      <c r="E312" s="136"/>
      <c r="F312" s="188">
        <f t="shared" si="90"/>
        <v>74001.77</v>
      </c>
      <c r="G312" s="229">
        <f>4529.25</f>
        <v>4529.25</v>
      </c>
      <c r="H312" s="230"/>
      <c r="I312" s="271">
        <f t="shared" si="92"/>
        <v>78531.02</v>
      </c>
      <c r="J312" s="305"/>
      <c r="K312" s="230"/>
      <c r="L312" s="271">
        <f t="shared" si="93"/>
        <v>78531.02</v>
      </c>
      <c r="M312" s="21"/>
      <c r="N312" s="7"/>
      <c r="O312" s="22">
        <f t="shared" si="94"/>
        <v>78531.02</v>
      </c>
      <c r="P312" s="75"/>
      <c r="Q312" s="73">
        <f t="shared" si="91"/>
        <v>78531.02</v>
      </c>
      <c r="R312" s="87"/>
    </row>
    <row r="313" spans="1:18" ht="12.75">
      <c r="A313" s="33" t="s">
        <v>56</v>
      </c>
      <c r="B313" s="92">
        <v>1115</v>
      </c>
      <c r="C313" s="135">
        <v>350</v>
      </c>
      <c r="D313" s="108">
        <f>119.51</f>
        <v>119.51</v>
      </c>
      <c r="E313" s="136"/>
      <c r="F313" s="188">
        <f t="shared" si="90"/>
        <v>469.51</v>
      </c>
      <c r="G313" s="229"/>
      <c r="H313" s="230"/>
      <c r="I313" s="271">
        <f t="shared" si="92"/>
        <v>469.51</v>
      </c>
      <c r="J313" s="305"/>
      <c r="K313" s="230"/>
      <c r="L313" s="271">
        <f t="shared" si="93"/>
        <v>469.51</v>
      </c>
      <c r="M313" s="21"/>
      <c r="N313" s="7"/>
      <c r="O313" s="22">
        <f t="shared" si="94"/>
        <v>469.51</v>
      </c>
      <c r="P313" s="75"/>
      <c r="Q313" s="73">
        <f t="shared" si="91"/>
        <v>469.51</v>
      </c>
      <c r="R313" s="87"/>
    </row>
    <row r="314" spans="1:18" ht="12.75" hidden="1">
      <c r="A314" s="33" t="s">
        <v>57</v>
      </c>
      <c r="B314" s="92"/>
      <c r="C314" s="135"/>
      <c r="D314" s="108"/>
      <c r="E314" s="136"/>
      <c r="F314" s="188">
        <f t="shared" si="90"/>
        <v>0</v>
      </c>
      <c r="G314" s="229"/>
      <c r="H314" s="230"/>
      <c r="I314" s="271">
        <f t="shared" si="92"/>
        <v>0</v>
      </c>
      <c r="J314" s="305"/>
      <c r="K314" s="230"/>
      <c r="L314" s="271">
        <f t="shared" si="93"/>
        <v>0</v>
      </c>
      <c r="M314" s="21"/>
      <c r="N314" s="7"/>
      <c r="O314" s="22">
        <f t="shared" si="94"/>
        <v>0</v>
      </c>
      <c r="P314" s="75"/>
      <c r="Q314" s="73">
        <f t="shared" si="91"/>
        <v>0</v>
      </c>
      <c r="R314" s="87"/>
    </row>
    <row r="315" spans="1:18" ht="12.75">
      <c r="A315" s="33" t="s">
        <v>58</v>
      </c>
      <c r="B315" s="92">
        <v>51</v>
      </c>
      <c r="C315" s="135">
        <v>63816.73</v>
      </c>
      <c r="D315" s="108">
        <f>1032.36</f>
        <v>1032.36</v>
      </c>
      <c r="E315" s="136"/>
      <c r="F315" s="188">
        <f t="shared" si="90"/>
        <v>64849.090000000004</v>
      </c>
      <c r="G315" s="229"/>
      <c r="H315" s="230"/>
      <c r="I315" s="271">
        <f t="shared" si="92"/>
        <v>64849.090000000004</v>
      </c>
      <c r="J315" s="305"/>
      <c r="K315" s="230"/>
      <c r="L315" s="271">
        <f t="shared" si="93"/>
        <v>64849.090000000004</v>
      </c>
      <c r="M315" s="21"/>
      <c r="N315" s="7"/>
      <c r="O315" s="22">
        <f t="shared" si="94"/>
        <v>64849.090000000004</v>
      </c>
      <c r="P315" s="75"/>
      <c r="Q315" s="73">
        <f t="shared" si="91"/>
        <v>64849.090000000004</v>
      </c>
      <c r="R315" s="87"/>
    </row>
    <row r="316" spans="1:18" ht="12.75" hidden="1">
      <c r="A316" s="33" t="s">
        <v>76</v>
      </c>
      <c r="B316" s="92"/>
      <c r="C316" s="135"/>
      <c r="D316" s="108"/>
      <c r="E316" s="136"/>
      <c r="F316" s="188">
        <f t="shared" si="90"/>
        <v>0</v>
      </c>
      <c r="G316" s="229"/>
      <c r="H316" s="230"/>
      <c r="I316" s="271">
        <f t="shared" si="92"/>
        <v>0</v>
      </c>
      <c r="J316" s="305"/>
      <c r="K316" s="230"/>
      <c r="L316" s="271">
        <f t="shared" si="93"/>
        <v>0</v>
      </c>
      <c r="M316" s="21"/>
      <c r="N316" s="7"/>
      <c r="O316" s="22">
        <f t="shared" si="94"/>
        <v>0</v>
      </c>
      <c r="P316" s="75"/>
      <c r="Q316" s="73">
        <f t="shared" si="91"/>
        <v>0</v>
      </c>
      <c r="R316" s="87"/>
    </row>
    <row r="317" spans="1:18" ht="12.75">
      <c r="A317" s="33" t="s">
        <v>344</v>
      </c>
      <c r="B317" s="92"/>
      <c r="C317" s="135"/>
      <c r="D317" s="108"/>
      <c r="E317" s="136"/>
      <c r="F317" s="188">
        <f t="shared" si="90"/>
        <v>0</v>
      </c>
      <c r="G317" s="229">
        <f>1074.6</f>
        <v>1074.6</v>
      </c>
      <c r="H317" s="230"/>
      <c r="I317" s="271">
        <f t="shared" si="92"/>
        <v>1074.6</v>
      </c>
      <c r="J317" s="305"/>
      <c r="K317" s="230"/>
      <c r="L317" s="271">
        <f t="shared" si="93"/>
        <v>1074.6</v>
      </c>
      <c r="M317" s="21"/>
      <c r="N317" s="7"/>
      <c r="O317" s="22"/>
      <c r="P317" s="75"/>
      <c r="Q317" s="73"/>
      <c r="R317" s="87"/>
    </row>
    <row r="318" spans="1:18" ht="12.75" hidden="1">
      <c r="A318" s="33" t="s">
        <v>59</v>
      </c>
      <c r="B318" s="92"/>
      <c r="C318" s="135"/>
      <c r="D318" s="108"/>
      <c r="E318" s="136"/>
      <c r="F318" s="188">
        <f t="shared" si="90"/>
        <v>0</v>
      </c>
      <c r="G318" s="229"/>
      <c r="H318" s="230"/>
      <c r="I318" s="271">
        <f t="shared" si="92"/>
        <v>0</v>
      </c>
      <c r="J318" s="305"/>
      <c r="K318" s="230"/>
      <c r="L318" s="271">
        <f t="shared" si="93"/>
        <v>0</v>
      </c>
      <c r="M318" s="21"/>
      <c r="N318" s="7"/>
      <c r="O318" s="22">
        <f>L318+M318+N318</f>
        <v>0</v>
      </c>
      <c r="P318" s="75"/>
      <c r="Q318" s="73">
        <f>O318+P318</f>
        <v>0</v>
      </c>
      <c r="R318" s="87"/>
    </row>
    <row r="319" spans="1:18" ht="12.75" hidden="1">
      <c r="A319" s="33" t="s">
        <v>251</v>
      </c>
      <c r="B319" s="92">
        <v>98008</v>
      </c>
      <c r="C319" s="135"/>
      <c r="D319" s="108"/>
      <c r="E319" s="136"/>
      <c r="F319" s="188">
        <f t="shared" si="90"/>
        <v>0</v>
      </c>
      <c r="G319" s="229"/>
      <c r="H319" s="230"/>
      <c r="I319" s="271">
        <f t="shared" si="92"/>
        <v>0</v>
      </c>
      <c r="J319" s="305"/>
      <c r="K319" s="230"/>
      <c r="L319" s="271">
        <f t="shared" si="93"/>
        <v>0</v>
      </c>
      <c r="M319" s="21"/>
      <c r="N319" s="7"/>
      <c r="O319" s="22"/>
      <c r="P319" s="75"/>
      <c r="Q319" s="73"/>
      <c r="R319" s="87"/>
    </row>
    <row r="320" spans="1:18" ht="12.75">
      <c r="A320" s="33" t="s">
        <v>376</v>
      </c>
      <c r="B320" s="92">
        <v>98071</v>
      </c>
      <c r="C320" s="135"/>
      <c r="D320" s="108"/>
      <c r="E320" s="136"/>
      <c r="F320" s="188">
        <f t="shared" si="90"/>
        <v>0</v>
      </c>
      <c r="G320" s="229"/>
      <c r="H320" s="230"/>
      <c r="I320" s="271">
        <f t="shared" si="92"/>
        <v>0</v>
      </c>
      <c r="J320" s="305">
        <f>1000</f>
        <v>1000</v>
      </c>
      <c r="K320" s="230"/>
      <c r="L320" s="271">
        <f t="shared" si="93"/>
        <v>1000</v>
      </c>
      <c r="M320" s="21"/>
      <c r="N320" s="7"/>
      <c r="O320" s="22"/>
      <c r="P320" s="75"/>
      <c r="Q320" s="73"/>
      <c r="R320" s="87"/>
    </row>
    <row r="321" spans="1:18" ht="12.75">
      <c r="A321" s="33" t="s">
        <v>60</v>
      </c>
      <c r="B321" s="92">
        <v>98074</v>
      </c>
      <c r="C321" s="109"/>
      <c r="D321" s="116"/>
      <c r="E321" s="214"/>
      <c r="F321" s="224">
        <f t="shared" si="90"/>
        <v>0</v>
      </c>
      <c r="G321" s="229"/>
      <c r="H321" s="230"/>
      <c r="I321" s="271">
        <f>F321+G321+H321</f>
        <v>0</v>
      </c>
      <c r="J321" s="305">
        <f>15</f>
        <v>15</v>
      </c>
      <c r="K321" s="230"/>
      <c r="L321" s="271">
        <f t="shared" si="93"/>
        <v>15</v>
      </c>
      <c r="M321" s="21"/>
      <c r="N321" s="7"/>
      <c r="O321" s="22">
        <f>L321+M321+N321</f>
        <v>15</v>
      </c>
      <c r="P321" s="75"/>
      <c r="Q321" s="73">
        <f>O321+P321</f>
        <v>15</v>
      </c>
      <c r="R321" s="87"/>
    </row>
    <row r="322" spans="1:18" ht="12.75" hidden="1">
      <c r="A322" s="33" t="s">
        <v>61</v>
      </c>
      <c r="B322" s="92"/>
      <c r="C322" s="135"/>
      <c r="D322" s="108"/>
      <c r="E322" s="136"/>
      <c r="F322" s="188">
        <f t="shared" si="90"/>
        <v>0</v>
      </c>
      <c r="G322" s="229"/>
      <c r="H322" s="230"/>
      <c r="I322" s="271">
        <f>F322+G322+H322</f>
        <v>0</v>
      </c>
      <c r="J322" s="305"/>
      <c r="K322" s="230"/>
      <c r="L322" s="271">
        <f t="shared" si="93"/>
        <v>0</v>
      </c>
      <c r="M322" s="21"/>
      <c r="N322" s="7"/>
      <c r="O322" s="22">
        <f>L322+M322+N322</f>
        <v>0</v>
      </c>
      <c r="P322" s="75"/>
      <c r="Q322" s="73">
        <f>O322+P322</f>
        <v>0</v>
      </c>
      <c r="R322" s="87"/>
    </row>
    <row r="323" spans="1:18" ht="12.75">
      <c r="A323" s="33" t="s">
        <v>345</v>
      </c>
      <c r="B323" s="92">
        <v>13014</v>
      </c>
      <c r="C323" s="135"/>
      <c r="D323" s="108"/>
      <c r="E323" s="136"/>
      <c r="F323" s="188">
        <f t="shared" si="90"/>
        <v>0</v>
      </c>
      <c r="G323" s="229">
        <f>217.5</f>
        <v>217.5</v>
      </c>
      <c r="H323" s="230"/>
      <c r="I323" s="271">
        <f>F323+G323+H323</f>
        <v>217.5</v>
      </c>
      <c r="J323" s="305"/>
      <c r="K323" s="230"/>
      <c r="L323" s="271">
        <f t="shared" si="93"/>
        <v>217.5</v>
      </c>
      <c r="M323" s="21"/>
      <c r="N323" s="7"/>
      <c r="O323" s="22"/>
      <c r="P323" s="75"/>
      <c r="Q323" s="73"/>
      <c r="R323" s="87"/>
    </row>
    <row r="324" spans="1:18" ht="12.75">
      <c r="A324" s="33" t="s">
        <v>360</v>
      </c>
      <c r="B324" s="92">
        <v>13019</v>
      </c>
      <c r="C324" s="135"/>
      <c r="D324" s="108"/>
      <c r="E324" s="136"/>
      <c r="F324" s="188">
        <f t="shared" si="90"/>
        <v>0</v>
      </c>
      <c r="G324" s="229">
        <f>180.63</f>
        <v>180.63</v>
      </c>
      <c r="H324" s="230"/>
      <c r="I324" s="271">
        <f>F324+G324+H324</f>
        <v>180.63</v>
      </c>
      <c r="J324" s="305">
        <f>80.28</f>
        <v>80.28</v>
      </c>
      <c r="K324" s="230"/>
      <c r="L324" s="271">
        <f t="shared" si="93"/>
        <v>260.90999999999997</v>
      </c>
      <c r="M324" s="21"/>
      <c r="N324" s="7"/>
      <c r="O324" s="22"/>
      <c r="P324" s="75"/>
      <c r="Q324" s="73"/>
      <c r="R324" s="87"/>
    </row>
    <row r="325" spans="1:18" ht="12.75">
      <c r="A325" s="36" t="s">
        <v>62</v>
      </c>
      <c r="B325" s="95">
        <v>4001</v>
      </c>
      <c r="C325" s="157"/>
      <c r="D325" s="116"/>
      <c r="E325" s="214"/>
      <c r="F325" s="224">
        <f t="shared" si="90"/>
        <v>0</v>
      </c>
      <c r="G325" s="241">
        <f>500</f>
        <v>500</v>
      </c>
      <c r="H325" s="242"/>
      <c r="I325" s="276">
        <f>F325+G325+H325</f>
        <v>500</v>
      </c>
      <c r="J325" s="309"/>
      <c r="K325" s="242"/>
      <c r="L325" s="276">
        <f>I325+J325+K325</f>
        <v>500</v>
      </c>
      <c r="M325" s="21"/>
      <c r="N325" s="7"/>
      <c r="O325" s="22">
        <f>L325+M325+N325</f>
        <v>500</v>
      </c>
      <c r="P325" s="75"/>
      <c r="Q325" s="73">
        <f>O325+P325</f>
        <v>500</v>
      </c>
      <c r="R325" s="87"/>
    </row>
    <row r="326" spans="1:18" ht="12.75" hidden="1">
      <c r="A326" s="39" t="s">
        <v>54</v>
      </c>
      <c r="B326" s="96"/>
      <c r="C326" s="156">
        <f>C329+C328</f>
        <v>0</v>
      </c>
      <c r="D326" s="115">
        <f aca="true" t="shared" si="95" ref="D326:Q326">D329+D328</f>
        <v>0</v>
      </c>
      <c r="E326" s="173">
        <f t="shared" si="95"/>
        <v>0</v>
      </c>
      <c r="F326" s="192">
        <f t="shared" si="95"/>
        <v>0</v>
      </c>
      <c r="G326" s="237">
        <f t="shared" si="95"/>
        <v>0</v>
      </c>
      <c r="H326" s="238">
        <f t="shared" si="95"/>
        <v>0</v>
      </c>
      <c r="I326" s="274">
        <f t="shared" si="95"/>
        <v>0</v>
      </c>
      <c r="J326" s="311">
        <f t="shared" si="95"/>
        <v>0</v>
      </c>
      <c r="K326" s="238">
        <f t="shared" si="95"/>
        <v>0</v>
      </c>
      <c r="L326" s="274">
        <f t="shared" si="95"/>
        <v>0</v>
      </c>
      <c r="M326" s="114">
        <f t="shared" si="95"/>
        <v>0</v>
      </c>
      <c r="N326" s="114">
        <f t="shared" si="95"/>
        <v>0</v>
      </c>
      <c r="O326" s="114">
        <f t="shared" si="95"/>
        <v>0</v>
      </c>
      <c r="P326" s="114">
        <f t="shared" si="95"/>
        <v>0</v>
      </c>
      <c r="Q326" s="192">
        <f t="shared" si="95"/>
        <v>0</v>
      </c>
      <c r="R326" s="87"/>
    </row>
    <row r="327" spans="1:18" ht="12.75" hidden="1">
      <c r="A327" s="35" t="s">
        <v>26</v>
      </c>
      <c r="B327" s="92"/>
      <c r="C327" s="135"/>
      <c r="D327" s="108"/>
      <c r="E327" s="136"/>
      <c r="F327" s="187"/>
      <c r="G327" s="229"/>
      <c r="H327" s="230"/>
      <c r="I327" s="270"/>
      <c r="J327" s="305"/>
      <c r="K327" s="230"/>
      <c r="L327" s="270"/>
      <c r="M327" s="21"/>
      <c r="N327" s="7"/>
      <c r="O327" s="20"/>
      <c r="P327" s="75"/>
      <c r="Q327" s="73"/>
      <c r="R327" s="87"/>
    </row>
    <row r="328" spans="1:18" ht="12.75" hidden="1">
      <c r="A328" s="32" t="s">
        <v>55</v>
      </c>
      <c r="B328" s="92"/>
      <c r="C328" s="135"/>
      <c r="D328" s="108"/>
      <c r="E328" s="136"/>
      <c r="F328" s="188">
        <f>C328+D328+E328</f>
        <v>0</v>
      </c>
      <c r="G328" s="229"/>
      <c r="H328" s="230"/>
      <c r="I328" s="271">
        <f>F328+G328+H328</f>
        <v>0</v>
      </c>
      <c r="J328" s="305"/>
      <c r="K328" s="230"/>
      <c r="L328" s="271">
        <f>I328+J328+K328</f>
        <v>0</v>
      </c>
      <c r="M328" s="21"/>
      <c r="N328" s="7"/>
      <c r="O328" s="22">
        <f>L328+M328+N328</f>
        <v>0</v>
      </c>
      <c r="P328" s="75"/>
      <c r="Q328" s="73">
        <f>O328+P328</f>
        <v>0</v>
      </c>
      <c r="R328" s="87"/>
    </row>
    <row r="329" spans="1:18" ht="12.75" hidden="1">
      <c r="A329" s="36" t="s">
        <v>77</v>
      </c>
      <c r="B329" s="95"/>
      <c r="C329" s="157"/>
      <c r="D329" s="116"/>
      <c r="E329" s="214"/>
      <c r="F329" s="224">
        <f>C329+D329+E329</f>
        <v>0</v>
      </c>
      <c r="G329" s="241"/>
      <c r="H329" s="242"/>
      <c r="I329" s="276">
        <f>F329+G329+H329</f>
        <v>0</v>
      </c>
      <c r="J329" s="310"/>
      <c r="K329" s="242"/>
      <c r="L329" s="276">
        <f>I329+J329+K329</f>
        <v>0</v>
      </c>
      <c r="M329" s="25"/>
      <c r="N329" s="10"/>
      <c r="O329" s="26">
        <f>L329+M329+N329</f>
        <v>0</v>
      </c>
      <c r="P329" s="78"/>
      <c r="Q329" s="79">
        <f>O329+P329</f>
        <v>0</v>
      </c>
      <c r="R329" s="87"/>
    </row>
    <row r="330" spans="1:18" ht="12.75">
      <c r="A330" s="44" t="s">
        <v>165</v>
      </c>
      <c r="B330" s="97"/>
      <c r="C330" s="142">
        <f aca="true" t="shared" si="96" ref="C330:Q330">C331+C356</f>
        <v>507908.87</v>
      </c>
      <c r="D330" s="107">
        <f t="shared" si="96"/>
        <v>1982387</v>
      </c>
      <c r="E330" s="143">
        <f t="shared" si="96"/>
        <v>0</v>
      </c>
      <c r="F330" s="187">
        <f t="shared" si="96"/>
        <v>2490295.8699999996</v>
      </c>
      <c r="G330" s="227">
        <f t="shared" si="96"/>
        <v>313758.22</v>
      </c>
      <c r="H330" s="228">
        <f t="shared" si="96"/>
        <v>82499.08</v>
      </c>
      <c r="I330" s="270">
        <f t="shared" si="96"/>
        <v>2886553.17</v>
      </c>
      <c r="J330" s="288">
        <f>J331+J356</f>
        <v>184259.28000000003</v>
      </c>
      <c r="K330" s="228">
        <f>K331+K356</f>
        <v>0</v>
      </c>
      <c r="L330" s="270">
        <f>L331+L356</f>
        <v>3070812.4499999997</v>
      </c>
      <c r="M330" s="106">
        <f t="shared" si="96"/>
        <v>0</v>
      </c>
      <c r="N330" s="106">
        <f t="shared" si="96"/>
        <v>0</v>
      </c>
      <c r="O330" s="106">
        <f t="shared" si="96"/>
        <v>0</v>
      </c>
      <c r="P330" s="106">
        <f t="shared" si="96"/>
        <v>0</v>
      </c>
      <c r="Q330" s="187">
        <f t="shared" si="96"/>
        <v>0</v>
      </c>
      <c r="R330" s="87"/>
    </row>
    <row r="331" spans="1:18" ht="12.75">
      <c r="A331" s="39" t="s">
        <v>49</v>
      </c>
      <c r="B331" s="96"/>
      <c r="C331" s="156">
        <f aca="true" t="shared" si="97" ref="C331:Q331">SUM(C333:C344)</f>
        <v>63234.28</v>
      </c>
      <c r="D331" s="115">
        <f t="shared" si="97"/>
        <v>92523.76999999999</v>
      </c>
      <c r="E331" s="173">
        <f t="shared" si="97"/>
        <v>0</v>
      </c>
      <c r="F331" s="192">
        <f t="shared" si="97"/>
        <v>155758.05</v>
      </c>
      <c r="G331" s="237">
        <f t="shared" si="97"/>
        <v>41690.09999999999</v>
      </c>
      <c r="H331" s="238">
        <f t="shared" si="97"/>
        <v>4260.84</v>
      </c>
      <c r="I331" s="274">
        <f t="shared" si="97"/>
        <v>201708.99</v>
      </c>
      <c r="J331" s="278">
        <f>SUM(J333:J344)</f>
        <v>-7995.93</v>
      </c>
      <c r="K331" s="238">
        <f>SUM(K333:K344)</f>
        <v>0</v>
      </c>
      <c r="L331" s="274">
        <f>SUM(L333:L344)</f>
        <v>193713.06</v>
      </c>
      <c r="M331" s="114">
        <f t="shared" si="97"/>
        <v>0</v>
      </c>
      <c r="N331" s="114">
        <f t="shared" si="97"/>
        <v>0</v>
      </c>
      <c r="O331" s="114">
        <f t="shared" si="97"/>
        <v>0</v>
      </c>
      <c r="P331" s="114">
        <f t="shared" si="97"/>
        <v>0</v>
      </c>
      <c r="Q331" s="192">
        <f t="shared" si="97"/>
        <v>0</v>
      </c>
      <c r="R331" s="87"/>
    </row>
    <row r="332" spans="1:18" ht="12.75">
      <c r="A332" s="35" t="s">
        <v>26</v>
      </c>
      <c r="B332" s="92"/>
      <c r="C332" s="156"/>
      <c r="D332" s="125"/>
      <c r="E332" s="215"/>
      <c r="F332" s="192"/>
      <c r="G332" s="229"/>
      <c r="H332" s="230"/>
      <c r="I332" s="271"/>
      <c r="J332" s="305"/>
      <c r="K332" s="230"/>
      <c r="L332" s="271"/>
      <c r="M332" s="29"/>
      <c r="N332" s="7"/>
      <c r="O332" s="22"/>
      <c r="P332" s="75"/>
      <c r="Q332" s="73"/>
      <c r="R332" s="87"/>
    </row>
    <row r="333" spans="1:18" ht="12.75">
      <c r="A333" s="37" t="s">
        <v>51</v>
      </c>
      <c r="B333" s="92"/>
      <c r="C333" s="135">
        <v>6645.87</v>
      </c>
      <c r="D333" s="119">
        <f>3655.15-50.81</f>
        <v>3604.34</v>
      </c>
      <c r="E333" s="150"/>
      <c r="F333" s="188">
        <f aca="true" t="shared" si="98" ref="F333:F355">C333+D333+E333</f>
        <v>10250.21</v>
      </c>
      <c r="G333" s="229"/>
      <c r="H333" s="230"/>
      <c r="I333" s="271">
        <f aca="true" t="shared" si="99" ref="I333:I343">F333+G333+H333</f>
        <v>10250.21</v>
      </c>
      <c r="J333" s="305"/>
      <c r="K333" s="230"/>
      <c r="L333" s="271">
        <f aca="true" t="shared" si="100" ref="L333:L354">I333+J333+K333</f>
        <v>10250.21</v>
      </c>
      <c r="M333" s="29"/>
      <c r="N333" s="7"/>
      <c r="O333" s="22"/>
      <c r="P333" s="75"/>
      <c r="Q333" s="73"/>
      <c r="R333" s="87"/>
    </row>
    <row r="334" spans="1:18" ht="12.75">
      <c r="A334" s="37" t="s">
        <v>171</v>
      </c>
      <c r="B334" s="92">
        <v>1080</v>
      </c>
      <c r="C334" s="135"/>
      <c r="D334" s="119">
        <f>1246.76</f>
        <v>1246.76</v>
      </c>
      <c r="E334" s="150"/>
      <c r="F334" s="188">
        <f t="shared" si="98"/>
        <v>1246.76</v>
      </c>
      <c r="G334" s="229"/>
      <c r="H334" s="230"/>
      <c r="I334" s="271">
        <f t="shared" si="99"/>
        <v>1246.76</v>
      </c>
      <c r="J334" s="305"/>
      <c r="K334" s="230"/>
      <c r="L334" s="271">
        <f t="shared" si="100"/>
        <v>1246.76</v>
      </c>
      <c r="M334" s="29"/>
      <c r="N334" s="7"/>
      <c r="O334" s="22"/>
      <c r="P334" s="75"/>
      <c r="Q334" s="73"/>
      <c r="R334" s="87"/>
    </row>
    <row r="335" spans="1:18" ht="12.75">
      <c r="A335" s="37" t="s">
        <v>172</v>
      </c>
      <c r="B335" s="184">
        <v>1081.1202</v>
      </c>
      <c r="C335" s="135">
        <v>1850</v>
      </c>
      <c r="D335" s="119">
        <f>223.01</f>
        <v>223.01</v>
      </c>
      <c r="E335" s="150"/>
      <c r="F335" s="188">
        <f t="shared" si="98"/>
        <v>2073.01</v>
      </c>
      <c r="G335" s="229"/>
      <c r="H335" s="230"/>
      <c r="I335" s="271">
        <f t="shared" si="99"/>
        <v>2073.01</v>
      </c>
      <c r="J335" s="305"/>
      <c r="K335" s="230"/>
      <c r="L335" s="271">
        <f t="shared" si="100"/>
        <v>2073.01</v>
      </c>
      <c r="M335" s="29"/>
      <c r="N335" s="7"/>
      <c r="O335" s="22"/>
      <c r="P335" s="75"/>
      <c r="Q335" s="73"/>
      <c r="R335" s="87"/>
    </row>
    <row r="336" spans="1:18" ht="12.75">
      <c r="A336" s="93" t="s">
        <v>80</v>
      </c>
      <c r="B336" s="92"/>
      <c r="C336" s="135">
        <v>150</v>
      </c>
      <c r="D336" s="119"/>
      <c r="E336" s="150"/>
      <c r="F336" s="188">
        <f t="shared" si="98"/>
        <v>150</v>
      </c>
      <c r="G336" s="229"/>
      <c r="H336" s="230"/>
      <c r="I336" s="271">
        <f t="shared" si="99"/>
        <v>150</v>
      </c>
      <c r="J336" s="305"/>
      <c r="K336" s="230"/>
      <c r="L336" s="271">
        <f t="shared" si="100"/>
        <v>150</v>
      </c>
      <c r="M336" s="29"/>
      <c r="N336" s="7"/>
      <c r="O336" s="22"/>
      <c r="P336" s="75"/>
      <c r="Q336" s="73"/>
      <c r="R336" s="87"/>
    </row>
    <row r="337" spans="1:18" ht="12.75">
      <c r="A337" s="33" t="s">
        <v>178</v>
      </c>
      <c r="B337" s="92"/>
      <c r="C337" s="135">
        <v>35554.41</v>
      </c>
      <c r="D337" s="119"/>
      <c r="E337" s="150"/>
      <c r="F337" s="188">
        <f t="shared" si="98"/>
        <v>35554.41</v>
      </c>
      <c r="G337" s="229">
        <f>5991.89</f>
        <v>5991.89</v>
      </c>
      <c r="H337" s="230"/>
      <c r="I337" s="271">
        <f t="shared" si="99"/>
        <v>41546.3</v>
      </c>
      <c r="J337" s="305"/>
      <c r="K337" s="230"/>
      <c r="L337" s="271">
        <f t="shared" si="100"/>
        <v>41546.3</v>
      </c>
      <c r="M337" s="29"/>
      <c r="N337" s="7"/>
      <c r="O337" s="22"/>
      <c r="P337" s="75"/>
      <c r="Q337" s="73"/>
      <c r="R337" s="87"/>
    </row>
    <row r="338" spans="1:18" ht="12.75">
      <c r="A338" s="37" t="s">
        <v>229</v>
      </c>
      <c r="B338" s="92"/>
      <c r="C338" s="135"/>
      <c r="D338" s="119">
        <f>29824.19+5000</f>
        <v>34824.19</v>
      </c>
      <c r="E338" s="150"/>
      <c r="F338" s="188">
        <f t="shared" si="98"/>
        <v>34824.19</v>
      </c>
      <c r="G338" s="229">
        <f>32000</f>
        <v>32000</v>
      </c>
      <c r="H338" s="230"/>
      <c r="I338" s="271">
        <f t="shared" si="99"/>
        <v>66824.19</v>
      </c>
      <c r="J338" s="305">
        <f>-15000</f>
        <v>-15000</v>
      </c>
      <c r="K338" s="230"/>
      <c r="L338" s="271">
        <f t="shared" si="100"/>
        <v>51824.19</v>
      </c>
      <c r="M338" s="29"/>
      <c r="N338" s="7"/>
      <c r="O338" s="22"/>
      <c r="P338" s="75"/>
      <c r="Q338" s="73"/>
      <c r="R338" s="87"/>
    </row>
    <row r="339" spans="1:18" ht="12.75" hidden="1">
      <c r="A339" s="33" t="s">
        <v>194</v>
      </c>
      <c r="B339" s="146">
        <v>212163</v>
      </c>
      <c r="C339" s="135"/>
      <c r="D339" s="119"/>
      <c r="E339" s="150"/>
      <c r="F339" s="188">
        <f t="shared" si="98"/>
        <v>0</v>
      </c>
      <c r="G339" s="229"/>
      <c r="H339" s="230"/>
      <c r="I339" s="271">
        <f t="shared" si="99"/>
        <v>0</v>
      </c>
      <c r="J339" s="305"/>
      <c r="K339" s="230"/>
      <c r="L339" s="271">
        <f t="shared" si="100"/>
        <v>0</v>
      </c>
      <c r="M339" s="29"/>
      <c r="N339" s="7"/>
      <c r="O339" s="22"/>
      <c r="P339" s="75"/>
      <c r="Q339" s="73"/>
      <c r="R339" s="87"/>
    </row>
    <row r="340" spans="1:18" ht="12.75">
      <c r="A340" s="37" t="s">
        <v>168</v>
      </c>
      <c r="B340" s="146">
        <v>212162</v>
      </c>
      <c r="C340" s="135"/>
      <c r="D340" s="119"/>
      <c r="E340" s="150"/>
      <c r="F340" s="188">
        <f t="shared" si="98"/>
        <v>0</v>
      </c>
      <c r="G340" s="229">
        <f>4.84</f>
        <v>4.84</v>
      </c>
      <c r="H340" s="230"/>
      <c r="I340" s="271">
        <f t="shared" si="99"/>
        <v>4.84</v>
      </c>
      <c r="J340" s="305"/>
      <c r="K340" s="230"/>
      <c r="L340" s="271">
        <f t="shared" si="100"/>
        <v>4.84</v>
      </c>
      <c r="M340" s="29"/>
      <c r="N340" s="7"/>
      <c r="O340" s="22"/>
      <c r="P340" s="75"/>
      <c r="Q340" s="73"/>
      <c r="R340" s="87"/>
    </row>
    <row r="341" spans="1:18" ht="12.75">
      <c r="A341" s="37" t="s">
        <v>306</v>
      </c>
      <c r="B341" s="146"/>
      <c r="C341" s="135"/>
      <c r="D341" s="119"/>
      <c r="E341" s="150"/>
      <c r="F341" s="188">
        <f t="shared" si="98"/>
        <v>0</v>
      </c>
      <c r="G341" s="229">
        <f>2821.82</f>
        <v>2821.82</v>
      </c>
      <c r="H341" s="230"/>
      <c r="I341" s="271">
        <f t="shared" si="99"/>
        <v>2821.82</v>
      </c>
      <c r="J341" s="305"/>
      <c r="K341" s="230"/>
      <c r="L341" s="271">
        <f t="shared" si="100"/>
        <v>2821.82</v>
      </c>
      <c r="M341" s="182"/>
      <c r="N341" s="81"/>
      <c r="O341" s="81"/>
      <c r="P341" s="204"/>
      <c r="Q341" s="73"/>
      <c r="R341" s="87"/>
    </row>
    <row r="342" spans="1:18" ht="12.75">
      <c r="A342" s="37" t="s">
        <v>348</v>
      </c>
      <c r="B342" s="146"/>
      <c r="C342" s="135"/>
      <c r="D342" s="119"/>
      <c r="E342" s="150"/>
      <c r="F342" s="188">
        <f t="shared" si="98"/>
        <v>0</v>
      </c>
      <c r="G342" s="229">
        <f>2831.68</f>
        <v>2831.68</v>
      </c>
      <c r="H342" s="230">
        <f>3592.87</f>
        <v>3592.87</v>
      </c>
      <c r="I342" s="271">
        <f t="shared" si="99"/>
        <v>6424.549999999999</v>
      </c>
      <c r="J342" s="305"/>
      <c r="K342" s="230"/>
      <c r="L342" s="271">
        <f t="shared" si="100"/>
        <v>6424.549999999999</v>
      </c>
      <c r="M342" s="182"/>
      <c r="N342" s="81"/>
      <c r="O342" s="81"/>
      <c r="P342" s="204"/>
      <c r="Q342" s="73"/>
      <c r="R342" s="87"/>
    </row>
    <row r="343" spans="1:18" ht="12.75">
      <c r="A343" s="37" t="s">
        <v>291</v>
      </c>
      <c r="B343" s="146"/>
      <c r="C343" s="135"/>
      <c r="D343" s="119"/>
      <c r="E343" s="150"/>
      <c r="F343" s="188">
        <f t="shared" si="98"/>
        <v>0</v>
      </c>
      <c r="G343" s="229">
        <f>62.02</f>
        <v>62.02</v>
      </c>
      <c r="H343" s="230"/>
      <c r="I343" s="271">
        <f t="shared" si="99"/>
        <v>62.02</v>
      </c>
      <c r="J343" s="305"/>
      <c r="K343" s="230"/>
      <c r="L343" s="271">
        <f t="shared" si="100"/>
        <v>62.02</v>
      </c>
      <c r="M343" s="182"/>
      <c r="N343" s="81"/>
      <c r="O343" s="81"/>
      <c r="P343" s="204"/>
      <c r="Q343" s="73"/>
      <c r="R343" s="87"/>
    </row>
    <row r="344" spans="1:18" ht="12.75">
      <c r="A344" s="33" t="s">
        <v>77</v>
      </c>
      <c r="B344" s="92"/>
      <c r="C344" s="137">
        <f>SUM(C345:C355)</f>
        <v>19034</v>
      </c>
      <c r="D344" s="119">
        <f>SUM(D345:D355)</f>
        <v>52625.469999999994</v>
      </c>
      <c r="E344" s="150">
        <f aca="true" t="shared" si="101" ref="E344:Q344">SUM(E345:E355)</f>
        <v>0</v>
      </c>
      <c r="F344" s="194">
        <f t="shared" si="101"/>
        <v>71659.47</v>
      </c>
      <c r="G344" s="244">
        <f t="shared" si="101"/>
        <v>-2022.15</v>
      </c>
      <c r="H344" s="245">
        <f t="shared" si="101"/>
        <v>667.97</v>
      </c>
      <c r="I344" s="279">
        <f t="shared" si="101"/>
        <v>70305.29</v>
      </c>
      <c r="J344" s="293">
        <f t="shared" si="101"/>
        <v>7004.07</v>
      </c>
      <c r="K344" s="245">
        <f t="shared" si="101"/>
        <v>0</v>
      </c>
      <c r="L344" s="279">
        <f t="shared" si="101"/>
        <v>77309.36</v>
      </c>
      <c r="M344" s="137">
        <f t="shared" si="101"/>
        <v>0</v>
      </c>
      <c r="N344" s="137">
        <f t="shared" si="101"/>
        <v>0</v>
      </c>
      <c r="O344" s="137">
        <f t="shared" si="101"/>
        <v>0</v>
      </c>
      <c r="P344" s="137">
        <f t="shared" si="101"/>
        <v>0</v>
      </c>
      <c r="Q344" s="194">
        <f t="shared" si="101"/>
        <v>0</v>
      </c>
      <c r="R344" s="87"/>
    </row>
    <row r="345" spans="1:18" ht="12.75">
      <c r="A345" s="33" t="s">
        <v>216</v>
      </c>
      <c r="B345" s="92"/>
      <c r="C345" s="137">
        <v>14000</v>
      </c>
      <c r="D345" s="119">
        <f>240</f>
        <v>240</v>
      </c>
      <c r="E345" s="136"/>
      <c r="F345" s="188">
        <f t="shared" si="98"/>
        <v>14240</v>
      </c>
      <c r="G345" s="229">
        <f>-5991.89</f>
        <v>-5991.89</v>
      </c>
      <c r="H345" s="230"/>
      <c r="I345" s="271">
        <f aca="true" t="shared" si="102" ref="I345:I354">F345+G345+H345</f>
        <v>8248.11</v>
      </c>
      <c r="J345" s="305"/>
      <c r="K345" s="230"/>
      <c r="L345" s="271">
        <f t="shared" si="100"/>
        <v>8248.11</v>
      </c>
      <c r="M345" s="29"/>
      <c r="N345" s="7"/>
      <c r="O345" s="22"/>
      <c r="P345" s="75"/>
      <c r="Q345" s="73"/>
      <c r="R345" s="301"/>
    </row>
    <row r="346" spans="1:18" ht="12.75">
      <c r="A346" s="33" t="s">
        <v>177</v>
      </c>
      <c r="B346" s="92"/>
      <c r="C346" s="137"/>
      <c r="D346" s="119">
        <f>115.35+1960.91+27279.71+500+6000-240</f>
        <v>35615.97</v>
      </c>
      <c r="E346" s="136"/>
      <c r="F346" s="188">
        <f t="shared" si="98"/>
        <v>35615.97</v>
      </c>
      <c r="G346" s="229">
        <f>109.2+1548.09</f>
        <v>1657.29</v>
      </c>
      <c r="H346" s="230"/>
      <c r="I346" s="271">
        <f t="shared" si="102"/>
        <v>37273.26</v>
      </c>
      <c r="J346" s="307">
        <f>3.02+51.26</f>
        <v>54.28</v>
      </c>
      <c r="K346" s="230"/>
      <c r="L346" s="271">
        <f t="shared" si="100"/>
        <v>37327.54</v>
      </c>
      <c r="M346" s="29"/>
      <c r="N346" s="7"/>
      <c r="O346" s="22"/>
      <c r="P346" s="75"/>
      <c r="Q346" s="73"/>
      <c r="R346" s="302"/>
    </row>
    <row r="347" spans="1:18" ht="12.75" hidden="1">
      <c r="A347" s="33" t="s">
        <v>263</v>
      </c>
      <c r="B347" s="92"/>
      <c r="C347" s="137"/>
      <c r="D347" s="126"/>
      <c r="E347" s="136"/>
      <c r="F347" s="188">
        <f t="shared" si="98"/>
        <v>0</v>
      </c>
      <c r="G347" s="229"/>
      <c r="H347" s="230"/>
      <c r="I347" s="271">
        <f t="shared" si="102"/>
        <v>0</v>
      </c>
      <c r="J347" s="305"/>
      <c r="K347" s="230"/>
      <c r="L347" s="271">
        <f t="shared" si="100"/>
        <v>0</v>
      </c>
      <c r="M347" s="29"/>
      <c r="N347" s="7"/>
      <c r="O347" s="22"/>
      <c r="P347" s="75"/>
      <c r="Q347" s="73"/>
      <c r="R347" s="87"/>
    </row>
    <row r="348" spans="1:18" ht="12.75" hidden="1">
      <c r="A348" s="33" t="s">
        <v>203</v>
      </c>
      <c r="B348" s="92"/>
      <c r="C348" s="137"/>
      <c r="D348" s="119"/>
      <c r="E348" s="136"/>
      <c r="F348" s="188">
        <f t="shared" si="98"/>
        <v>0</v>
      </c>
      <c r="G348" s="229"/>
      <c r="H348" s="230"/>
      <c r="I348" s="271">
        <f t="shared" si="102"/>
        <v>0</v>
      </c>
      <c r="J348" s="305"/>
      <c r="K348" s="230"/>
      <c r="L348" s="271">
        <f t="shared" si="100"/>
        <v>0</v>
      </c>
      <c r="M348" s="29"/>
      <c r="N348" s="7"/>
      <c r="O348" s="22"/>
      <c r="P348" s="75"/>
      <c r="Q348" s="73"/>
      <c r="R348" s="87"/>
    </row>
    <row r="349" spans="1:18" ht="12.75">
      <c r="A349" s="33" t="s">
        <v>228</v>
      </c>
      <c r="B349" s="92"/>
      <c r="C349" s="137"/>
      <c r="D349" s="119">
        <f>11169.53</f>
        <v>11169.53</v>
      </c>
      <c r="E349" s="136"/>
      <c r="F349" s="188">
        <f t="shared" si="98"/>
        <v>11169.53</v>
      </c>
      <c r="G349" s="229"/>
      <c r="H349" s="230"/>
      <c r="I349" s="271">
        <f t="shared" si="102"/>
        <v>11169.53</v>
      </c>
      <c r="J349" s="305"/>
      <c r="K349" s="230"/>
      <c r="L349" s="271">
        <f t="shared" si="100"/>
        <v>11169.53</v>
      </c>
      <c r="M349" s="29"/>
      <c r="N349" s="7"/>
      <c r="O349" s="22"/>
      <c r="P349" s="75"/>
      <c r="Q349" s="73"/>
      <c r="R349" s="87"/>
    </row>
    <row r="350" spans="1:18" ht="12.75">
      <c r="A350" s="33" t="s">
        <v>176</v>
      </c>
      <c r="B350" s="92"/>
      <c r="C350" s="137"/>
      <c r="D350" s="119">
        <f>658+257</f>
        <v>915</v>
      </c>
      <c r="E350" s="136"/>
      <c r="F350" s="188">
        <f t="shared" si="98"/>
        <v>915</v>
      </c>
      <c r="G350" s="229">
        <f>123.42+340.78+638.88</f>
        <v>1103.08</v>
      </c>
      <c r="H350" s="230">
        <f>117.97+550</f>
        <v>667.97</v>
      </c>
      <c r="I350" s="271">
        <f t="shared" si="102"/>
        <v>2686.05</v>
      </c>
      <c r="J350" s="305">
        <f>89.55+37.57</f>
        <v>127.12</v>
      </c>
      <c r="K350" s="230"/>
      <c r="L350" s="271">
        <f t="shared" si="100"/>
        <v>2813.17</v>
      </c>
      <c r="M350" s="29"/>
      <c r="N350" s="7"/>
      <c r="O350" s="22"/>
      <c r="P350" s="75"/>
      <c r="Q350" s="73"/>
      <c r="R350" s="87"/>
    </row>
    <row r="351" spans="1:18" ht="12.75">
      <c r="A351" s="33" t="s">
        <v>320</v>
      </c>
      <c r="B351" s="92"/>
      <c r="C351" s="137"/>
      <c r="D351" s="119">
        <f>2967.13</f>
        <v>2967.13</v>
      </c>
      <c r="E351" s="136"/>
      <c r="F351" s="188">
        <f t="shared" si="98"/>
        <v>2967.13</v>
      </c>
      <c r="G351" s="229">
        <f>2200-1821.07-500</f>
        <v>-121.06999999999994</v>
      </c>
      <c r="H351" s="230"/>
      <c r="I351" s="271">
        <f t="shared" si="102"/>
        <v>2846.0600000000004</v>
      </c>
      <c r="J351" s="305">
        <f>2000</f>
        <v>2000</v>
      </c>
      <c r="K351" s="230"/>
      <c r="L351" s="271">
        <f t="shared" si="100"/>
        <v>4846.06</v>
      </c>
      <c r="M351" s="29"/>
      <c r="N351" s="7"/>
      <c r="O351" s="22"/>
      <c r="P351" s="75"/>
      <c r="Q351" s="73"/>
      <c r="R351" s="87"/>
    </row>
    <row r="352" spans="1:18" ht="12.75">
      <c r="A352" s="33" t="s">
        <v>182</v>
      </c>
      <c r="B352" s="92"/>
      <c r="C352" s="137"/>
      <c r="D352" s="119">
        <f>4893.45</f>
        <v>4893.45</v>
      </c>
      <c r="E352" s="136"/>
      <c r="F352" s="188">
        <f t="shared" si="98"/>
        <v>4893.45</v>
      </c>
      <c r="G352" s="229">
        <f>330.44</f>
        <v>330.44</v>
      </c>
      <c r="H352" s="230"/>
      <c r="I352" s="271">
        <f t="shared" si="102"/>
        <v>5223.889999999999</v>
      </c>
      <c r="J352" s="305">
        <f>-88.73-1438.6</f>
        <v>-1527.33</v>
      </c>
      <c r="K352" s="230"/>
      <c r="L352" s="271">
        <f t="shared" si="100"/>
        <v>3696.5599999999995</v>
      </c>
      <c r="M352" s="29"/>
      <c r="N352" s="7"/>
      <c r="O352" s="22"/>
      <c r="P352" s="75"/>
      <c r="Q352" s="73"/>
      <c r="R352" s="87"/>
    </row>
    <row r="353" spans="1:18" ht="12.75">
      <c r="A353" s="33" t="s">
        <v>181</v>
      </c>
      <c r="B353" s="92"/>
      <c r="C353" s="137">
        <v>3720</v>
      </c>
      <c r="D353" s="119">
        <f>-2866.85+1858.4-353.16-500</f>
        <v>-1861.61</v>
      </c>
      <c r="E353" s="136"/>
      <c r="F353" s="188">
        <f t="shared" si="98"/>
        <v>1858.39</v>
      </c>
      <c r="G353" s="229">
        <f>1000</f>
        <v>1000</v>
      </c>
      <c r="H353" s="230"/>
      <c r="I353" s="271">
        <f t="shared" si="102"/>
        <v>2858.3900000000003</v>
      </c>
      <c r="J353" s="305">
        <f>1350+4000+1000</f>
        <v>6350</v>
      </c>
      <c r="K353" s="230"/>
      <c r="L353" s="271">
        <f t="shared" si="100"/>
        <v>9208.39</v>
      </c>
      <c r="M353" s="29"/>
      <c r="N353" s="7"/>
      <c r="O353" s="22"/>
      <c r="P353" s="75"/>
      <c r="Q353" s="73"/>
      <c r="R353" s="87"/>
    </row>
    <row r="354" spans="1:18" ht="12.75">
      <c r="A354" s="33" t="s">
        <v>319</v>
      </c>
      <c r="B354" s="92"/>
      <c r="C354" s="137">
        <v>1314</v>
      </c>
      <c r="D354" s="119">
        <f>-400-914</f>
        <v>-1314</v>
      </c>
      <c r="E354" s="136"/>
      <c r="F354" s="188">
        <f t="shared" si="98"/>
        <v>0</v>
      </c>
      <c r="G354" s="229"/>
      <c r="H354" s="230"/>
      <c r="I354" s="271">
        <f t="shared" si="102"/>
        <v>0</v>
      </c>
      <c r="J354" s="305"/>
      <c r="K354" s="230"/>
      <c r="L354" s="271">
        <f t="shared" si="100"/>
        <v>0</v>
      </c>
      <c r="M354" s="29"/>
      <c r="N354" s="7"/>
      <c r="O354" s="22"/>
      <c r="P354" s="75"/>
      <c r="Q354" s="73"/>
      <c r="R354" s="87"/>
    </row>
    <row r="355" spans="1:18" ht="12.75" hidden="1">
      <c r="A355" s="33" t="s">
        <v>237</v>
      </c>
      <c r="B355" s="92"/>
      <c r="C355" s="137"/>
      <c r="D355" s="126"/>
      <c r="E355" s="136"/>
      <c r="F355" s="188">
        <f t="shared" si="98"/>
        <v>0</v>
      </c>
      <c r="G355" s="229"/>
      <c r="H355" s="230"/>
      <c r="I355" s="271"/>
      <c r="J355" s="305"/>
      <c r="K355" s="230"/>
      <c r="L355" s="271"/>
      <c r="M355" s="29"/>
      <c r="N355" s="7"/>
      <c r="O355" s="22"/>
      <c r="P355" s="75"/>
      <c r="Q355" s="73"/>
      <c r="R355" s="87"/>
    </row>
    <row r="356" spans="1:18" ht="12.75">
      <c r="A356" s="39" t="s">
        <v>54</v>
      </c>
      <c r="B356" s="96"/>
      <c r="C356" s="156">
        <f aca="true" t="shared" si="103" ref="C356:Q356">SUM(C358:C374)</f>
        <v>444674.58999999997</v>
      </c>
      <c r="D356" s="115">
        <f t="shared" si="103"/>
        <v>1889863.23</v>
      </c>
      <c r="E356" s="173">
        <f t="shared" si="103"/>
        <v>0</v>
      </c>
      <c r="F356" s="192">
        <f t="shared" si="103"/>
        <v>2334537.82</v>
      </c>
      <c r="G356" s="237">
        <f t="shared" si="103"/>
        <v>272068.12</v>
      </c>
      <c r="H356" s="238">
        <f t="shared" si="103"/>
        <v>78238.24</v>
      </c>
      <c r="I356" s="274">
        <f t="shared" si="103"/>
        <v>2684844.1799999997</v>
      </c>
      <c r="J356" s="278">
        <f t="shared" si="103"/>
        <v>192255.21000000002</v>
      </c>
      <c r="K356" s="238">
        <f t="shared" si="103"/>
        <v>0</v>
      </c>
      <c r="L356" s="274">
        <f t="shared" si="103"/>
        <v>2877099.3899999997</v>
      </c>
      <c r="M356" s="114">
        <f t="shared" si="103"/>
        <v>0</v>
      </c>
      <c r="N356" s="114">
        <f t="shared" si="103"/>
        <v>0</v>
      </c>
      <c r="O356" s="114">
        <f t="shared" si="103"/>
        <v>0</v>
      </c>
      <c r="P356" s="114">
        <f t="shared" si="103"/>
        <v>0</v>
      </c>
      <c r="Q356" s="192">
        <f t="shared" si="103"/>
        <v>0</v>
      </c>
      <c r="R356" s="87"/>
    </row>
    <row r="357" spans="1:18" ht="12.75">
      <c r="A357" s="37" t="s">
        <v>26</v>
      </c>
      <c r="B357" s="92"/>
      <c r="C357" s="135"/>
      <c r="D357" s="108"/>
      <c r="E357" s="136"/>
      <c r="F357" s="188"/>
      <c r="G357" s="229"/>
      <c r="H357" s="230"/>
      <c r="I357" s="271"/>
      <c r="J357" s="305"/>
      <c r="K357" s="230"/>
      <c r="L357" s="271"/>
      <c r="M357" s="29"/>
      <c r="N357" s="7"/>
      <c r="O357" s="22"/>
      <c r="P357" s="75"/>
      <c r="Q357" s="73"/>
      <c r="R357" s="87"/>
    </row>
    <row r="358" spans="1:18" ht="12.75" hidden="1">
      <c r="A358" s="37" t="s">
        <v>173</v>
      </c>
      <c r="B358" s="92"/>
      <c r="C358" s="135"/>
      <c r="D358" s="108"/>
      <c r="E358" s="136"/>
      <c r="F358" s="188">
        <f aca="true" t="shared" si="104" ref="F358:F387">C358+D358+E358</f>
        <v>0</v>
      </c>
      <c r="G358" s="229"/>
      <c r="H358" s="230"/>
      <c r="I358" s="271"/>
      <c r="J358" s="305"/>
      <c r="K358" s="230"/>
      <c r="L358" s="271"/>
      <c r="M358" s="29"/>
      <c r="N358" s="7"/>
      <c r="O358" s="22"/>
      <c r="P358" s="75"/>
      <c r="Q358" s="73"/>
      <c r="R358" s="87"/>
    </row>
    <row r="359" spans="1:18" ht="12.75">
      <c r="A359" s="37" t="s">
        <v>172</v>
      </c>
      <c r="B359" s="184">
        <v>1081.1202</v>
      </c>
      <c r="C359" s="135">
        <v>6381</v>
      </c>
      <c r="D359" s="108">
        <f>1200+592.02</f>
        <v>1792.02</v>
      </c>
      <c r="E359" s="136"/>
      <c r="F359" s="188">
        <f t="shared" si="104"/>
        <v>8173.02</v>
      </c>
      <c r="G359" s="229"/>
      <c r="H359" s="230"/>
      <c r="I359" s="271">
        <f aca="true" t="shared" si="105" ref="I359:I373">F359+G359+H359</f>
        <v>8173.02</v>
      </c>
      <c r="J359" s="305"/>
      <c r="K359" s="230"/>
      <c r="L359" s="271">
        <f aca="true" t="shared" si="106" ref="L359:L372">I359+J359+K359</f>
        <v>8173.02</v>
      </c>
      <c r="M359" s="29"/>
      <c r="N359" s="7"/>
      <c r="O359" s="22"/>
      <c r="P359" s="75"/>
      <c r="Q359" s="73"/>
      <c r="R359" s="87"/>
    </row>
    <row r="360" spans="1:18" ht="12.75">
      <c r="A360" s="37" t="s">
        <v>167</v>
      </c>
      <c r="B360" s="92"/>
      <c r="C360" s="135">
        <v>19868.59</v>
      </c>
      <c r="D360" s="108">
        <f>7479.76-15000</f>
        <v>-7520.24</v>
      </c>
      <c r="E360" s="136"/>
      <c r="F360" s="188">
        <f t="shared" si="104"/>
        <v>12348.35</v>
      </c>
      <c r="G360" s="229"/>
      <c r="H360" s="230"/>
      <c r="I360" s="271">
        <f t="shared" si="105"/>
        <v>12348.35</v>
      </c>
      <c r="J360" s="305"/>
      <c r="K360" s="230"/>
      <c r="L360" s="271">
        <f t="shared" si="106"/>
        <v>12348.35</v>
      </c>
      <c r="M360" s="29"/>
      <c r="N360" s="7"/>
      <c r="O360" s="22"/>
      <c r="P360" s="75"/>
      <c r="Q360" s="73"/>
      <c r="R360" s="87"/>
    </row>
    <row r="361" spans="1:18" ht="12.75">
      <c r="A361" s="37" t="s">
        <v>274</v>
      </c>
      <c r="B361" s="92"/>
      <c r="C361" s="135">
        <v>5000</v>
      </c>
      <c r="D361" s="108"/>
      <c r="E361" s="136"/>
      <c r="F361" s="188">
        <f t="shared" si="104"/>
        <v>5000</v>
      </c>
      <c r="G361" s="229"/>
      <c r="H361" s="230"/>
      <c r="I361" s="271">
        <f t="shared" si="105"/>
        <v>5000</v>
      </c>
      <c r="J361" s="305"/>
      <c r="K361" s="230"/>
      <c r="L361" s="271">
        <f t="shared" si="106"/>
        <v>5000</v>
      </c>
      <c r="M361" s="29"/>
      <c r="N361" s="7"/>
      <c r="O361" s="22"/>
      <c r="P361" s="75"/>
      <c r="Q361" s="73"/>
      <c r="R361" s="87"/>
    </row>
    <row r="362" spans="1:18" ht="12.75">
      <c r="A362" s="37" t="s">
        <v>283</v>
      </c>
      <c r="B362" s="92"/>
      <c r="C362" s="135"/>
      <c r="D362" s="119">
        <f>788.1</f>
        <v>788.1</v>
      </c>
      <c r="E362" s="150"/>
      <c r="F362" s="188">
        <f t="shared" si="104"/>
        <v>788.1</v>
      </c>
      <c r="G362" s="229"/>
      <c r="H362" s="230"/>
      <c r="I362" s="271">
        <f t="shared" si="105"/>
        <v>788.1</v>
      </c>
      <c r="J362" s="305"/>
      <c r="K362" s="230"/>
      <c r="L362" s="271">
        <f t="shared" si="106"/>
        <v>788.1</v>
      </c>
      <c r="M362" s="29"/>
      <c r="N362" s="7"/>
      <c r="O362" s="22"/>
      <c r="P362" s="75"/>
      <c r="Q362" s="73"/>
      <c r="R362" s="87"/>
    </row>
    <row r="363" spans="1:18" ht="12.75">
      <c r="A363" s="144" t="s">
        <v>229</v>
      </c>
      <c r="B363" s="92"/>
      <c r="C363" s="135"/>
      <c r="D363" s="126">
        <f>56989.38+269393.98-5000</f>
        <v>321383.36</v>
      </c>
      <c r="E363" s="216"/>
      <c r="F363" s="188">
        <f t="shared" si="104"/>
        <v>321383.36</v>
      </c>
      <c r="G363" s="229">
        <f>-32000</f>
        <v>-32000</v>
      </c>
      <c r="H363" s="230"/>
      <c r="I363" s="271">
        <f t="shared" si="105"/>
        <v>289383.36</v>
      </c>
      <c r="J363" s="305">
        <f>15000+10000</f>
        <v>25000</v>
      </c>
      <c r="K363" s="230"/>
      <c r="L363" s="271">
        <f t="shared" si="106"/>
        <v>314383.36</v>
      </c>
      <c r="M363" s="29"/>
      <c r="N363" s="7"/>
      <c r="O363" s="22"/>
      <c r="P363" s="75"/>
      <c r="Q363" s="73"/>
      <c r="R363" s="87"/>
    </row>
    <row r="364" spans="1:18" ht="12.75">
      <c r="A364" s="37" t="s">
        <v>284</v>
      </c>
      <c r="B364" s="146">
        <v>212163</v>
      </c>
      <c r="C364" s="135">
        <v>60000</v>
      </c>
      <c r="D364" s="119">
        <f>13780.39+40206.84</f>
        <v>53987.229999999996</v>
      </c>
      <c r="E364" s="150"/>
      <c r="F364" s="188">
        <f t="shared" si="104"/>
        <v>113987.23</v>
      </c>
      <c r="G364" s="229">
        <f>38284.6-6889.33</f>
        <v>31395.269999999997</v>
      </c>
      <c r="H364" s="230"/>
      <c r="I364" s="271">
        <f t="shared" si="105"/>
        <v>145382.5</v>
      </c>
      <c r="J364" s="305">
        <f>-171</f>
        <v>-171</v>
      </c>
      <c r="K364" s="230"/>
      <c r="L364" s="271">
        <f t="shared" si="106"/>
        <v>145211.5</v>
      </c>
      <c r="M364" s="29"/>
      <c r="N364" s="7"/>
      <c r="O364" s="22"/>
      <c r="P364" s="75"/>
      <c r="Q364" s="73"/>
      <c r="R364" s="87"/>
    </row>
    <row r="365" spans="1:18" ht="12.75">
      <c r="A365" s="37" t="s">
        <v>292</v>
      </c>
      <c r="B365" s="146">
        <v>91628</v>
      </c>
      <c r="C365" s="135"/>
      <c r="D365" s="119">
        <f>308400</f>
        <v>308400</v>
      </c>
      <c r="E365" s="150"/>
      <c r="F365" s="188">
        <f t="shared" si="104"/>
        <v>308400</v>
      </c>
      <c r="G365" s="229">
        <f>34600</f>
        <v>34600</v>
      </c>
      <c r="H365" s="230"/>
      <c r="I365" s="271">
        <f t="shared" si="105"/>
        <v>343000</v>
      </c>
      <c r="J365" s="305"/>
      <c r="K365" s="230"/>
      <c r="L365" s="271">
        <f t="shared" si="106"/>
        <v>343000</v>
      </c>
      <c r="M365" s="29"/>
      <c r="N365" s="7"/>
      <c r="O365" s="22"/>
      <c r="P365" s="75"/>
      <c r="Q365" s="73"/>
      <c r="R365" s="87"/>
    </row>
    <row r="366" spans="1:18" ht="12.75" hidden="1">
      <c r="A366" s="37" t="s">
        <v>268</v>
      </c>
      <c r="B366" s="146">
        <v>98858</v>
      </c>
      <c r="C366" s="135"/>
      <c r="D366" s="119"/>
      <c r="E366" s="150"/>
      <c r="F366" s="188">
        <f t="shared" si="104"/>
        <v>0</v>
      </c>
      <c r="G366" s="229"/>
      <c r="H366" s="230"/>
      <c r="I366" s="271">
        <f t="shared" si="105"/>
        <v>0</v>
      </c>
      <c r="J366" s="305"/>
      <c r="K366" s="230"/>
      <c r="L366" s="271">
        <f t="shared" si="106"/>
        <v>0</v>
      </c>
      <c r="M366" s="29"/>
      <c r="N366" s="7"/>
      <c r="O366" s="22"/>
      <c r="P366" s="75"/>
      <c r="Q366" s="73"/>
      <c r="R366" s="87"/>
    </row>
    <row r="367" spans="1:18" ht="12.75">
      <c r="A367" s="37" t="s">
        <v>168</v>
      </c>
      <c r="B367" s="146">
        <v>212162</v>
      </c>
      <c r="C367" s="135"/>
      <c r="D367" s="119"/>
      <c r="E367" s="150"/>
      <c r="F367" s="188">
        <f t="shared" si="104"/>
        <v>0</v>
      </c>
      <c r="G367" s="229">
        <f>6884.49</f>
        <v>6884.49</v>
      </c>
      <c r="H367" s="230"/>
      <c r="I367" s="271">
        <f t="shared" si="105"/>
        <v>6884.49</v>
      </c>
      <c r="J367" s="305">
        <f>171</f>
        <v>171</v>
      </c>
      <c r="K367" s="230"/>
      <c r="L367" s="271">
        <f t="shared" si="106"/>
        <v>7055.49</v>
      </c>
      <c r="M367" s="29"/>
      <c r="N367" s="7"/>
      <c r="O367" s="22"/>
      <c r="P367" s="75"/>
      <c r="Q367" s="73"/>
      <c r="R367" s="87"/>
    </row>
    <row r="368" spans="1:18" ht="12.75">
      <c r="A368" s="37" t="s">
        <v>306</v>
      </c>
      <c r="B368" s="146"/>
      <c r="C368" s="135"/>
      <c r="D368" s="119"/>
      <c r="E368" s="150"/>
      <c r="F368" s="188">
        <f t="shared" si="104"/>
        <v>0</v>
      </c>
      <c r="G368" s="229">
        <f>1777.95+5071.73</f>
        <v>6849.679999999999</v>
      </c>
      <c r="H368" s="230"/>
      <c r="I368" s="271">
        <f t="shared" si="105"/>
        <v>6849.679999999999</v>
      </c>
      <c r="J368" s="305">
        <f>2970.55</f>
        <v>2970.55</v>
      </c>
      <c r="K368" s="230"/>
      <c r="L368" s="271">
        <f t="shared" si="106"/>
        <v>9820.23</v>
      </c>
      <c r="M368" s="29"/>
      <c r="N368" s="7"/>
      <c r="O368" s="22"/>
      <c r="P368" s="75"/>
      <c r="Q368" s="73"/>
      <c r="R368" s="87"/>
    </row>
    <row r="369" spans="1:18" ht="12.75">
      <c r="A369" s="37" t="s">
        <v>348</v>
      </c>
      <c r="B369" s="146"/>
      <c r="C369" s="135"/>
      <c r="D369" s="119"/>
      <c r="E369" s="150"/>
      <c r="F369" s="188">
        <f t="shared" si="104"/>
        <v>0</v>
      </c>
      <c r="G369" s="229"/>
      <c r="H369" s="230">
        <f>3014.38</f>
        <v>3014.38</v>
      </c>
      <c r="I369" s="271">
        <f t="shared" si="105"/>
        <v>3014.38</v>
      </c>
      <c r="J369" s="305"/>
      <c r="K369" s="230"/>
      <c r="L369" s="271">
        <f t="shared" si="106"/>
        <v>3014.38</v>
      </c>
      <c r="M369" s="29"/>
      <c r="N369" s="7"/>
      <c r="O369" s="22"/>
      <c r="P369" s="75"/>
      <c r="Q369" s="73"/>
      <c r="R369" s="87"/>
    </row>
    <row r="370" spans="1:18" ht="12.75">
      <c r="A370" s="37" t="s">
        <v>291</v>
      </c>
      <c r="B370" s="146"/>
      <c r="C370" s="135"/>
      <c r="D370" s="119"/>
      <c r="E370" s="150"/>
      <c r="F370" s="188">
        <f t="shared" si="104"/>
        <v>0</v>
      </c>
      <c r="G370" s="229">
        <f>3871.69</f>
        <v>3871.69</v>
      </c>
      <c r="H370" s="230"/>
      <c r="I370" s="271">
        <f t="shared" si="105"/>
        <v>3871.69</v>
      </c>
      <c r="J370" s="305"/>
      <c r="K370" s="230"/>
      <c r="L370" s="271">
        <f t="shared" si="106"/>
        <v>3871.69</v>
      </c>
      <c r="M370" s="29"/>
      <c r="N370" s="7"/>
      <c r="O370" s="22"/>
      <c r="P370" s="75"/>
      <c r="Q370" s="73"/>
      <c r="R370" s="87"/>
    </row>
    <row r="371" spans="1:18" ht="12.75" hidden="1">
      <c r="A371" s="37"/>
      <c r="B371" s="146"/>
      <c r="C371" s="135"/>
      <c r="D371" s="119"/>
      <c r="E371" s="150"/>
      <c r="F371" s="188">
        <f t="shared" si="104"/>
        <v>0</v>
      </c>
      <c r="G371" s="229"/>
      <c r="H371" s="230"/>
      <c r="I371" s="271">
        <f t="shared" si="105"/>
        <v>0</v>
      </c>
      <c r="J371" s="305"/>
      <c r="K371" s="230"/>
      <c r="L371" s="271">
        <f t="shared" si="106"/>
        <v>0</v>
      </c>
      <c r="M371" s="29"/>
      <c r="N371" s="7"/>
      <c r="O371" s="22"/>
      <c r="P371" s="75"/>
      <c r="Q371" s="73"/>
      <c r="R371" s="87"/>
    </row>
    <row r="372" spans="1:18" ht="12.75">
      <c r="A372" s="37" t="s">
        <v>327</v>
      </c>
      <c r="B372" s="146">
        <v>91628</v>
      </c>
      <c r="C372" s="135"/>
      <c r="D372" s="119">
        <f>218036</f>
        <v>218036</v>
      </c>
      <c r="E372" s="150"/>
      <c r="F372" s="188">
        <f t="shared" si="104"/>
        <v>218036</v>
      </c>
      <c r="G372" s="229">
        <f>14093.81</f>
        <v>14093.81</v>
      </c>
      <c r="H372" s="230"/>
      <c r="I372" s="271">
        <f t="shared" si="105"/>
        <v>232129.81</v>
      </c>
      <c r="J372" s="305">
        <f>48429-28130</f>
        <v>20299</v>
      </c>
      <c r="K372" s="230"/>
      <c r="L372" s="271">
        <f t="shared" si="106"/>
        <v>252428.81</v>
      </c>
      <c r="M372" s="29"/>
      <c r="N372" s="7"/>
      <c r="O372" s="22"/>
      <c r="P372" s="75"/>
      <c r="Q372" s="73"/>
      <c r="R372" s="87"/>
    </row>
    <row r="373" spans="1:18" ht="12.75" hidden="1">
      <c r="A373" s="37" t="s">
        <v>198</v>
      </c>
      <c r="B373" s="92"/>
      <c r="C373" s="135"/>
      <c r="D373" s="119"/>
      <c r="E373" s="150"/>
      <c r="F373" s="188">
        <f t="shared" si="104"/>
        <v>0</v>
      </c>
      <c r="G373" s="229"/>
      <c r="H373" s="230"/>
      <c r="I373" s="271">
        <f t="shared" si="105"/>
        <v>0</v>
      </c>
      <c r="J373" s="305"/>
      <c r="K373" s="230"/>
      <c r="L373" s="271"/>
      <c r="M373" s="29"/>
      <c r="N373" s="7"/>
      <c r="O373" s="22"/>
      <c r="P373" s="75"/>
      <c r="Q373" s="73"/>
      <c r="R373" s="87"/>
    </row>
    <row r="374" spans="1:18" ht="12.75">
      <c r="A374" s="37" t="s">
        <v>169</v>
      </c>
      <c r="B374" s="92"/>
      <c r="C374" s="135">
        <f>SUM(C375:C387)</f>
        <v>353425</v>
      </c>
      <c r="D374" s="108">
        <f>SUM(D375:D387)</f>
        <v>992996.7599999999</v>
      </c>
      <c r="E374" s="136">
        <f aca="true" t="shared" si="107" ref="E374:Q374">SUM(E375:E387)</f>
        <v>0</v>
      </c>
      <c r="F374" s="188">
        <f t="shared" si="107"/>
        <v>1346421.76</v>
      </c>
      <c r="G374" s="229">
        <f t="shared" si="107"/>
        <v>206373.18</v>
      </c>
      <c r="H374" s="230">
        <f t="shared" si="107"/>
        <v>75223.86</v>
      </c>
      <c r="I374" s="271">
        <f t="shared" si="107"/>
        <v>1628018.8</v>
      </c>
      <c r="J374" s="289">
        <f t="shared" si="107"/>
        <v>143985.66000000003</v>
      </c>
      <c r="K374" s="230">
        <f t="shared" si="107"/>
        <v>0</v>
      </c>
      <c r="L374" s="271">
        <f t="shared" si="107"/>
        <v>1772004.4599999997</v>
      </c>
      <c r="M374" s="135">
        <f t="shared" si="107"/>
        <v>0</v>
      </c>
      <c r="N374" s="135">
        <f t="shared" si="107"/>
        <v>0</v>
      </c>
      <c r="O374" s="135">
        <f t="shared" si="107"/>
        <v>0</v>
      </c>
      <c r="P374" s="135">
        <f t="shared" si="107"/>
        <v>0</v>
      </c>
      <c r="Q374" s="188">
        <f t="shared" si="107"/>
        <v>0</v>
      </c>
      <c r="R374" s="87"/>
    </row>
    <row r="375" spans="1:18" ht="12.75">
      <c r="A375" s="33" t="s">
        <v>216</v>
      </c>
      <c r="B375" s="92"/>
      <c r="C375" s="137">
        <v>1000</v>
      </c>
      <c r="D375" s="119"/>
      <c r="E375" s="136"/>
      <c r="F375" s="188">
        <f>C375+D375+E375</f>
        <v>1000</v>
      </c>
      <c r="G375" s="229"/>
      <c r="H375" s="230"/>
      <c r="I375" s="271">
        <f aca="true" t="shared" si="108" ref="I375:I387">F375+G375+H375</f>
        <v>1000</v>
      </c>
      <c r="J375" s="305"/>
      <c r="K375" s="230"/>
      <c r="L375" s="271">
        <f aca="true" t="shared" si="109" ref="L375:L387">I375+J375+K375</f>
        <v>1000</v>
      </c>
      <c r="M375" s="29"/>
      <c r="N375" s="7"/>
      <c r="O375" s="22"/>
      <c r="P375" s="75"/>
      <c r="Q375" s="73"/>
      <c r="R375" s="87"/>
    </row>
    <row r="376" spans="1:18" ht="12.75">
      <c r="A376" s="33" t="s">
        <v>177</v>
      </c>
      <c r="B376" s="92"/>
      <c r="C376" s="137"/>
      <c r="D376" s="119">
        <f>411.59+112602.92+6996.98+1000+5200+2716.73-6000</f>
        <v>122928.21999999999</v>
      </c>
      <c r="E376" s="136"/>
      <c r="F376" s="188">
        <f>C376+D376+E376</f>
        <v>122928.21999999999</v>
      </c>
      <c r="G376" s="229">
        <f>20956.06+10000+7890+500</f>
        <v>39346.06</v>
      </c>
      <c r="H376" s="230"/>
      <c r="I376" s="271">
        <f t="shared" si="108"/>
        <v>162274.27999999997</v>
      </c>
      <c r="J376" s="305">
        <f>25000+3567.6</f>
        <v>28567.6</v>
      </c>
      <c r="K376" s="230"/>
      <c r="L376" s="271">
        <f t="shared" si="109"/>
        <v>190841.87999999998</v>
      </c>
      <c r="M376" s="29"/>
      <c r="N376" s="7"/>
      <c r="O376" s="22"/>
      <c r="P376" s="75"/>
      <c r="Q376" s="73"/>
      <c r="R376" s="87"/>
    </row>
    <row r="377" spans="1:18" ht="12.75">
      <c r="A377" s="33" t="s">
        <v>311</v>
      </c>
      <c r="B377" s="92"/>
      <c r="C377" s="137">
        <v>4625</v>
      </c>
      <c r="D377" s="119"/>
      <c r="E377" s="136"/>
      <c r="F377" s="188">
        <f>C377+D377+E377</f>
        <v>4625</v>
      </c>
      <c r="G377" s="229"/>
      <c r="H377" s="230"/>
      <c r="I377" s="271">
        <f t="shared" si="108"/>
        <v>4625</v>
      </c>
      <c r="J377" s="305"/>
      <c r="K377" s="230"/>
      <c r="L377" s="271">
        <f t="shared" si="109"/>
        <v>4625</v>
      </c>
      <c r="M377" s="29"/>
      <c r="N377" s="7"/>
      <c r="O377" s="22"/>
      <c r="P377" s="75"/>
      <c r="Q377" s="73"/>
      <c r="R377" s="87"/>
    </row>
    <row r="378" spans="1:18" ht="12.75">
      <c r="A378" s="33" t="s">
        <v>263</v>
      </c>
      <c r="B378" s="92"/>
      <c r="C378" s="137">
        <v>6000</v>
      </c>
      <c r="D378" s="119"/>
      <c r="E378" s="136"/>
      <c r="F378" s="188">
        <f t="shared" si="104"/>
        <v>6000</v>
      </c>
      <c r="G378" s="229"/>
      <c r="H378" s="230"/>
      <c r="I378" s="271">
        <f t="shared" si="108"/>
        <v>6000</v>
      </c>
      <c r="J378" s="305"/>
      <c r="K378" s="230"/>
      <c r="L378" s="271">
        <f t="shared" si="109"/>
        <v>6000</v>
      </c>
      <c r="M378" s="29"/>
      <c r="N378" s="7"/>
      <c r="O378" s="22"/>
      <c r="P378" s="75"/>
      <c r="Q378" s="73"/>
      <c r="R378" s="87"/>
    </row>
    <row r="379" spans="1:18" ht="12.75">
      <c r="A379" s="33" t="s">
        <v>228</v>
      </c>
      <c r="B379" s="92"/>
      <c r="C379" s="137">
        <v>153000</v>
      </c>
      <c r="D379" s="119">
        <f>421.02+20.45+154988.18+22521.82</f>
        <v>177951.47</v>
      </c>
      <c r="E379" s="136"/>
      <c r="F379" s="188">
        <f t="shared" si="104"/>
        <v>330951.47</v>
      </c>
      <c r="G379" s="229">
        <f>58.5+605.48+847.41</f>
        <v>1511.3899999999999</v>
      </c>
      <c r="H379" s="230"/>
      <c r="I379" s="271">
        <f t="shared" si="108"/>
        <v>332462.86</v>
      </c>
      <c r="J379" s="305">
        <f>44790.97+268.26+552.11</f>
        <v>45611.340000000004</v>
      </c>
      <c r="K379" s="230"/>
      <c r="L379" s="271">
        <f t="shared" si="109"/>
        <v>378074.2</v>
      </c>
      <c r="M379" s="29"/>
      <c r="N379" s="7"/>
      <c r="O379" s="22"/>
      <c r="P379" s="75"/>
      <c r="Q379" s="73"/>
      <c r="R379" s="87"/>
    </row>
    <row r="380" spans="1:18" ht="12.75">
      <c r="A380" s="33" t="s">
        <v>176</v>
      </c>
      <c r="B380" s="92"/>
      <c r="C380" s="137">
        <v>17000</v>
      </c>
      <c r="D380" s="119">
        <f>27.8+95.35+53.69+296.6+1820.61+43.56+32.67+1250.1+378.53+1105.7+331.06+25920.31+2342.88+37.51</f>
        <v>33736.37</v>
      </c>
      <c r="E380" s="136"/>
      <c r="F380" s="188">
        <f t="shared" si="104"/>
        <v>50736.37</v>
      </c>
      <c r="G380" s="229">
        <f>2235.15+1395.36+473.19+888.29+1022.02+3267.88+1929.08+1792.43+43.56+303.71+402.08+1600.49+1155.19+396.88+2178.63+71.65+2571.46</f>
        <v>21727.05</v>
      </c>
      <c r="H380" s="230">
        <f>78793.08</f>
        <v>78793.08</v>
      </c>
      <c r="I380" s="271">
        <f t="shared" si="108"/>
        <v>151256.5</v>
      </c>
      <c r="J380" s="305">
        <f>1687.7+1699.65+922.18+326.13+882.16+257.91+3123.74+3306.48+2158.3+988.57+3373.67+3490.56+43.56+1.6+3189.05+1745.02+2331.65+2194.59+423.5+1238.85+48.62+6000+1726.93</f>
        <v>41160.420000000006</v>
      </c>
      <c r="K380" s="230"/>
      <c r="L380" s="271">
        <f t="shared" si="109"/>
        <v>192416.92</v>
      </c>
      <c r="M380" s="29"/>
      <c r="N380" s="7"/>
      <c r="O380" s="22"/>
      <c r="P380" s="75"/>
      <c r="Q380" s="73"/>
      <c r="R380" s="87"/>
    </row>
    <row r="381" spans="1:18" ht="12.75">
      <c r="A381" s="33" t="s">
        <v>179</v>
      </c>
      <c r="B381" s="92"/>
      <c r="C381" s="137">
        <v>16800</v>
      </c>
      <c r="D381" s="119">
        <f>8755.95+1633.61+87162.5+8949.75+5400+1646.64+37754.41</f>
        <v>151302.86</v>
      </c>
      <c r="E381" s="136"/>
      <c r="F381" s="188">
        <f t="shared" si="104"/>
        <v>168102.86</v>
      </c>
      <c r="G381" s="229">
        <f>363.78+8034.18+2.01+7800-1700-400-2200-2428.93+1116.53</f>
        <v>10587.570000000002</v>
      </c>
      <c r="H381" s="230"/>
      <c r="I381" s="271">
        <f t="shared" si="108"/>
        <v>178690.43</v>
      </c>
      <c r="J381" s="305">
        <f>15468.7+3199.56+75.06+30.69-2000+5000</f>
        <v>21774.010000000002</v>
      </c>
      <c r="K381" s="230"/>
      <c r="L381" s="271">
        <f t="shared" si="109"/>
        <v>200464.44</v>
      </c>
      <c r="M381" s="29"/>
      <c r="N381" s="7"/>
      <c r="O381" s="22"/>
      <c r="P381" s="75"/>
      <c r="Q381" s="73"/>
      <c r="R381" s="87"/>
    </row>
    <row r="382" spans="1:18" ht="12.75">
      <c r="A382" s="33" t="s">
        <v>182</v>
      </c>
      <c r="B382" s="92"/>
      <c r="C382" s="137">
        <v>3000</v>
      </c>
      <c r="D382" s="119">
        <f>1317.26+402.71+874.2+29.04+1214.15+39.93+642.25+1771.34+2262.44+24.88+13748.19+1634.34+39.93</f>
        <v>24000.66</v>
      </c>
      <c r="E382" s="136"/>
      <c r="F382" s="188">
        <f t="shared" si="104"/>
        <v>27000.66</v>
      </c>
      <c r="G382" s="229">
        <f>249.06+1164.13+850.14+1964.43+5211.33+2287.19+1318.58+1673.66+5770.22+797.77+1374.56+3044.26+1331.6</f>
        <v>27036.93</v>
      </c>
      <c r="H382" s="230"/>
      <c r="I382" s="271">
        <f t="shared" si="108"/>
        <v>54037.59</v>
      </c>
      <c r="J382" s="305">
        <f>840.38+5353.67+1127.64+999.04+1297.36+1142.11+765.74+1513.92+39.93+1436.09+4411.34+2257.35+88.73+1438.6+1979.93</f>
        <v>24691.829999999998</v>
      </c>
      <c r="K382" s="230"/>
      <c r="L382" s="271">
        <f t="shared" si="109"/>
        <v>78729.42</v>
      </c>
      <c r="M382" s="29"/>
      <c r="N382" s="7"/>
      <c r="O382" s="22"/>
      <c r="P382" s="75"/>
      <c r="Q382" s="73"/>
      <c r="R382" s="87"/>
    </row>
    <row r="383" spans="1:18" ht="12.75">
      <c r="A383" s="33" t="s">
        <v>181</v>
      </c>
      <c r="B383" s="92"/>
      <c r="C383" s="137">
        <v>6000</v>
      </c>
      <c r="D383" s="108">
        <f>60090+625.27+614+927.27+3423.26+450.08+695.67+1097.44+3055.76+110037.64+819.82+276.96+881.22+313.48+100000</f>
        <v>283307.87</v>
      </c>
      <c r="E383" s="136"/>
      <c r="F383" s="188">
        <f t="shared" si="104"/>
        <v>289307.87</v>
      </c>
      <c r="G383" s="229">
        <f>323.56+990.18+1222.96+742.6+1124.52+1792+1240.9+702.94+2517.94+1016.04+1750.35+316.35+1579.75+1937.33+1323.3+6859.13-1000+334.69+4250</f>
        <v>29024.539999999997</v>
      </c>
      <c r="H383" s="230"/>
      <c r="I383" s="271">
        <f t="shared" si="108"/>
        <v>318332.41</v>
      </c>
      <c r="J383" s="305">
        <f>1024.31+314.01+1202.45+1193.05+674.38+1195.32+18.51+1167.7-1350-4000-1000+47</f>
        <v>486.72999999999956</v>
      </c>
      <c r="K383" s="230"/>
      <c r="L383" s="271">
        <f t="shared" si="109"/>
        <v>318819.13999999996</v>
      </c>
      <c r="M383" s="29"/>
      <c r="N383" s="7"/>
      <c r="O383" s="22"/>
      <c r="P383" s="75"/>
      <c r="Q383" s="73"/>
      <c r="R383" s="87"/>
    </row>
    <row r="384" spans="1:18" ht="12.75" hidden="1">
      <c r="A384" s="33" t="s">
        <v>207</v>
      </c>
      <c r="B384" s="92">
        <v>2088</v>
      </c>
      <c r="C384" s="137"/>
      <c r="D384" s="108"/>
      <c r="E384" s="136"/>
      <c r="F384" s="188">
        <f t="shared" si="104"/>
        <v>0</v>
      </c>
      <c r="G384" s="229"/>
      <c r="H384" s="230"/>
      <c r="I384" s="271">
        <f t="shared" si="108"/>
        <v>0</v>
      </c>
      <c r="J384" s="305"/>
      <c r="K384" s="230"/>
      <c r="L384" s="271">
        <f t="shared" si="109"/>
        <v>0</v>
      </c>
      <c r="M384" s="29"/>
      <c r="N384" s="7"/>
      <c r="O384" s="22"/>
      <c r="P384" s="75"/>
      <c r="Q384" s="73"/>
      <c r="R384" s="87"/>
    </row>
    <row r="385" spans="1:18" ht="12.75">
      <c r="A385" s="33" t="s">
        <v>275</v>
      </c>
      <c r="B385" s="92">
        <v>2088</v>
      </c>
      <c r="C385" s="137"/>
      <c r="D385" s="108">
        <f>64395.89</f>
        <v>64395.89</v>
      </c>
      <c r="E385" s="136"/>
      <c r="F385" s="188">
        <f t="shared" si="104"/>
        <v>64395.89</v>
      </c>
      <c r="G385" s="229">
        <f>228.4</f>
        <v>228.4</v>
      </c>
      <c r="H385" s="230"/>
      <c r="I385" s="271">
        <f t="shared" si="108"/>
        <v>64624.29</v>
      </c>
      <c r="J385" s="305">
        <f>44205.52-44790.97+42930.51</f>
        <v>42345.06</v>
      </c>
      <c r="K385" s="230"/>
      <c r="L385" s="271">
        <f t="shared" si="109"/>
        <v>106969.35</v>
      </c>
      <c r="M385" s="29"/>
      <c r="N385" s="7"/>
      <c r="O385" s="22"/>
      <c r="P385" s="75"/>
      <c r="Q385" s="73"/>
      <c r="R385" s="87"/>
    </row>
    <row r="386" spans="1:18" ht="12.75">
      <c r="A386" s="37" t="s">
        <v>237</v>
      </c>
      <c r="B386" s="92">
        <v>2077</v>
      </c>
      <c r="C386" s="137">
        <v>146000</v>
      </c>
      <c r="D386" s="108">
        <f>127505.62-18.07-795.31-402.71-524.52-4536.95-95.35-3812.64-32.22-17.42-25.95-385.35-26.14-20.3-1759.43-1084.22-1357.46-331.06-24.88+1907.6-5400-1352+15000-40000-25.95-36.24</f>
        <v>82349.04999999997</v>
      </c>
      <c r="E386" s="136"/>
      <c r="F386" s="188">
        <f t="shared" si="104"/>
        <v>228349.05</v>
      </c>
      <c r="G386" s="229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86" s="230">
        <f>-2980.5</f>
        <v>-2980.5</v>
      </c>
      <c r="I386" s="271">
        <f t="shared" si="108"/>
        <v>207970.59</v>
      </c>
      <c r="J386" s="305">
        <f>-4.48-840.38-3212.2-727.61-649.38-548.95-164.2-529.3-1058.16-14.77-1297.36-2376.41-685.27-647.49-497.01-1594.14-2094.34-26.14-984.05-2579.63-25.95-818.01-916.34-1398.99-1156.66-2646.8-423.5-371.65-2257.35+30000+5000-25000-1286.95</f>
        <v>-21833.47</v>
      </c>
      <c r="K386" s="230"/>
      <c r="L386" s="271">
        <f t="shared" si="109"/>
        <v>186137.12</v>
      </c>
      <c r="M386" s="29"/>
      <c r="N386" s="7"/>
      <c r="O386" s="22"/>
      <c r="P386" s="75"/>
      <c r="Q386" s="73"/>
      <c r="R386" s="87"/>
    </row>
    <row r="387" spans="1:18" ht="12.75">
      <c r="A387" s="43" t="s">
        <v>276</v>
      </c>
      <c r="B387" s="95">
        <v>2099</v>
      </c>
      <c r="C387" s="157"/>
      <c r="D387" s="116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87" s="214"/>
      <c r="F387" s="224">
        <f t="shared" si="104"/>
        <v>53024.37000000003</v>
      </c>
      <c r="G387" s="241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87" s="242">
        <f>-78911.05+78872.33-550</f>
        <v>-588.7200000000012</v>
      </c>
      <c r="I387" s="276">
        <f t="shared" si="108"/>
        <v>146744.85000000006</v>
      </c>
      <c r="J387" s="309">
        <f>3979.69+2779.33+10841.31+3021.93-85.07-1024.31-314.01-1202.45-1687.7-1699.65-2141.47-400.03-349.66-373.23-161.93-352.86-9523.46-15468.7-3199.56-280.71-747.33-456.84-1193.05-3306.48-75.06-674.38-268.26-1510.81-988.57-268.73-1779.53-1396.22-1195.32-17.42+958.69+13000-74.39+2970.55-529.87-609.42-13.98-927.01-519.75-932.66-1037.93-552.11-1764.54-30.69-867.2-18.51-1167.7-48.62+3080+10888.44+5748.14-5000-5000-30000-47-692.98+7618.15-1726.93</f>
        <v>-38817.85999999999</v>
      </c>
      <c r="K387" s="242"/>
      <c r="L387" s="276">
        <f t="shared" si="109"/>
        <v>107926.99000000008</v>
      </c>
      <c r="M387" s="29"/>
      <c r="N387" s="7"/>
      <c r="O387" s="22"/>
      <c r="P387" s="75"/>
      <c r="Q387" s="73"/>
      <c r="R387" s="323"/>
    </row>
    <row r="388" spans="1:18" ht="12.75">
      <c r="A388" s="30" t="s">
        <v>92</v>
      </c>
      <c r="B388" s="96"/>
      <c r="C388" s="142">
        <f aca="true" t="shared" si="110" ref="C388:Q388">C389+C421</f>
        <v>326309.76</v>
      </c>
      <c r="D388" s="107">
        <f t="shared" si="110"/>
        <v>1178559.49</v>
      </c>
      <c r="E388" s="143">
        <f t="shared" si="110"/>
        <v>50</v>
      </c>
      <c r="F388" s="187">
        <f t="shared" si="110"/>
        <v>1504919.25</v>
      </c>
      <c r="G388" s="227">
        <f t="shared" si="110"/>
        <v>127309.81999999999</v>
      </c>
      <c r="H388" s="228">
        <f t="shared" si="110"/>
        <v>664.86</v>
      </c>
      <c r="I388" s="270">
        <f t="shared" si="110"/>
        <v>1632893.9300000002</v>
      </c>
      <c r="J388" s="288">
        <f>J389+J421</f>
        <v>112646.27</v>
      </c>
      <c r="K388" s="228">
        <f>K389+K421</f>
        <v>0</v>
      </c>
      <c r="L388" s="270">
        <f>L389+L421</f>
        <v>1745540.2</v>
      </c>
      <c r="M388" s="106">
        <f t="shared" si="110"/>
        <v>0</v>
      </c>
      <c r="N388" s="106">
        <f t="shared" si="110"/>
        <v>0</v>
      </c>
      <c r="O388" s="106">
        <f t="shared" si="110"/>
        <v>292032.24</v>
      </c>
      <c r="P388" s="106">
        <f t="shared" si="110"/>
        <v>0</v>
      </c>
      <c r="Q388" s="187">
        <f t="shared" si="110"/>
        <v>292032.24</v>
      </c>
      <c r="R388" s="87"/>
    </row>
    <row r="389" spans="1:18" ht="12.75">
      <c r="A389" s="39" t="s">
        <v>49</v>
      </c>
      <c r="B389" s="96"/>
      <c r="C389" s="156">
        <f aca="true" t="shared" si="111" ref="C389:Q389">SUM(C391:C420)</f>
        <v>326309.76</v>
      </c>
      <c r="D389" s="115">
        <f t="shared" si="111"/>
        <v>1178559.49</v>
      </c>
      <c r="E389" s="173">
        <f t="shared" si="111"/>
        <v>50</v>
      </c>
      <c r="F389" s="192">
        <f t="shared" si="111"/>
        <v>1504919.25</v>
      </c>
      <c r="G389" s="237">
        <f t="shared" si="111"/>
        <v>127309.81999999999</v>
      </c>
      <c r="H389" s="238">
        <f t="shared" si="111"/>
        <v>664.86</v>
      </c>
      <c r="I389" s="274">
        <f t="shared" si="111"/>
        <v>1632893.9300000002</v>
      </c>
      <c r="J389" s="278">
        <f>SUM(J391:J420)</f>
        <v>112646.27</v>
      </c>
      <c r="K389" s="238">
        <f>SUM(K391:K420)</f>
        <v>0</v>
      </c>
      <c r="L389" s="274">
        <f>SUM(L391:L420)</f>
        <v>1745540.2</v>
      </c>
      <c r="M389" s="114">
        <f t="shared" si="111"/>
        <v>0</v>
      </c>
      <c r="N389" s="114">
        <f t="shared" si="111"/>
        <v>0</v>
      </c>
      <c r="O389" s="114">
        <f t="shared" si="111"/>
        <v>292032.24</v>
      </c>
      <c r="P389" s="114">
        <f t="shared" si="111"/>
        <v>0</v>
      </c>
      <c r="Q389" s="192">
        <f t="shared" si="111"/>
        <v>292032.24</v>
      </c>
      <c r="R389" s="87"/>
    </row>
    <row r="390" spans="1:18" ht="12.75">
      <c r="A390" s="35" t="s">
        <v>26</v>
      </c>
      <c r="B390" s="92"/>
      <c r="C390" s="135"/>
      <c r="D390" s="108"/>
      <c r="E390" s="136"/>
      <c r="F390" s="188"/>
      <c r="G390" s="229"/>
      <c r="H390" s="230"/>
      <c r="I390" s="271"/>
      <c r="J390" s="305"/>
      <c r="K390" s="230"/>
      <c r="L390" s="271"/>
      <c r="M390" s="21"/>
      <c r="N390" s="7"/>
      <c r="O390" s="22"/>
      <c r="P390" s="75"/>
      <c r="Q390" s="73"/>
      <c r="R390" s="87"/>
    </row>
    <row r="391" spans="1:18" ht="12.75">
      <c r="A391" s="210" t="s">
        <v>93</v>
      </c>
      <c r="B391" s="98"/>
      <c r="C391" s="135">
        <v>255000</v>
      </c>
      <c r="D391" s="108"/>
      <c r="E391" s="136">
        <f>50</f>
        <v>50</v>
      </c>
      <c r="F391" s="188">
        <f aca="true" t="shared" si="112" ref="F391:F420">C391+D391+E391</f>
        <v>255050</v>
      </c>
      <c r="G391" s="229"/>
      <c r="H391" s="230"/>
      <c r="I391" s="271">
        <f>F391+G391+H391</f>
        <v>255050</v>
      </c>
      <c r="J391" s="305"/>
      <c r="K391" s="230"/>
      <c r="L391" s="271">
        <f>I391+J391+K391</f>
        <v>255050</v>
      </c>
      <c r="M391" s="21"/>
      <c r="N391" s="7"/>
      <c r="O391" s="22">
        <f>L391+M391+N391</f>
        <v>255050</v>
      </c>
      <c r="P391" s="75"/>
      <c r="Q391" s="73">
        <f>O391+P391</f>
        <v>255050</v>
      </c>
      <c r="R391" s="87"/>
    </row>
    <row r="392" spans="1:18" ht="12.75">
      <c r="A392" s="93" t="s">
        <v>204</v>
      </c>
      <c r="B392" s="98"/>
      <c r="C392" s="135"/>
      <c r="D392" s="108">
        <f>400+2000</f>
        <v>2400</v>
      </c>
      <c r="E392" s="136"/>
      <c r="F392" s="188">
        <f t="shared" si="112"/>
        <v>2400</v>
      </c>
      <c r="G392" s="229"/>
      <c r="H392" s="230"/>
      <c r="I392" s="271">
        <f aca="true" t="shared" si="113" ref="I392:I417">F392+G392+H392</f>
        <v>2400</v>
      </c>
      <c r="J392" s="305"/>
      <c r="K392" s="230"/>
      <c r="L392" s="271">
        <f aca="true" t="shared" si="114" ref="L392:L420">I392+J392+K392</f>
        <v>2400</v>
      </c>
      <c r="M392" s="21"/>
      <c r="N392" s="7"/>
      <c r="O392" s="22"/>
      <c r="P392" s="75"/>
      <c r="Q392" s="73"/>
      <c r="R392" s="87"/>
    </row>
    <row r="393" spans="1:18" ht="12.75" hidden="1">
      <c r="A393" s="33" t="s">
        <v>145</v>
      </c>
      <c r="B393" s="92"/>
      <c r="C393" s="135"/>
      <c r="D393" s="108"/>
      <c r="E393" s="136"/>
      <c r="F393" s="188">
        <f t="shared" si="112"/>
        <v>0</v>
      </c>
      <c r="G393" s="229"/>
      <c r="H393" s="230"/>
      <c r="I393" s="271">
        <f t="shared" si="113"/>
        <v>0</v>
      </c>
      <c r="J393" s="305"/>
      <c r="K393" s="230"/>
      <c r="L393" s="271">
        <f t="shared" si="114"/>
        <v>0</v>
      </c>
      <c r="M393" s="21"/>
      <c r="N393" s="7"/>
      <c r="O393" s="22">
        <f>L393+M393+N393</f>
        <v>0</v>
      </c>
      <c r="P393" s="75"/>
      <c r="Q393" s="73">
        <f>O393+P393</f>
        <v>0</v>
      </c>
      <c r="R393" s="87"/>
    </row>
    <row r="394" spans="1:18" ht="13.5" thickBot="1">
      <c r="A394" s="332" t="s">
        <v>162</v>
      </c>
      <c r="B394" s="133"/>
      <c r="C394" s="159">
        <v>60000</v>
      </c>
      <c r="D394" s="134">
        <f>425.8</f>
        <v>425.8</v>
      </c>
      <c r="E394" s="213"/>
      <c r="F394" s="223">
        <f t="shared" si="112"/>
        <v>60425.8</v>
      </c>
      <c r="G394" s="325">
        <f>2.06</f>
        <v>2.06</v>
      </c>
      <c r="H394" s="326"/>
      <c r="I394" s="327">
        <f t="shared" si="113"/>
        <v>60427.86</v>
      </c>
      <c r="J394" s="328"/>
      <c r="K394" s="326"/>
      <c r="L394" s="327">
        <f t="shared" si="114"/>
        <v>60427.86</v>
      </c>
      <c r="M394" s="21"/>
      <c r="N394" s="7"/>
      <c r="O394" s="22"/>
      <c r="P394" s="75"/>
      <c r="Q394" s="73"/>
      <c r="R394" s="87"/>
    </row>
    <row r="395" spans="1:18" ht="12.75">
      <c r="A395" s="33" t="s">
        <v>51</v>
      </c>
      <c r="B395" s="92"/>
      <c r="C395" s="135">
        <v>10809.76</v>
      </c>
      <c r="D395" s="108">
        <f>-3</f>
        <v>-3</v>
      </c>
      <c r="E395" s="136"/>
      <c r="F395" s="188">
        <f t="shared" si="112"/>
        <v>10806.76</v>
      </c>
      <c r="G395" s="229">
        <f>155</f>
        <v>155</v>
      </c>
      <c r="H395" s="230"/>
      <c r="I395" s="271">
        <f t="shared" si="113"/>
        <v>10961.76</v>
      </c>
      <c r="J395" s="305">
        <f>-200</f>
        <v>-200</v>
      </c>
      <c r="K395" s="230"/>
      <c r="L395" s="271">
        <f t="shared" si="114"/>
        <v>10761.76</v>
      </c>
      <c r="M395" s="21"/>
      <c r="N395" s="7"/>
      <c r="O395" s="22">
        <f>L395+M395+N395</f>
        <v>10761.76</v>
      </c>
      <c r="P395" s="75"/>
      <c r="Q395" s="73">
        <f>O395+P395</f>
        <v>10761.76</v>
      </c>
      <c r="R395" s="87"/>
    </row>
    <row r="396" spans="1:18" ht="12.75" hidden="1">
      <c r="A396" s="33" t="s">
        <v>65</v>
      </c>
      <c r="B396" s="92"/>
      <c r="C396" s="135"/>
      <c r="D396" s="108"/>
      <c r="E396" s="136"/>
      <c r="F396" s="188">
        <f t="shared" si="112"/>
        <v>0</v>
      </c>
      <c r="G396" s="229"/>
      <c r="H396" s="230"/>
      <c r="I396" s="271">
        <f t="shared" si="113"/>
        <v>0</v>
      </c>
      <c r="J396" s="305"/>
      <c r="K396" s="230"/>
      <c r="L396" s="271">
        <f t="shared" si="114"/>
        <v>0</v>
      </c>
      <c r="M396" s="21"/>
      <c r="N396" s="7"/>
      <c r="O396" s="22">
        <f>L396+M396+N396</f>
        <v>0</v>
      </c>
      <c r="P396" s="75"/>
      <c r="Q396" s="73">
        <f>O396+P396</f>
        <v>0</v>
      </c>
      <c r="R396" s="87"/>
    </row>
    <row r="397" spans="1:18" ht="12.75">
      <c r="A397" s="33" t="s">
        <v>259</v>
      </c>
      <c r="B397" s="92">
        <v>13013</v>
      </c>
      <c r="C397" s="135"/>
      <c r="D397" s="108">
        <f>463.21</f>
        <v>463.21</v>
      </c>
      <c r="E397" s="136"/>
      <c r="F397" s="188">
        <f t="shared" si="112"/>
        <v>463.21</v>
      </c>
      <c r="G397" s="229"/>
      <c r="H397" s="230">
        <f>664.86</f>
        <v>664.86</v>
      </c>
      <c r="I397" s="271">
        <f t="shared" si="113"/>
        <v>1128.07</v>
      </c>
      <c r="J397" s="305">
        <f>664.86+736.1</f>
        <v>1400.96</v>
      </c>
      <c r="K397" s="230"/>
      <c r="L397" s="271">
        <f t="shared" si="114"/>
        <v>2529.0299999999997</v>
      </c>
      <c r="M397" s="21"/>
      <c r="N397" s="7"/>
      <c r="O397" s="22"/>
      <c r="P397" s="75"/>
      <c r="Q397" s="73"/>
      <c r="R397" s="87"/>
    </row>
    <row r="398" spans="1:20" ht="12.75">
      <c r="A398" s="93" t="s">
        <v>321</v>
      </c>
      <c r="B398" s="92">
        <v>2177</v>
      </c>
      <c r="C398" s="135"/>
      <c r="D398" s="108">
        <f>2745.51</f>
        <v>2745.51</v>
      </c>
      <c r="E398" s="136"/>
      <c r="F398" s="188">
        <f t="shared" si="112"/>
        <v>2745.51</v>
      </c>
      <c r="G398" s="229">
        <f>-370.31</f>
        <v>-370.31</v>
      </c>
      <c r="H398" s="230"/>
      <c r="I398" s="271">
        <f t="shared" si="113"/>
        <v>2375.2000000000003</v>
      </c>
      <c r="J398" s="305"/>
      <c r="K398" s="230"/>
      <c r="L398" s="271">
        <f t="shared" si="114"/>
        <v>2375.2000000000003</v>
      </c>
      <c r="M398" s="21"/>
      <c r="N398" s="7"/>
      <c r="O398" s="22"/>
      <c r="P398" s="75"/>
      <c r="Q398" s="73"/>
      <c r="R398" s="87"/>
      <c r="S398" s="138"/>
      <c r="T398" s="138"/>
    </row>
    <row r="399" spans="1:20" ht="12.75" hidden="1">
      <c r="A399" s="33" t="s">
        <v>323</v>
      </c>
      <c r="B399" s="92">
        <v>2050</v>
      </c>
      <c r="C399" s="135"/>
      <c r="D399" s="108"/>
      <c r="E399" s="136"/>
      <c r="F399" s="188">
        <f t="shared" si="112"/>
        <v>0</v>
      </c>
      <c r="G399" s="229"/>
      <c r="H399" s="230"/>
      <c r="I399" s="271">
        <f t="shared" si="113"/>
        <v>0</v>
      </c>
      <c r="J399" s="305"/>
      <c r="K399" s="230"/>
      <c r="L399" s="271">
        <f t="shared" si="114"/>
        <v>0</v>
      </c>
      <c r="M399" s="21"/>
      <c r="N399" s="7"/>
      <c r="O399" s="22"/>
      <c r="P399" s="75"/>
      <c r="Q399" s="73"/>
      <c r="R399" s="87"/>
      <c r="S399" s="138"/>
      <c r="T399" s="138"/>
    </row>
    <row r="400" spans="1:20" ht="12.75">
      <c r="A400" s="33" t="s">
        <v>322</v>
      </c>
      <c r="B400" s="92">
        <v>2073</v>
      </c>
      <c r="C400" s="135"/>
      <c r="D400" s="108">
        <f>6780.2</f>
        <v>6780.2</v>
      </c>
      <c r="E400" s="136"/>
      <c r="F400" s="188">
        <f t="shared" si="112"/>
        <v>6780.2</v>
      </c>
      <c r="G400" s="229"/>
      <c r="H400" s="230"/>
      <c r="I400" s="271">
        <f t="shared" si="113"/>
        <v>6780.2</v>
      </c>
      <c r="J400" s="305"/>
      <c r="K400" s="230"/>
      <c r="L400" s="271">
        <f t="shared" si="114"/>
        <v>6780.2</v>
      </c>
      <c r="M400" s="21"/>
      <c r="N400" s="7"/>
      <c r="O400" s="22"/>
      <c r="P400" s="75"/>
      <c r="Q400" s="73"/>
      <c r="R400" s="87"/>
      <c r="S400" s="138"/>
      <c r="T400" s="138"/>
    </row>
    <row r="401" spans="1:20" ht="12.75">
      <c r="A401" s="33" t="s">
        <v>346</v>
      </c>
      <c r="B401" s="92"/>
      <c r="C401" s="135"/>
      <c r="D401" s="108"/>
      <c r="E401" s="136"/>
      <c r="F401" s="188">
        <f t="shared" si="112"/>
        <v>0</v>
      </c>
      <c r="G401" s="229">
        <f>7377.27</f>
        <v>7377.27</v>
      </c>
      <c r="H401" s="230"/>
      <c r="I401" s="271">
        <f t="shared" si="113"/>
        <v>7377.27</v>
      </c>
      <c r="J401" s="305"/>
      <c r="K401" s="230"/>
      <c r="L401" s="271">
        <f t="shared" si="114"/>
        <v>7377.27</v>
      </c>
      <c r="M401" s="21"/>
      <c r="N401" s="7"/>
      <c r="O401" s="22"/>
      <c r="P401" s="75"/>
      <c r="Q401" s="73"/>
      <c r="R401" s="87"/>
      <c r="S401" s="138"/>
      <c r="T401" s="138"/>
    </row>
    <row r="402" spans="1:20" ht="12.75">
      <c r="A402" s="33" t="s">
        <v>324</v>
      </c>
      <c r="B402" s="92">
        <v>1230</v>
      </c>
      <c r="C402" s="135"/>
      <c r="D402" s="108">
        <f>18084.73</f>
        <v>18084.73</v>
      </c>
      <c r="E402" s="136"/>
      <c r="F402" s="188">
        <f t="shared" si="112"/>
        <v>18084.73</v>
      </c>
      <c r="G402" s="229"/>
      <c r="H402" s="230"/>
      <c r="I402" s="271">
        <f t="shared" si="113"/>
        <v>18084.73</v>
      </c>
      <c r="J402" s="305"/>
      <c r="K402" s="230"/>
      <c r="L402" s="271">
        <f t="shared" si="114"/>
        <v>18084.73</v>
      </c>
      <c r="M402" s="21"/>
      <c r="N402" s="7"/>
      <c r="O402" s="22"/>
      <c r="P402" s="75"/>
      <c r="Q402" s="73"/>
      <c r="R402" s="87"/>
      <c r="S402" s="138"/>
      <c r="T402" s="138"/>
    </row>
    <row r="403" spans="1:20" ht="12.75">
      <c r="A403" s="33" t="s">
        <v>364</v>
      </c>
      <c r="B403" s="92">
        <v>1230</v>
      </c>
      <c r="C403" s="135"/>
      <c r="D403" s="108"/>
      <c r="E403" s="136"/>
      <c r="F403" s="188"/>
      <c r="G403" s="229"/>
      <c r="H403" s="230"/>
      <c r="I403" s="271">
        <f t="shared" si="113"/>
        <v>0</v>
      </c>
      <c r="J403" s="305">
        <f>59055.51</f>
        <v>59055.51</v>
      </c>
      <c r="K403" s="230"/>
      <c r="L403" s="271">
        <f t="shared" si="114"/>
        <v>59055.51</v>
      </c>
      <c r="M403" s="21"/>
      <c r="N403" s="7"/>
      <c r="O403" s="22"/>
      <c r="P403" s="75"/>
      <c r="Q403" s="73"/>
      <c r="R403" s="87"/>
      <c r="S403" s="138"/>
      <c r="T403" s="138"/>
    </row>
    <row r="404" spans="1:20" ht="12.75">
      <c r="A404" s="93" t="s">
        <v>340</v>
      </c>
      <c r="B404" s="92">
        <v>2178</v>
      </c>
      <c r="C404" s="135"/>
      <c r="D404" s="108">
        <f>2601.7</f>
        <v>2601.7</v>
      </c>
      <c r="E404" s="136"/>
      <c r="F404" s="188">
        <f t="shared" si="112"/>
        <v>2601.7</v>
      </c>
      <c r="G404" s="229"/>
      <c r="H404" s="230"/>
      <c r="I404" s="271">
        <f t="shared" si="113"/>
        <v>2601.7</v>
      </c>
      <c r="J404" s="305"/>
      <c r="K404" s="230"/>
      <c r="L404" s="271">
        <f t="shared" si="114"/>
        <v>2601.7</v>
      </c>
      <c r="M404" s="21"/>
      <c r="N404" s="7"/>
      <c r="O404" s="22"/>
      <c r="P404" s="75"/>
      <c r="Q404" s="73"/>
      <c r="R404" s="87"/>
      <c r="S404" s="138"/>
      <c r="T404" s="138"/>
    </row>
    <row r="405" spans="1:20" ht="12.75">
      <c r="A405" s="93" t="s">
        <v>347</v>
      </c>
      <c r="B405" s="92"/>
      <c r="C405" s="135"/>
      <c r="D405" s="108"/>
      <c r="E405" s="136"/>
      <c r="F405" s="188">
        <f t="shared" si="112"/>
        <v>0</v>
      </c>
      <c r="G405" s="229">
        <f>88.03</f>
        <v>88.03</v>
      </c>
      <c r="H405" s="230"/>
      <c r="I405" s="271">
        <f t="shared" si="113"/>
        <v>88.03</v>
      </c>
      <c r="J405" s="305"/>
      <c r="K405" s="230"/>
      <c r="L405" s="271">
        <f t="shared" si="114"/>
        <v>88.03</v>
      </c>
      <c r="M405" s="21"/>
      <c r="N405" s="7"/>
      <c r="O405" s="22"/>
      <c r="P405" s="75"/>
      <c r="Q405" s="73"/>
      <c r="R405" s="87"/>
      <c r="S405" s="138"/>
      <c r="T405" s="138"/>
    </row>
    <row r="406" spans="1:20" ht="12.75">
      <c r="A406" s="33" t="s">
        <v>325</v>
      </c>
      <c r="B406" s="92">
        <v>2080</v>
      </c>
      <c r="C406" s="135"/>
      <c r="D406" s="108">
        <f>4908.96</f>
        <v>4908.96</v>
      </c>
      <c r="E406" s="136"/>
      <c r="F406" s="188">
        <f t="shared" si="112"/>
        <v>4908.96</v>
      </c>
      <c r="G406" s="229"/>
      <c r="H406" s="230"/>
      <c r="I406" s="271">
        <f t="shared" si="113"/>
        <v>4908.96</v>
      </c>
      <c r="J406" s="305"/>
      <c r="K406" s="230"/>
      <c r="L406" s="271">
        <f t="shared" si="114"/>
        <v>4908.96</v>
      </c>
      <c r="M406" s="21"/>
      <c r="N406" s="7"/>
      <c r="O406" s="22"/>
      <c r="P406" s="75"/>
      <c r="Q406" s="73"/>
      <c r="R406" s="87"/>
      <c r="S406" s="138"/>
      <c r="T406" s="138"/>
    </row>
    <row r="407" spans="1:19" ht="12.75">
      <c r="A407" s="33" t="s">
        <v>357</v>
      </c>
      <c r="B407" s="92"/>
      <c r="C407" s="135"/>
      <c r="D407" s="108"/>
      <c r="E407" s="136"/>
      <c r="F407" s="188">
        <f t="shared" si="112"/>
        <v>0</v>
      </c>
      <c r="G407" s="229">
        <f>2528.99</f>
        <v>2528.99</v>
      </c>
      <c r="H407" s="230"/>
      <c r="I407" s="271">
        <f t="shared" si="113"/>
        <v>2528.99</v>
      </c>
      <c r="J407" s="305"/>
      <c r="K407" s="230"/>
      <c r="L407" s="271">
        <f t="shared" si="114"/>
        <v>2528.99</v>
      </c>
      <c r="M407" s="21"/>
      <c r="N407" s="7"/>
      <c r="O407" s="22"/>
      <c r="P407" s="75"/>
      <c r="Q407" s="73"/>
      <c r="R407" s="87"/>
      <c r="S407" s="138"/>
    </row>
    <row r="408" spans="1:19" ht="12.75">
      <c r="A408" s="33" t="s">
        <v>326</v>
      </c>
      <c r="B408" s="92">
        <v>1233</v>
      </c>
      <c r="C408" s="135"/>
      <c r="D408" s="108">
        <f>5872.48</f>
        <v>5872.48</v>
      </c>
      <c r="E408" s="136"/>
      <c r="F408" s="188">
        <f t="shared" si="112"/>
        <v>5872.48</v>
      </c>
      <c r="G408" s="229"/>
      <c r="H408" s="230"/>
      <c r="I408" s="271">
        <f t="shared" si="113"/>
        <v>5872.48</v>
      </c>
      <c r="J408" s="305"/>
      <c r="K408" s="230"/>
      <c r="L408" s="271">
        <f t="shared" si="114"/>
        <v>5872.48</v>
      </c>
      <c r="M408" s="21"/>
      <c r="N408" s="7"/>
      <c r="O408" s="22"/>
      <c r="P408" s="75"/>
      <c r="Q408" s="73"/>
      <c r="R408" s="87"/>
      <c r="S408" s="138"/>
    </row>
    <row r="409" spans="1:19" ht="12.75">
      <c r="A409" s="33" t="s">
        <v>361</v>
      </c>
      <c r="B409" s="92">
        <v>1233</v>
      </c>
      <c r="C409" s="135"/>
      <c r="D409" s="108"/>
      <c r="E409" s="136"/>
      <c r="F409" s="188">
        <f t="shared" si="112"/>
        <v>0</v>
      </c>
      <c r="G409" s="229">
        <f>9203.05</f>
        <v>9203.05</v>
      </c>
      <c r="H409" s="230"/>
      <c r="I409" s="271">
        <f t="shared" si="113"/>
        <v>9203.05</v>
      </c>
      <c r="J409" s="305"/>
      <c r="K409" s="230"/>
      <c r="L409" s="271">
        <f t="shared" si="114"/>
        <v>9203.05</v>
      </c>
      <c r="M409" s="21"/>
      <c r="N409" s="7"/>
      <c r="O409" s="22"/>
      <c r="P409" s="75"/>
      <c r="Q409" s="73"/>
      <c r="R409" s="87"/>
      <c r="S409" s="138"/>
    </row>
    <row r="410" spans="1:20" ht="12.75">
      <c r="A410" s="42" t="s">
        <v>199</v>
      </c>
      <c r="B410" s="92">
        <v>13305</v>
      </c>
      <c r="C410" s="135"/>
      <c r="D410" s="108">
        <f>1100267.08</f>
        <v>1100267.08</v>
      </c>
      <c r="E410" s="136"/>
      <c r="F410" s="188">
        <f t="shared" si="112"/>
        <v>1100267.08</v>
      </c>
      <c r="G410" s="229"/>
      <c r="H410" s="230"/>
      <c r="I410" s="271">
        <f t="shared" si="113"/>
        <v>1100267.08</v>
      </c>
      <c r="J410" s="305">
        <f>40414.14</f>
        <v>40414.14</v>
      </c>
      <c r="K410" s="230"/>
      <c r="L410" s="271">
        <f t="shared" si="114"/>
        <v>1140681.22</v>
      </c>
      <c r="M410" s="21"/>
      <c r="N410" s="7"/>
      <c r="O410" s="22"/>
      <c r="P410" s="75"/>
      <c r="Q410" s="73"/>
      <c r="R410" s="87"/>
      <c r="S410" s="138"/>
      <c r="T410" s="138"/>
    </row>
    <row r="411" spans="1:18" ht="12.75">
      <c r="A411" s="33" t="s">
        <v>94</v>
      </c>
      <c r="B411" s="92">
        <v>13307</v>
      </c>
      <c r="C411" s="135"/>
      <c r="D411" s="108">
        <f>7000</f>
        <v>7000</v>
      </c>
      <c r="E411" s="136"/>
      <c r="F411" s="188">
        <f t="shared" si="112"/>
        <v>7000</v>
      </c>
      <c r="G411" s="229"/>
      <c r="H411" s="230"/>
      <c r="I411" s="271">
        <f t="shared" si="113"/>
        <v>7000</v>
      </c>
      <c r="J411" s="305"/>
      <c r="K411" s="230"/>
      <c r="L411" s="271">
        <f t="shared" si="114"/>
        <v>7000</v>
      </c>
      <c r="M411" s="21"/>
      <c r="N411" s="7"/>
      <c r="O411" s="22">
        <f>L411+M411+N411</f>
        <v>7000</v>
      </c>
      <c r="P411" s="75"/>
      <c r="Q411" s="73">
        <f>O411+P411</f>
        <v>7000</v>
      </c>
      <c r="R411" s="87"/>
    </row>
    <row r="412" spans="1:19" ht="12.75">
      <c r="A412" s="33" t="s">
        <v>144</v>
      </c>
      <c r="B412" s="92">
        <v>14032</v>
      </c>
      <c r="C412" s="135"/>
      <c r="D412" s="108"/>
      <c r="E412" s="136"/>
      <c r="F412" s="188">
        <f t="shared" si="112"/>
        <v>0</v>
      </c>
      <c r="G412" s="229">
        <f>192</f>
        <v>192</v>
      </c>
      <c r="H412" s="230"/>
      <c r="I412" s="271">
        <f t="shared" si="113"/>
        <v>192</v>
      </c>
      <c r="J412" s="305"/>
      <c r="K412" s="230"/>
      <c r="L412" s="271">
        <f t="shared" si="114"/>
        <v>192</v>
      </c>
      <c r="M412" s="21"/>
      <c r="N412" s="7"/>
      <c r="O412" s="22">
        <f>L412+M412+N412</f>
        <v>192</v>
      </c>
      <c r="P412" s="75"/>
      <c r="Q412" s="73">
        <f>O412+P412</f>
        <v>192</v>
      </c>
      <c r="R412" s="87"/>
      <c r="S412" s="138"/>
    </row>
    <row r="413" spans="1:18" ht="12.75">
      <c r="A413" s="42" t="s">
        <v>339</v>
      </c>
      <c r="B413" s="92">
        <v>13351</v>
      </c>
      <c r="C413" s="135"/>
      <c r="D413" s="108">
        <f>2618.88</f>
        <v>2618.88</v>
      </c>
      <c r="E413" s="136"/>
      <c r="F413" s="188">
        <f t="shared" si="112"/>
        <v>2618.88</v>
      </c>
      <c r="G413" s="229"/>
      <c r="H413" s="230"/>
      <c r="I413" s="271">
        <f t="shared" si="113"/>
        <v>2618.88</v>
      </c>
      <c r="J413" s="305"/>
      <c r="K413" s="230"/>
      <c r="L413" s="271">
        <f t="shared" si="114"/>
        <v>2618.88</v>
      </c>
      <c r="M413" s="21"/>
      <c r="N413" s="7"/>
      <c r="O413" s="22"/>
      <c r="P413" s="75"/>
      <c r="Q413" s="73"/>
      <c r="R413" s="87"/>
    </row>
    <row r="414" spans="1:18" ht="12.75">
      <c r="A414" s="53" t="s">
        <v>329</v>
      </c>
      <c r="B414" s="92">
        <v>13351</v>
      </c>
      <c r="C414" s="135"/>
      <c r="D414" s="108">
        <f>380</f>
        <v>380</v>
      </c>
      <c r="E414" s="136"/>
      <c r="F414" s="188">
        <f t="shared" si="112"/>
        <v>380</v>
      </c>
      <c r="G414" s="229"/>
      <c r="H414" s="230"/>
      <c r="I414" s="271">
        <f t="shared" si="113"/>
        <v>380</v>
      </c>
      <c r="J414" s="305"/>
      <c r="K414" s="230"/>
      <c r="L414" s="271">
        <f t="shared" si="114"/>
        <v>380</v>
      </c>
      <c r="M414" s="21"/>
      <c r="N414" s="7"/>
      <c r="O414" s="22"/>
      <c r="P414" s="75"/>
      <c r="Q414" s="73"/>
      <c r="R414" s="87"/>
    </row>
    <row r="415" spans="1:18" ht="12.75">
      <c r="A415" s="53" t="s">
        <v>356</v>
      </c>
      <c r="B415" s="92">
        <v>13351</v>
      </c>
      <c r="C415" s="135"/>
      <c r="D415" s="108"/>
      <c r="E415" s="136"/>
      <c r="F415" s="188">
        <f t="shared" si="112"/>
        <v>0</v>
      </c>
      <c r="G415" s="229">
        <f>98768.08</f>
        <v>98768.08</v>
      </c>
      <c r="H415" s="230"/>
      <c r="I415" s="271">
        <f t="shared" si="113"/>
        <v>98768.08</v>
      </c>
      <c r="J415" s="305"/>
      <c r="K415" s="230"/>
      <c r="L415" s="271">
        <f t="shared" si="114"/>
        <v>98768.08</v>
      </c>
      <c r="M415" s="21"/>
      <c r="N415" s="7"/>
      <c r="O415" s="22"/>
      <c r="P415" s="75"/>
      <c r="Q415" s="73"/>
      <c r="R415" s="87"/>
    </row>
    <row r="416" spans="1:18" ht="12.75">
      <c r="A416" s="53" t="s">
        <v>363</v>
      </c>
      <c r="B416" s="92">
        <v>13351</v>
      </c>
      <c r="C416" s="135"/>
      <c r="D416" s="108"/>
      <c r="E416" s="136"/>
      <c r="F416" s="188"/>
      <c r="G416" s="229"/>
      <c r="H416" s="230"/>
      <c r="I416" s="271">
        <f t="shared" si="113"/>
        <v>0</v>
      </c>
      <c r="J416" s="305">
        <f>24975.66</f>
        <v>24975.66</v>
      </c>
      <c r="K416" s="230"/>
      <c r="L416" s="271">
        <f t="shared" si="114"/>
        <v>24975.66</v>
      </c>
      <c r="M416" s="21"/>
      <c r="N416" s="7"/>
      <c r="O416" s="22"/>
      <c r="P416" s="75"/>
      <c r="Q416" s="73"/>
      <c r="R416" s="87"/>
    </row>
    <row r="417" spans="1:18" ht="12.75">
      <c r="A417" s="37" t="s">
        <v>358</v>
      </c>
      <c r="B417" s="92">
        <v>13351</v>
      </c>
      <c r="C417" s="135"/>
      <c r="D417" s="108"/>
      <c r="E417" s="136"/>
      <c r="F417" s="188">
        <f t="shared" si="112"/>
        <v>0</v>
      </c>
      <c r="G417" s="229">
        <f>1851.11</f>
        <v>1851.11</v>
      </c>
      <c r="H417" s="230"/>
      <c r="I417" s="271">
        <f t="shared" si="113"/>
        <v>1851.11</v>
      </c>
      <c r="J417" s="305"/>
      <c r="K417" s="230"/>
      <c r="L417" s="271">
        <f t="shared" si="114"/>
        <v>1851.11</v>
      </c>
      <c r="M417" s="21"/>
      <c r="N417" s="7"/>
      <c r="O417" s="22"/>
      <c r="P417" s="75"/>
      <c r="Q417" s="73"/>
      <c r="R417" s="87"/>
    </row>
    <row r="418" spans="1:18" ht="12.75" hidden="1">
      <c r="A418" s="42" t="s">
        <v>151</v>
      </c>
      <c r="B418" s="92">
        <v>4359</v>
      </c>
      <c r="C418" s="135"/>
      <c r="D418" s="108"/>
      <c r="E418" s="136"/>
      <c r="F418" s="188">
        <f t="shared" si="112"/>
        <v>0</v>
      </c>
      <c r="G418" s="229"/>
      <c r="H418" s="230"/>
      <c r="I418" s="271">
        <f>F418+G418+H418</f>
        <v>0</v>
      </c>
      <c r="J418" s="305"/>
      <c r="K418" s="230"/>
      <c r="L418" s="271">
        <f t="shared" si="114"/>
        <v>0</v>
      </c>
      <c r="M418" s="21"/>
      <c r="N418" s="7"/>
      <c r="O418" s="22">
        <f>L418+M418+N418</f>
        <v>0</v>
      </c>
      <c r="P418" s="75"/>
      <c r="Q418" s="73">
        <f>O418+P418</f>
        <v>0</v>
      </c>
      <c r="R418" s="87"/>
    </row>
    <row r="419" spans="1:18" ht="12.75" hidden="1">
      <c r="A419" s="93" t="s">
        <v>304</v>
      </c>
      <c r="B419" s="92"/>
      <c r="C419" s="135"/>
      <c r="D419" s="108"/>
      <c r="E419" s="136"/>
      <c r="F419" s="188">
        <f t="shared" si="112"/>
        <v>0</v>
      </c>
      <c r="G419" s="229"/>
      <c r="H419" s="230"/>
      <c r="I419" s="271">
        <f>F419+G419+H419</f>
        <v>0</v>
      </c>
      <c r="J419" s="305"/>
      <c r="K419" s="230"/>
      <c r="L419" s="271">
        <f t="shared" si="114"/>
        <v>0</v>
      </c>
      <c r="M419" s="21"/>
      <c r="N419" s="7"/>
      <c r="O419" s="22"/>
      <c r="P419" s="75"/>
      <c r="Q419" s="73"/>
      <c r="R419" s="87"/>
    </row>
    <row r="420" spans="1:18" ht="12.75">
      <c r="A420" s="36" t="s">
        <v>76</v>
      </c>
      <c r="B420" s="95"/>
      <c r="C420" s="157">
        <v>500</v>
      </c>
      <c r="D420" s="116">
        <f>2866.85+408.21+6495.7+3719.4+22.78+1340.77+8804.07+3+353.16</f>
        <v>24013.94</v>
      </c>
      <c r="E420" s="214"/>
      <c r="F420" s="224">
        <f t="shared" si="112"/>
        <v>24513.94</v>
      </c>
      <c r="G420" s="241">
        <f>13000-5500-396.47+371.29+39.72</f>
        <v>7514.54</v>
      </c>
      <c r="H420" s="242"/>
      <c r="I420" s="276">
        <f>F420+G420+H420</f>
        <v>32028.48</v>
      </c>
      <c r="J420" s="324">
        <f>-13000</f>
        <v>-13000</v>
      </c>
      <c r="K420" s="242"/>
      <c r="L420" s="276">
        <f t="shared" si="114"/>
        <v>19028.48</v>
      </c>
      <c r="M420" s="21"/>
      <c r="N420" s="7"/>
      <c r="O420" s="22">
        <f>L420+M420+N420</f>
        <v>19028.48</v>
      </c>
      <c r="P420" s="75"/>
      <c r="Q420" s="73">
        <f>O420+P420</f>
        <v>19028.48</v>
      </c>
      <c r="R420" s="322"/>
    </row>
    <row r="421" spans="1:18" ht="12.75" hidden="1">
      <c r="A421" s="39" t="s">
        <v>54</v>
      </c>
      <c r="B421" s="96"/>
      <c r="C421" s="156">
        <f>SUM(C423:C425)</f>
        <v>0</v>
      </c>
      <c r="D421" s="115">
        <f aca="true" t="shared" si="115" ref="D421:Q421">SUM(D423:D425)</f>
        <v>0</v>
      </c>
      <c r="E421" s="173">
        <f t="shared" si="115"/>
        <v>0</v>
      </c>
      <c r="F421" s="192">
        <f t="shared" si="115"/>
        <v>0</v>
      </c>
      <c r="G421" s="237">
        <f t="shared" si="115"/>
        <v>0</v>
      </c>
      <c r="H421" s="238">
        <f t="shared" si="115"/>
        <v>0</v>
      </c>
      <c r="I421" s="274">
        <f t="shared" si="115"/>
        <v>0</v>
      </c>
      <c r="J421" s="311">
        <f t="shared" si="115"/>
        <v>0</v>
      </c>
      <c r="K421" s="238">
        <f t="shared" si="115"/>
        <v>0</v>
      </c>
      <c r="L421" s="274">
        <f t="shared" si="115"/>
        <v>0</v>
      </c>
      <c r="M421" s="114">
        <f t="shared" si="115"/>
        <v>0</v>
      </c>
      <c r="N421" s="114">
        <f t="shared" si="115"/>
        <v>0</v>
      </c>
      <c r="O421" s="114">
        <f t="shared" si="115"/>
        <v>0</v>
      </c>
      <c r="P421" s="114">
        <f t="shared" si="115"/>
        <v>0</v>
      </c>
      <c r="Q421" s="192">
        <f t="shared" si="115"/>
        <v>0</v>
      </c>
      <c r="R421" s="87"/>
    </row>
    <row r="422" spans="1:18" ht="12.75" hidden="1">
      <c r="A422" s="35" t="s">
        <v>26</v>
      </c>
      <c r="B422" s="92"/>
      <c r="C422" s="135"/>
      <c r="D422" s="108"/>
      <c r="E422" s="136"/>
      <c r="F422" s="188"/>
      <c r="G422" s="229"/>
      <c r="H422" s="230"/>
      <c r="I422" s="271"/>
      <c r="J422" s="305"/>
      <c r="K422" s="230"/>
      <c r="L422" s="271"/>
      <c r="M422" s="21"/>
      <c r="N422" s="7"/>
      <c r="O422" s="22"/>
      <c r="P422" s="75"/>
      <c r="Q422" s="73"/>
      <c r="R422" s="87"/>
    </row>
    <row r="423" spans="1:18" ht="12.75" hidden="1">
      <c r="A423" s="33" t="s">
        <v>86</v>
      </c>
      <c r="B423" s="92"/>
      <c r="C423" s="135"/>
      <c r="D423" s="108"/>
      <c r="E423" s="136"/>
      <c r="F423" s="188">
        <f>C423+D423+E423</f>
        <v>0</v>
      </c>
      <c r="G423" s="229"/>
      <c r="H423" s="230"/>
      <c r="I423" s="271">
        <f>F423+G423+H423</f>
        <v>0</v>
      </c>
      <c r="J423" s="305"/>
      <c r="K423" s="230"/>
      <c r="L423" s="271">
        <f>I423+J423+K423</f>
        <v>0</v>
      </c>
      <c r="M423" s="21"/>
      <c r="N423" s="7"/>
      <c r="O423" s="22">
        <f>L423+M423+N423</f>
        <v>0</v>
      </c>
      <c r="P423" s="75"/>
      <c r="Q423" s="73">
        <f>O423+P423</f>
        <v>0</v>
      </c>
      <c r="R423" s="87"/>
    </row>
    <row r="424" spans="1:18" ht="12.75" hidden="1">
      <c r="A424" s="33" t="s">
        <v>55</v>
      </c>
      <c r="B424" s="92"/>
      <c r="C424" s="135"/>
      <c r="D424" s="108"/>
      <c r="E424" s="136"/>
      <c r="F424" s="188">
        <f>C424+D424+E424</f>
        <v>0</v>
      </c>
      <c r="G424" s="229"/>
      <c r="H424" s="230"/>
      <c r="I424" s="271">
        <f>F424+G424+H424</f>
        <v>0</v>
      </c>
      <c r="J424" s="305"/>
      <c r="K424" s="230"/>
      <c r="L424" s="271">
        <f>I424+J424+K424</f>
        <v>0</v>
      </c>
      <c r="M424" s="21"/>
      <c r="N424" s="7"/>
      <c r="O424" s="22">
        <f>L424+M424+N424</f>
        <v>0</v>
      </c>
      <c r="P424" s="75"/>
      <c r="Q424" s="73">
        <f>O424+P424</f>
        <v>0</v>
      </c>
      <c r="R424" s="87"/>
    </row>
    <row r="425" spans="1:18" ht="12.75" hidden="1">
      <c r="A425" s="36" t="s">
        <v>76</v>
      </c>
      <c r="B425" s="95"/>
      <c r="C425" s="157"/>
      <c r="D425" s="116"/>
      <c r="E425" s="214"/>
      <c r="F425" s="224">
        <f>C425+D425+E425</f>
        <v>0</v>
      </c>
      <c r="G425" s="241"/>
      <c r="H425" s="242"/>
      <c r="I425" s="276">
        <f>F425+G425+H425</f>
        <v>0</v>
      </c>
      <c r="J425" s="305"/>
      <c r="K425" s="230"/>
      <c r="L425" s="271">
        <f>I425+J425+K425</f>
        <v>0</v>
      </c>
      <c r="M425" s="21"/>
      <c r="N425" s="7"/>
      <c r="O425" s="22">
        <f>L425+M425+N425</f>
        <v>0</v>
      </c>
      <c r="P425" s="75"/>
      <c r="Q425" s="73">
        <f>O425+P425</f>
        <v>0</v>
      </c>
      <c r="R425" s="87"/>
    </row>
    <row r="426" spans="1:18" ht="12.75">
      <c r="A426" s="34" t="s">
        <v>318</v>
      </c>
      <c r="B426" s="96"/>
      <c r="C426" s="142">
        <f aca="true" t="shared" si="116" ref="C426:Q426">C427+C441</f>
        <v>7686.07</v>
      </c>
      <c r="D426" s="107">
        <f t="shared" si="116"/>
        <v>6649.75</v>
      </c>
      <c r="E426" s="143">
        <f t="shared" si="116"/>
        <v>0</v>
      </c>
      <c r="F426" s="187">
        <f t="shared" si="116"/>
        <v>14335.820000000002</v>
      </c>
      <c r="G426" s="227">
        <f t="shared" si="116"/>
        <v>1058.17</v>
      </c>
      <c r="H426" s="228">
        <f t="shared" si="116"/>
        <v>0</v>
      </c>
      <c r="I426" s="270">
        <f t="shared" si="116"/>
        <v>15393.990000000002</v>
      </c>
      <c r="J426" s="288">
        <f>J427+J441</f>
        <v>205.39</v>
      </c>
      <c r="K426" s="228">
        <f>K427+K441</f>
        <v>0</v>
      </c>
      <c r="L426" s="270">
        <f>L427+L441</f>
        <v>15599.380000000001</v>
      </c>
      <c r="M426" s="106">
        <f t="shared" si="116"/>
        <v>0</v>
      </c>
      <c r="N426" s="106">
        <f t="shared" si="116"/>
        <v>0</v>
      </c>
      <c r="O426" s="106">
        <f t="shared" si="116"/>
        <v>12805.69</v>
      </c>
      <c r="P426" s="106">
        <f t="shared" si="116"/>
        <v>0</v>
      </c>
      <c r="Q426" s="187">
        <f t="shared" si="116"/>
        <v>12805.69</v>
      </c>
      <c r="R426" s="87"/>
    </row>
    <row r="427" spans="1:18" ht="12.75">
      <c r="A427" s="39" t="s">
        <v>49</v>
      </c>
      <c r="B427" s="96"/>
      <c r="C427" s="156">
        <f aca="true" t="shared" si="117" ref="C427:Q427">SUM(C429:C440)</f>
        <v>7686.07</v>
      </c>
      <c r="D427" s="115">
        <f t="shared" si="117"/>
        <v>5678.88</v>
      </c>
      <c r="E427" s="173">
        <f t="shared" si="117"/>
        <v>0</v>
      </c>
      <c r="F427" s="192">
        <f t="shared" si="117"/>
        <v>13364.95</v>
      </c>
      <c r="G427" s="237">
        <f t="shared" si="117"/>
        <v>1058.17</v>
      </c>
      <c r="H427" s="238">
        <f t="shared" si="117"/>
        <v>-242</v>
      </c>
      <c r="I427" s="274">
        <f t="shared" si="117"/>
        <v>14181.12</v>
      </c>
      <c r="J427" s="278">
        <f>SUM(J429:J440)</f>
        <v>131</v>
      </c>
      <c r="K427" s="238">
        <f>SUM(K429:K440)</f>
        <v>0</v>
      </c>
      <c r="L427" s="274">
        <f>SUM(L429:L440)</f>
        <v>14312.12</v>
      </c>
      <c r="M427" s="114">
        <f t="shared" si="117"/>
        <v>0</v>
      </c>
      <c r="N427" s="114">
        <f t="shared" si="117"/>
        <v>0</v>
      </c>
      <c r="O427" s="114">
        <f t="shared" si="117"/>
        <v>11518.43</v>
      </c>
      <c r="P427" s="114">
        <f t="shared" si="117"/>
        <v>0</v>
      </c>
      <c r="Q427" s="192">
        <f t="shared" si="117"/>
        <v>11518.43</v>
      </c>
      <c r="R427" s="87"/>
    </row>
    <row r="428" spans="1:18" ht="12.75">
      <c r="A428" s="35" t="s">
        <v>26</v>
      </c>
      <c r="B428" s="92"/>
      <c r="C428" s="135"/>
      <c r="D428" s="108"/>
      <c r="E428" s="136"/>
      <c r="F428" s="187"/>
      <c r="G428" s="229"/>
      <c r="H428" s="230"/>
      <c r="I428" s="270"/>
      <c r="J428" s="305"/>
      <c r="K428" s="230"/>
      <c r="L428" s="270"/>
      <c r="M428" s="21"/>
      <c r="N428" s="7"/>
      <c r="O428" s="20"/>
      <c r="P428" s="75"/>
      <c r="Q428" s="73"/>
      <c r="R428" s="87"/>
    </row>
    <row r="429" spans="1:18" ht="12.75">
      <c r="A429" s="33" t="s">
        <v>51</v>
      </c>
      <c r="B429" s="92"/>
      <c r="C429" s="135">
        <v>7686.07</v>
      </c>
      <c r="D429" s="108">
        <f>500+486.2</f>
        <v>986.2</v>
      </c>
      <c r="E429" s="136"/>
      <c r="F429" s="188">
        <f aca="true" t="shared" si="118" ref="F429:F440">C429+D429+E429</f>
        <v>8672.27</v>
      </c>
      <c r="G429" s="229">
        <f>99.48</f>
        <v>99.48</v>
      </c>
      <c r="H429" s="230">
        <f>-242</f>
        <v>-242</v>
      </c>
      <c r="I429" s="271">
        <f>F429+G429+H429</f>
        <v>8529.75</v>
      </c>
      <c r="J429" s="305">
        <f>131</f>
        <v>131</v>
      </c>
      <c r="K429" s="230"/>
      <c r="L429" s="271">
        <f>I429+J429+K429</f>
        <v>8660.75</v>
      </c>
      <c r="M429" s="21"/>
      <c r="N429" s="7"/>
      <c r="O429" s="22">
        <f>L429+M429+N429</f>
        <v>8660.75</v>
      </c>
      <c r="P429" s="75"/>
      <c r="Q429" s="73">
        <f>O429+P429</f>
        <v>8660.75</v>
      </c>
      <c r="R429" s="87"/>
    </row>
    <row r="430" spans="1:18" ht="12.75" hidden="1">
      <c r="A430" s="37" t="s">
        <v>201</v>
      </c>
      <c r="B430" s="92"/>
      <c r="C430" s="135"/>
      <c r="D430" s="108"/>
      <c r="E430" s="136"/>
      <c r="F430" s="188">
        <f t="shared" si="118"/>
        <v>0</v>
      </c>
      <c r="G430" s="229"/>
      <c r="H430" s="230"/>
      <c r="I430" s="271">
        <f aca="true" t="shared" si="119" ref="I430:I440">F430+G430+H430</f>
        <v>0</v>
      </c>
      <c r="J430" s="305"/>
      <c r="K430" s="230"/>
      <c r="L430" s="271">
        <f aca="true" t="shared" si="120" ref="L430:L439">I430+J430+K430</f>
        <v>0</v>
      </c>
      <c r="M430" s="21"/>
      <c r="N430" s="7"/>
      <c r="O430" s="22">
        <f aca="true" t="shared" si="121" ref="O430:O435">L430+M430+N430</f>
        <v>0</v>
      </c>
      <c r="P430" s="75"/>
      <c r="Q430" s="73">
        <f>O430+P430</f>
        <v>0</v>
      </c>
      <c r="R430" s="87"/>
    </row>
    <row r="431" spans="1:18" ht="12.75" hidden="1">
      <c r="A431" s="37" t="s">
        <v>202</v>
      </c>
      <c r="B431" s="92"/>
      <c r="C431" s="135"/>
      <c r="D431" s="108"/>
      <c r="E431" s="136"/>
      <c r="F431" s="188">
        <f t="shared" si="118"/>
        <v>0</v>
      </c>
      <c r="G431" s="229"/>
      <c r="H431" s="230"/>
      <c r="I431" s="271">
        <f t="shared" si="119"/>
        <v>0</v>
      </c>
      <c r="J431" s="305"/>
      <c r="K431" s="230"/>
      <c r="L431" s="271">
        <f t="shared" si="120"/>
        <v>0</v>
      </c>
      <c r="M431" s="21"/>
      <c r="N431" s="7"/>
      <c r="O431" s="22"/>
      <c r="P431" s="75"/>
      <c r="Q431" s="73"/>
      <c r="R431" s="87"/>
    </row>
    <row r="432" spans="1:18" ht="12.75" hidden="1">
      <c r="A432" s="37" t="s">
        <v>205</v>
      </c>
      <c r="B432" s="92">
        <v>1400</v>
      </c>
      <c r="C432" s="135"/>
      <c r="D432" s="119"/>
      <c r="E432" s="136"/>
      <c r="F432" s="188">
        <f t="shared" si="118"/>
        <v>0</v>
      </c>
      <c r="G432" s="229"/>
      <c r="H432" s="230"/>
      <c r="I432" s="271">
        <f t="shared" si="119"/>
        <v>0</v>
      </c>
      <c r="J432" s="305"/>
      <c r="K432" s="230"/>
      <c r="L432" s="271">
        <f t="shared" si="120"/>
        <v>0</v>
      </c>
      <c r="M432" s="21"/>
      <c r="N432" s="7"/>
      <c r="O432" s="22"/>
      <c r="P432" s="75"/>
      <c r="Q432" s="73"/>
      <c r="R432" s="87"/>
    </row>
    <row r="433" spans="1:18" ht="12.75">
      <c r="A433" s="33" t="s">
        <v>76</v>
      </c>
      <c r="B433" s="92"/>
      <c r="C433" s="135"/>
      <c r="D433" s="126">
        <f>400+2441.18+16.5</f>
        <v>2857.68</v>
      </c>
      <c r="E433" s="136"/>
      <c r="F433" s="188">
        <f t="shared" si="118"/>
        <v>2857.68</v>
      </c>
      <c r="G433" s="229"/>
      <c r="H433" s="230"/>
      <c r="I433" s="271">
        <f t="shared" si="119"/>
        <v>2857.68</v>
      </c>
      <c r="J433" s="305"/>
      <c r="K433" s="230"/>
      <c r="L433" s="271">
        <f t="shared" si="120"/>
        <v>2857.68</v>
      </c>
      <c r="M433" s="21"/>
      <c r="N433" s="7"/>
      <c r="O433" s="22">
        <f t="shared" si="121"/>
        <v>2857.68</v>
      </c>
      <c r="P433" s="75"/>
      <c r="Q433" s="73">
        <f>O433+P433</f>
        <v>2857.68</v>
      </c>
      <c r="R433" s="87"/>
    </row>
    <row r="434" spans="1:18" ht="12.75" hidden="1">
      <c r="A434" s="33" t="s">
        <v>65</v>
      </c>
      <c r="B434" s="92"/>
      <c r="C434" s="135"/>
      <c r="D434" s="108"/>
      <c r="E434" s="136"/>
      <c r="F434" s="188">
        <f t="shared" si="118"/>
        <v>0</v>
      </c>
      <c r="G434" s="229"/>
      <c r="H434" s="230"/>
      <c r="I434" s="271">
        <f t="shared" si="119"/>
        <v>0</v>
      </c>
      <c r="J434" s="307"/>
      <c r="K434" s="230"/>
      <c r="L434" s="271">
        <f t="shared" si="120"/>
        <v>0</v>
      </c>
      <c r="M434" s="21"/>
      <c r="N434" s="7"/>
      <c r="O434" s="22">
        <f t="shared" si="121"/>
        <v>0</v>
      </c>
      <c r="P434" s="75"/>
      <c r="Q434" s="73">
        <f>O434+P434</f>
        <v>0</v>
      </c>
      <c r="R434" s="87"/>
    </row>
    <row r="435" spans="1:18" ht="12.75" hidden="1">
      <c r="A435" s="33" t="s">
        <v>158</v>
      </c>
      <c r="B435" s="92"/>
      <c r="C435" s="135"/>
      <c r="D435" s="108"/>
      <c r="E435" s="136"/>
      <c r="F435" s="188">
        <f t="shared" si="118"/>
        <v>0</v>
      </c>
      <c r="G435" s="229"/>
      <c r="H435" s="230"/>
      <c r="I435" s="271">
        <f t="shared" si="119"/>
        <v>0</v>
      </c>
      <c r="J435" s="307"/>
      <c r="K435" s="230"/>
      <c r="L435" s="271">
        <f t="shared" si="120"/>
        <v>0</v>
      </c>
      <c r="M435" s="21"/>
      <c r="N435" s="7"/>
      <c r="O435" s="22">
        <f t="shared" si="121"/>
        <v>0</v>
      </c>
      <c r="P435" s="75"/>
      <c r="Q435" s="73">
        <f>O435+P435</f>
        <v>0</v>
      </c>
      <c r="R435" s="87"/>
    </row>
    <row r="436" spans="1:18" ht="12.75">
      <c r="A436" s="33" t="s">
        <v>293</v>
      </c>
      <c r="B436" s="92">
        <v>14034</v>
      </c>
      <c r="C436" s="135"/>
      <c r="D436" s="108">
        <f>1835</f>
        <v>1835</v>
      </c>
      <c r="E436" s="136"/>
      <c r="F436" s="188">
        <f t="shared" si="118"/>
        <v>1835</v>
      </c>
      <c r="G436" s="229"/>
      <c r="H436" s="230"/>
      <c r="I436" s="271">
        <f t="shared" si="119"/>
        <v>1835</v>
      </c>
      <c r="J436" s="307"/>
      <c r="K436" s="230"/>
      <c r="L436" s="271">
        <f t="shared" si="120"/>
        <v>1835</v>
      </c>
      <c r="M436" s="21"/>
      <c r="N436" s="7"/>
      <c r="O436" s="22"/>
      <c r="P436" s="75"/>
      <c r="Q436" s="73"/>
      <c r="R436" s="87"/>
    </row>
    <row r="437" spans="1:18" ht="12.75" hidden="1">
      <c r="A437" s="33" t="s">
        <v>250</v>
      </c>
      <c r="B437" s="92">
        <v>98035</v>
      </c>
      <c r="C437" s="135"/>
      <c r="D437" s="108"/>
      <c r="E437" s="136"/>
      <c r="F437" s="188">
        <f t="shared" si="118"/>
        <v>0</v>
      </c>
      <c r="G437" s="229"/>
      <c r="H437" s="230"/>
      <c r="I437" s="271">
        <f t="shared" si="119"/>
        <v>0</v>
      </c>
      <c r="J437" s="307"/>
      <c r="K437" s="230"/>
      <c r="L437" s="271">
        <f t="shared" si="120"/>
        <v>0</v>
      </c>
      <c r="M437" s="21"/>
      <c r="N437" s="7"/>
      <c r="O437" s="22"/>
      <c r="P437" s="75"/>
      <c r="Q437" s="73"/>
      <c r="R437" s="87"/>
    </row>
    <row r="438" spans="1:18" ht="12.75" hidden="1">
      <c r="A438" s="33" t="s">
        <v>372</v>
      </c>
      <c r="B438" s="92">
        <v>17055</v>
      </c>
      <c r="C438" s="135"/>
      <c r="D438" s="108"/>
      <c r="E438" s="136"/>
      <c r="F438" s="188"/>
      <c r="G438" s="229"/>
      <c r="H438" s="230"/>
      <c r="I438" s="271">
        <f t="shared" si="119"/>
        <v>0</v>
      </c>
      <c r="J438" s="307"/>
      <c r="K438" s="230"/>
      <c r="L438" s="271">
        <f t="shared" si="120"/>
        <v>0</v>
      </c>
      <c r="M438" s="21"/>
      <c r="N438" s="7"/>
      <c r="O438" s="22"/>
      <c r="P438" s="75"/>
      <c r="Q438" s="73"/>
      <c r="R438" s="87"/>
    </row>
    <row r="439" spans="1:18" ht="12.75">
      <c r="A439" s="33" t="s">
        <v>354</v>
      </c>
      <c r="B439" s="149" t="s">
        <v>231</v>
      </c>
      <c r="C439" s="135"/>
      <c r="D439" s="108"/>
      <c r="E439" s="136"/>
      <c r="F439" s="188">
        <f t="shared" si="118"/>
        <v>0</v>
      </c>
      <c r="G439" s="229">
        <f>958.69</f>
        <v>958.69</v>
      </c>
      <c r="H439" s="230"/>
      <c r="I439" s="271">
        <f t="shared" si="119"/>
        <v>958.69</v>
      </c>
      <c r="J439" s="307"/>
      <c r="K439" s="230"/>
      <c r="L439" s="271">
        <f t="shared" si="120"/>
        <v>958.69</v>
      </c>
      <c r="M439" s="21"/>
      <c r="N439" s="7"/>
      <c r="O439" s="22"/>
      <c r="P439" s="75"/>
      <c r="Q439" s="73"/>
      <c r="R439" s="87"/>
    </row>
    <row r="440" spans="1:18" ht="12.75">
      <c r="A440" s="33" t="s">
        <v>230</v>
      </c>
      <c r="B440" s="92">
        <v>33064</v>
      </c>
      <c r="C440" s="135"/>
      <c r="D440" s="108"/>
      <c r="E440" s="136"/>
      <c r="F440" s="188">
        <f t="shared" si="118"/>
        <v>0</v>
      </c>
      <c r="G440" s="229"/>
      <c r="H440" s="230"/>
      <c r="I440" s="271">
        <f t="shared" si="119"/>
        <v>0</v>
      </c>
      <c r="J440" s="307"/>
      <c r="K440" s="230"/>
      <c r="L440" s="271"/>
      <c r="M440" s="21"/>
      <c r="N440" s="7"/>
      <c r="O440" s="22"/>
      <c r="P440" s="75"/>
      <c r="Q440" s="73"/>
      <c r="R440" s="87"/>
    </row>
    <row r="441" spans="1:18" ht="12.75">
      <c r="A441" s="39" t="s">
        <v>54</v>
      </c>
      <c r="B441" s="96"/>
      <c r="C441" s="156">
        <f>SUM(C443:C449)</f>
        <v>0</v>
      </c>
      <c r="D441" s="115">
        <f aca="true" t="shared" si="122" ref="D441:Q441">SUM(D443:D449)</f>
        <v>970.87</v>
      </c>
      <c r="E441" s="173">
        <f t="shared" si="122"/>
        <v>0</v>
      </c>
      <c r="F441" s="192">
        <f t="shared" si="122"/>
        <v>970.87</v>
      </c>
      <c r="G441" s="237">
        <f t="shared" si="122"/>
        <v>0</v>
      </c>
      <c r="H441" s="238">
        <f t="shared" si="122"/>
        <v>242</v>
      </c>
      <c r="I441" s="274">
        <f t="shared" si="122"/>
        <v>1212.87</v>
      </c>
      <c r="J441" s="278">
        <f t="shared" si="122"/>
        <v>74.39</v>
      </c>
      <c r="K441" s="238">
        <f t="shared" si="122"/>
        <v>0</v>
      </c>
      <c r="L441" s="274">
        <f t="shared" si="122"/>
        <v>1287.26</v>
      </c>
      <c r="M441" s="114">
        <f t="shared" si="122"/>
        <v>0</v>
      </c>
      <c r="N441" s="114">
        <f t="shared" si="122"/>
        <v>0</v>
      </c>
      <c r="O441" s="114">
        <f t="shared" si="122"/>
        <v>1287.26</v>
      </c>
      <c r="P441" s="114">
        <f t="shared" si="122"/>
        <v>0</v>
      </c>
      <c r="Q441" s="192">
        <f t="shared" si="122"/>
        <v>1287.26</v>
      </c>
      <c r="R441" s="87"/>
    </row>
    <row r="442" spans="1:18" ht="12.75">
      <c r="A442" s="35" t="s">
        <v>26</v>
      </c>
      <c r="B442" s="92"/>
      <c r="C442" s="135"/>
      <c r="D442" s="108"/>
      <c r="E442" s="136"/>
      <c r="F442" s="188"/>
      <c r="G442" s="229"/>
      <c r="H442" s="230"/>
      <c r="I442" s="271"/>
      <c r="J442" s="305"/>
      <c r="K442" s="230"/>
      <c r="L442" s="271"/>
      <c r="M442" s="21"/>
      <c r="N442" s="7"/>
      <c r="O442" s="22"/>
      <c r="P442" s="75"/>
      <c r="Q442" s="73"/>
      <c r="R442" s="87"/>
    </row>
    <row r="443" spans="1:18" ht="12.75" hidden="1">
      <c r="A443" s="37" t="s">
        <v>69</v>
      </c>
      <c r="B443" s="92"/>
      <c r="C443" s="135"/>
      <c r="D443" s="108"/>
      <c r="E443" s="136"/>
      <c r="F443" s="188">
        <f aca="true" t="shared" si="123" ref="F443:F449">C443+D443+E443</f>
        <v>0</v>
      </c>
      <c r="G443" s="229"/>
      <c r="H443" s="230"/>
      <c r="I443" s="271">
        <f aca="true" t="shared" si="124" ref="I443:I449">F443+G443+H443</f>
        <v>0</v>
      </c>
      <c r="J443" s="305"/>
      <c r="K443" s="230"/>
      <c r="L443" s="271">
        <f>I443+J443+K443</f>
        <v>0</v>
      </c>
      <c r="M443" s="21"/>
      <c r="N443" s="7"/>
      <c r="O443" s="22">
        <f>L443+M443+N443</f>
        <v>0</v>
      </c>
      <c r="P443" s="75"/>
      <c r="Q443" s="73">
        <f>O443+P443</f>
        <v>0</v>
      </c>
      <c r="R443" s="87"/>
    </row>
    <row r="444" spans="1:18" ht="12.75" hidden="1">
      <c r="A444" s="37" t="s">
        <v>188</v>
      </c>
      <c r="B444" s="92"/>
      <c r="C444" s="135"/>
      <c r="D444" s="108"/>
      <c r="E444" s="136"/>
      <c r="F444" s="188">
        <f t="shared" si="123"/>
        <v>0</v>
      </c>
      <c r="G444" s="229"/>
      <c r="H444" s="230"/>
      <c r="I444" s="271">
        <f t="shared" si="124"/>
        <v>0</v>
      </c>
      <c r="J444" s="305"/>
      <c r="K444" s="230"/>
      <c r="L444" s="271"/>
      <c r="M444" s="21"/>
      <c r="N444" s="7"/>
      <c r="O444" s="22"/>
      <c r="P444" s="75"/>
      <c r="Q444" s="73"/>
      <c r="R444" s="87"/>
    </row>
    <row r="445" spans="1:18" ht="12.75" hidden="1">
      <c r="A445" s="37" t="s">
        <v>189</v>
      </c>
      <c r="B445" s="92"/>
      <c r="C445" s="135"/>
      <c r="D445" s="108"/>
      <c r="E445" s="136"/>
      <c r="F445" s="188">
        <f t="shared" si="123"/>
        <v>0</v>
      </c>
      <c r="G445" s="229"/>
      <c r="H445" s="230"/>
      <c r="I445" s="271">
        <f t="shared" si="124"/>
        <v>0</v>
      </c>
      <c r="J445" s="305"/>
      <c r="K445" s="230"/>
      <c r="L445" s="271"/>
      <c r="M445" s="21"/>
      <c r="N445" s="7"/>
      <c r="O445" s="22"/>
      <c r="P445" s="75"/>
      <c r="Q445" s="73"/>
      <c r="R445" s="87"/>
    </row>
    <row r="446" spans="1:18" ht="12.75" hidden="1">
      <c r="A446" s="37" t="s">
        <v>180</v>
      </c>
      <c r="B446" s="92"/>
      <c r="C446" s="135"/>
      <c r="D446" s="108"/>
      <c r="E446" s="136"/>
      <c r="F446" s="188">
        <f t="shared" si="123"/>
        <v>0</v>
      </c>
      <c r="G446" s="229"/>
      <c r="H446" s="230"/>
      <c r="I446" s="271">
        <f t="shared" si="124"/>
        <v>0</v>
      </c>
      <c r="J446" s="305"/>
      <c r="K446" s="230"/>
      <c r="L446" s="271"/>
      <c r="M446" s="21"/>
      <c r="N446" s="7"/>
      <c r="O446" s="22"/>
      <c r="P446" s="75"/>
      <c r="Q446" s="73"/>
      <c r="R446" s="87"/>
    </row>
    <row r="447" spans="1:18" ht="12.75" hidden="1">
      <c r="A447" s="33" t="s">
        <v>55</v>
      </c>
      <c r="B447" s="92"/>
      <c r="C447" s="135"/>
      <c r="D447" s="108"/>
      <c r="E447" s="136"/>
      <c r="F447" s="188">
        <f t="shared" si="123"/>
        <v>0</v>
      </c>
      <c r="G447" s="229"/>
      <c r="H447" s="230"/>
      <c r="I447" s="271">
        <f t="shared" si="124"/>
        <v>0</v>
      </c>
      <c r="J447" s="305"/>
      <c r="K447" s="230"/>
      <c r="L447" s="271">
        <f>I447+J447+K447</f>
        <v>0</v>
      </c>
      <c r="M447" s="21"/>
      <c r="N447" s="7"/>
      <c r="O447" s="22">
        <f>L447+M447+N447</f>
        <v>0</v>
      </c>
      <c r="P447" s="75"/>
      <c r="Q447" s="73">
        <f>O447+P447</f>
        <v>0</v>
      </c>
      <c r="R447" s="87"/>
    </row>
    <row r="448" spans="1:18" ht="12.75">
      <c r="A448" s="33" t="s">
        <v>76</v>
      </c>
      <c r="B448" s="92"/>
      <c r="C448" s="135"/>
      <c r="D448" s="108">
        <f>970.87</f>
        <v>970.87</v>
      </c>
      <c r="E448" s="136"/>
      <c r="F448" s="188">
        <f t="shared" si="123"/>
        <v>970.87</v>
      </c>
      <c r="G448" s="229"/>
      <c r="H448" s="230"/>
      <c r="I448" s="271">
        <f t="shared" si="124"/>
        <v>970.87</v>
      </c>
      <c r="J448" s="305">
        <f>74.39</f>
        <v>74.39</v>
      </c>
      <c r="K448" s="230"/>
      <c r="L448" s="271">
        <f>I448+J448+K448</f>
        <v>1045.26</v>
      </c>
      <c r="M448" s="21"/>
      <c r="N448" s="7"/>
      <c r="O448" s="22">
        <f>L448+M448+N448</f>
        <v>1045.26</v>
      </c>
      <c r="P448" s="75"/>
      <c r="Q448" s="73">
        <f>O448+P448</f>
        <v>1045.26</v>
      </c>
      <c r="R448" s="87"/>
    </row>
    <row r="449" spans="1:18" ht="12.75">
      <c r="A449" s="207" t="s">
        <v>362</v>
      </c>
      <c r="B449" s="95"/>
      <c r="C449" s="157"/>
      <c r="D449" s="116"/>
      <c r="E449" s="214"/>
      <c r="F449" s="224">
        <f t="shared" si="123"/>
        <v>0</v>
      </c>
      <c r="G449" s="241"/>
      <c r="H449" s="242">
        <f>242</f>
        <v>242</v>
      </c>
      <c r="I449" s="276">
        <f t="shared" si="124"/>
        <v>242</v>
      </c>
      <c r="J449" s="310"/>
      <c r="K449" s="242"/>
      <c r="L449" s="276">
        <f>I449+J449+K449</f>
        <v>242</v>
      </c>
      <c r="M449" s="25"/>
      <c r="N449" s="10"/>
      <c r="O449" s="26">
        <f>L449+M449+N449</f>
        <v>242</v>
      </c>
      <c r="P449" s="78"/>
      <c r="Q449" s="79">
        <f>O449+P449</f>
        <v>242</v>
      </c>
      <c r="R449" s="87"/>
    </row>
    <row r="450" spans="1:18" ht="12.75">
      <c r="A450" s="30" t="s">
        <v>95</v>
      </c>
      <c r="B450" s="96"/>
      <c r="C450" s="142">
        <f>C451+C454</f>
        <v>3304.9</v>
      </c>
      <c r="D450" s="107">
        <f aca="true" t="shared" si="125" ref="D450:Q450">D451+D454</f>
        <v>0</v>
      </c>
      <c r="E450" s="143">
        <f t="shared" si="125"/>
        <v>0</v>
      </c>
      <c r="F450" s="187">
        <f t="shared" si="125"/>
        <v>3304.9</v>
      </c>
      <c r="G450" s="227">
        <f t="shared" si="125"/>
        <v>0</v>
      </c>
      <c r="H450" s="228">
        <f t="shared" si="125"/>
        <v>0</v>
      </c>
      <c r="I450" s="270">
        <f t="shared" si="125"/>
        <v>3304.9</v>
      </c>
      <c r="J450" s="288">
        <f>J451+J454</f>
        <v>0</v>
      </c>
      <c r="K450" s="228">
        <f>K451+K454</f>
        <v>0</v>
      </c>
      <c r="L450" s="270">
        <f>L451+L454</f>
        <v>3304.9</v>
      </c>
      <c r="M450" s="106">
        <f t="shared" si="125"/>
        <v>0</v>
      </c>
      <c r="N450" s="106">
        <f t="shared" si="125"/>
        <v>0</v>
      </c>
      <c r="O450" s="106">
        <f t="shared" si="125"/>
        <v>3304.9</v>
      </c>
      <c r="P450" s="106">
        <f t="shared" si="125"/>
        <v>0</v>
      </c>
      <c r="Q450" s="187">
        <f t="shared" si="125"/>
        <v>3304.9</v>
      </c>
      <c r="R450" s="87"/>
    </row>
    <row r="451" spans="1:18" ht="12.75">
      <c r="A451" s="39" t="s">
        <v>49</v>
      </c>
      <c r="B451" s="96"/>
      <c r="C451" s="156">
        <f>SUM(C453:C453)</f>
        <v>3304.9</v>
      </c>
      <c r="D451" s="115">
        <f aca="true" t="shared" si="126" ref="D451:Q451">SUM(D453:D453)</f>
        <v>0</v>
      </c>
      <c r="E451" s="173">
        <f t="shared" si="126"/>
        <v>0</v>
      </c>
      <c r="F451" s="192">
        <f t="shared" si="126"/>
        <v>3304.9</v>
      </c>
      <c r="G451" s="237">
        <f t="shared" si="126"/>
        <v>0</v>
      </c>
      <c r="H451" s="238">
        <f t="shared" si="126"/>
        <v>0</v>
      </c>
      <c r="I451" s="274">
        <f t="shared" si="126"/>
        <v>3304.9</v>
      </c>
      <c r="J451" s="278">
        <f>SUM(J453:J453)</f>
        <v>0</v>
      </c>
      <c r="K451" s="238">
        <f>SUM(K453:K453)</f>
        <v>0</v>
      </c>
      <c r="L451" s="274">
        <f>SUM(L453:L453)</f>
        <v>3304.9</v>
      </c>
      <c r="M451" s="114">
        <f t="shared" si="126"/>
        <v>0</v>
      </c>
      <c r="N451" s="114">
        <f t="shared" si="126"/>
        <v>0</v>
      </c>
      <c r="O451" s="114">
        <f t="shared" si="126"/>
        <v>3304.9</v>
      </c>
      <c r="P451" s="114">
        <f t="shared" si="126"/>
        <v>0</v>
      </c>
      <c r="Q451" s="192">
        <f t="shared" si="126"/>
        <v>3304.9</v>
      </c>
      <c r="R451" s="87"/>
    </row>
    <row r="452" spans="1:18" ht="12.75">
      <c r="A452" s="35" t="s">
        <v>26</v>
      </c>
      <c r="B452" s="92"/>
      <c r="C452" s="135"/>
      <c r="D452" s="108"/>
      <c r="E452" s="136"/>
      <c r="F452" s="187"/>
      <c r="G452" s="229"/>
      <c r="H452" s="230"/>
      <c r="I452" s="270"/>
      <c r="J452" s="305"/>
      <c r="K452" s="230"/>
      <c r="L452" s="270"/>
      <c r="M452" s="21"/>
      <c r="N452" s="7"/>
      <c r="O452" s="20"/>
      <c r="P452" s="75"/>
      <c r="Q452" s="73"/>
      <c r="R452" s="87"/>
    </row>
    <row r="453" spans="1:18" ht="12.75">
      <c r="A453" s="36" t="s">
        <v>51</v>
      </c>
      <c r="B453" s="95"/>
      <c r="C453" s="160">
        <v>3304.9</v>
      </c>
      <c r="D453" s="116"/>
      <c r="E453" s="214"/>
      <c r="F453" s="224">
        <f>C453+D453+E453</f>
        <v>3304.9</v>
      </c>
      <c r="G453" s="241"/>
      <c r="H453" s="242"/>
      <c r="I453" s="276">
        <f>F453+G453+H453</f>
        <v>3304.9</v>
      </c>
      <c r="J453" s="309"/>
      <c r="K453" s="242"/>
      <c r="L453" s="276">
        <f>I453+J453+K453</f>
        <v>3304.9</v>
      </c>
      <c r="M453" s="21"/>
      <c r="N453" s="7"/>
      <c r="O453" s="22">
        <f>L453+M453+N453</f>
        <v>3304.9</v>
      </c>
      <c r="P453" s="75"/>
      <c r="Q453" s="73">
        <f>O453+P453</f>
        <v>3304.9</v>
      </c>
      <c r="R453" s="87"/>
    </row>
    <row r="454" spans="1:18" ht="12.75" hidden="1">
      <c r="A454" s="39" t="s">
        <v>54</v>
      </c>
      <c r="B454" s="96"/>
      <c r="C454" s="156">
        <f aca="true" t="shared" si="127" ref="C454:Q454">SUM(C456:C456)</f>
        <v>0</v>
      </c>
      <c r="D454" s="115">
        <f t="shared" si="127"/>
        <v>0</v>
      </c>
      <c r="E454" s="173">
        <f t="shared" si="127"/>
        <v>0</v>
      </c>
      <c r="F454" s="192">
        <f t="shared" si="127"/>
        <v>0</v>
      </c>
      <c r="G454" s="237">
        <f t="shared" si="127"/>
        <v>0</v>
      </c>
      <c r="H454" s="238">
        <f t="shared" si="127"/>
        <v>0</v>
      </c>
      <c r="I454" s="274">
        <f t="shared" si="127"/>
        <v>0</v>
      </c>
      <c r="J454" s="311">
        <f t="shared" si="127"/>
        <v>0</v>
      </c>
      <c r="K454" s="238">
        <f t="shared" si="127"/>
        <v>0</v>
      </c>
      <c r="L454" s="274">
        <f t="shared" si="127"/>
        <v>0</v>
      </c>
      <c r="M454" s="114">
        <f t="shared" si="127"/>
        <v>0</v>
      </c>
      <c r="N454" s="114">
        <f t="shared" si="127"/>
        <v>0</v>
      </c>
      <c r="O454" s="114">
        <f t="shared" si="127"/>
        <v>0</v>
      </c>
      <c r="P454" s="114">
        <f t="shared" si="127"/>
        <v>0</v>
      </c>
      <c r="Q454" s="192">
        <f t="shared" si="127"/>
        <v>0</v>
      </c>
      <c r="R454" s="87"/>
    </row>
    <row r="455" spans="1:18" ht="12.75" hidden="1">
      <c r="A455" s="35" t="s">
        <v>26</v>
      </c>
      <c r="B455" s="92"/>
      <c r="C455" s="135"/>
      <c r="D455" s="108"/>
      <c r="E455" s="136"/>
      <c r="F455" s="188"/>
      <c r="G455" s="229"/>
      <c r="H455" s="230"/>
      <c r="I455" s="271"/>
      <c r="J455" s="305"/>
      <c r="K455" s="230"/>
      <c r="L455" s="271"/>
      <c r="M455" s="21"/>
      <c r="N455" s="7"/>
      <c r="O455" s="22"/>
      <c r="P455" s="75"/>
      <c r="Q455" s="73"/>
      <c r="R455" s="87"/>
    </row>
    <row r="456" spans="1:18" ht="12.75" hidden="1">
      <c r="A456" s="36" t="s">
        <v>55</v>
      </c>
      <c r="B456" s="95"/>
      <c r="C456" s="157"/>
      <c r="D456" s="116"/>
      <c r="E456" s="214"/>
      <c r="F456" s="224">
        <f>C456+D456+E456</f>
        <v>0</v>
      </c>
      <c r="G456" s="241"/>
      <c r="H456" s="242"/>
      <c r="I456" s="276">
        <f>F456+G456+H456</f>
        <v>0</v>
      </c>
      <c r="J456" s="310"/>
      <c r="K456" s="242"/>
      <c r="L456" s="276">
        <f>I456+J456+K456</f>
        <v>0</v>
      </c>
      <c r="M456" s="25"/>
      <c r="N456" s="10"/>
      <c r="O456" s="26">
        <f>L456+M456+N456</f>
        <v>0</v>
      </c>
      <c r="P456" s="78"/>
      <c r="Q456" s="79">
        <f>O456+P456</f>
        <v>0</v>
      </c>
      <c r="R456" s="87"/>
    </row>
    <row r="457" spans="1:18" ht="12.75">
      <c r="A457" s="30" t="s">
        <v>96</v>
      </c>
      <c r="B457" s="96"/>
      <c r="C457" s="142">
        <f aca="true" t="shared" si="128" ref="C457:Q457">C458</f>
        <v>39795.34</v>
      </c>
      <c r="D457" s="107">
        <f t="shared" si="128"/>
        <v>45884.28</v>
      </c>
      <c r="E457" s="143">
        <f t="shared" si="128"/>
        <v>0</v>
      </c>
      <c r="F457" s="187">
        <f t="shared" si="128"/>
        <v>85679.62000000001</v>
      </c>
      <c r="G457" s="227">
        <f t="shared" si="128"/>
        <v>12516.16</v>
      </c>
      <c r="H457" s="228">
        <f t="shared" si="128"/>
        <v>20518.21</v>
      </c>
      <c r="I457" s="270">
        <f t="shared" si="128"/>
        <v>118713.99</v>
      </c>
      <c r="J457" s="288">
        <f t="shared" si="128"/>
        <v>56110.18</v>
      </c>
      <c r="K457" s="228">
        <f t="shared" si="128"/>
        <v>0</v>
      </c>
      <c r="L457" s="270">
        <f t="shared" si="128"/>
        <v>174824.16999999998</v>
      </c>
      <c r="M457" s="106">
        <f t="shared" si="128"/>
        <v>0</v>
      </c>
      <c r="N457" s="106">
        <f t="shared" si="128"/>
        <v>0</v>
      </c>
      <c r="O457" s="106">
        <f t="shared" si="128"/>
        <v>174824.16999999998</v>
      </c>
      <c r="P457" s="106">
        <f t="shared" si="128"/>
        <v>0</v>
      </c>
      <c r="Q457" s="187">
        <f t="shared" si="128"/>
        <v>174824.16999999998</v>
      </c>
      <c r="R457" s="87"/>
    </row>
    <row r="458" spans="1:18" ht="12.75">
      <c r="A458" s="39" t="s">
        <v>49</v>
      </c>
      <c r="B458" s="96"/>
      <c r="C458" s="156">
        <f>SUM(C460:C463)</f>
        <v>39795.34</v>
      </c>
      <c r="D458" s="115">
        <f aca="true" t="shared" si="129" ref="D458:Q458">SUM(D460:D463)</f>
        <v>45884.28</v>
      </c>
      <c r="E458" s="173">
        <f t="shared" si="129"/>
        <v>0</v>
      </c>
      <c r="F458" s="192">
        <f t="shared" si="129"/>
        <v>85679.62000000001</v>
      </c>
      <c r="G458" s="237">
        <f t="shared" si="129"/>
        <v>12516.16</v>
      </c>
      <c r="H458" s="238">
        <f t="shared" si="129"/>
        <v>20518.21</v>
      </c>
      <c r="I458" s="274">
        <f t="shared" si="129"/>
        <v>118713.99</v>
      </c>
      <c r="J458" s="278">
        <f>SUM(J460:J463)</f>
        <v>56110.18</v>
      </c>
      <c r="K458" s="238">
        <f>SUM(K460:K463)</f>
        <v>0</v>
      </c>
      <c r="L458" s="274">
        <f>SUM(L460:L463)</f>
        <v>174824.16999999998</v>
      </c>
      <c r="M458" s="114">
        <f t="shared" si="129"/>
        <v>0</v>
      </c>
      <c r="N458" s="114">
        <f t="shared" si="129"/>
        <v>0</v>
      </c>
      <c r="O458" s="114">
        <f t="shared" si="129"/>
        <v>174824.16999999998</v>
      </c>
      <c r="P458" s="114">
        <f t="shared" si="129"/>
        <v>0</v>
      </c>
      <c r="Q458" s="192">
        <f t="shared" si="129"/>
        <v>174824.16999999998</v>
      </c>
      <c r="R458" s="87"/>
    </row>
    <row r="459" spans="1:18" ht="12.75">
      <c r="A459" s="35" t="s">
        <v>26</v>
      </c>
      <c r="B459" s="92"/>
      <c r="C459" s="142"/>
      <c r="D459" s="107"/>
      <c r="E459" s="143"/>
      <c r="F459" s="187"/>
      <c r="G459" s="227"/>
      <c r="H459" s="228"/>
      <c r="I459" s="270"/>
      <c r="J459" s="304"/>
      <c r="K459" s="228"/>
      <c r="L459" s="270"/>
      <c r="M459" s="19"/>
      <c r="N459" s="6"/>
      <c r="O459" s="20"/>
      <c r="P459" s="75"/>
      <c r="Q459" s="73"/>
      <c r="R459" s="87"/>
    </row>
    <row r="460" spans="1:18" ht="12.75">
      <c r="A460" s="93" t="s">
        <v>190</v>
      </c>
      <c r="B460" s="92"/>
      <c r="C460" s="135">
        <v>4295.34</v>
      </c>
      <c r="D460" s="108">
        <f>712.32</f>
        <v>712.32</v>
      </c>
      <c r="E460" s="136"/>
      <c r="F460" s="188">
        <f>C460+D460+E460</f>
        <v>5007.66</v>
      </c>
      <c r="G460" s="229">
        <f>14179.66+195+61.35</f>
        <v>14436.01</v>
      </c>
      <c r="H460" s="230">
        <f>1947.07+18571.14</f>
        <v>20518.21</v>
      </c>
      <c r="I460" s="271">
        <f>F460+G460+H460</f>
        <v>39961.88</v>
      </c>
      <c r="J460" s="307">
        <f>55420.18+490+200</f>
        <v>56110.18</v>
      </c>
      <c r="K460" s="230"/>
      <c r="L460" s="271">
        <f>I460+J460+K460</f>
        <v>96072.06</v>
      </c>
      <c r="M460" s="21"/>
      <c r="N460" s="7"/>
      <c r="O460" s="22">
        <f>L460+M460+N460</f>
        <v>96072.06</v>
      </c>
      <c r="P460" s="75"/>
      <c r="Q460" s="73">
        <f>O460+P460</f>
        <v>96072.06</v>
      </c>
      <c r="R460" s="87"/>
    </row>
    <row r="461" spans="1:18" ht="12.75">
      <c r="A461" s="93" t="s">
        <v>97</v>
      </c>
      <c r="B461" s="92"/>
      <c r="C461" s="135"/>
      <c r="D461" s="119">
        <f>34675.19</f>
        <v>34675.19</v>
      </c>
      <c r="E461" s="136"/>
      <c r="F461" s="188">
        <f>C461+D461+E461</f>
        <v>34675.19</v>
      </c>
      <c r="G461" s="229">
        <f>-1919.85</f>
        <v>-1919.85</v>
      </c>
      <c r="H461" s="230"/>
      <c r="I461" s="271">
        <f>F461+G461+H461</f>
        <v>32755.340000000004</v>
      </c>
      <c r="J461" s="305"/>
      <c r="K461" s="230"/>
      <c r="L461" s="271">
        <f>I461+J461+K461</f>
        <v>32755.340000000004</v>
      </c>
      <c r="M461" s="21"/>
      <c r="N461" s="7"/>
      <c r="O461" s="22">
        <f>L461+M461+N461</f>
        <v>32755.340000000004</v>
      </c>
      <c r="P461" s="75"/>
      <c r="Q461" s="73">
        <f>O461+P461</f>
        <v>32755.340000000004</v>
      </c>
      <c r="R461" s="87"/>
    </row>
    <row r="462" spans="1:18" ht="12.75">
      <c r="A462" s="93" t="s">
        <v>98</v>
      </c>
      <c r="B462" s="92"/>
      <c r="C462" s="135"/>
      <c r="D462" s="108">
        <f>10496.77</f>
        <v>10496.77</v>
      </c>
      <c r="E462" s="136"/>
      <c r="F462" s="188">
        <f>C462+D462+E462</f>
        <v>10496.77</v>
      </c>
      <c r="G462" s="229"/>
      <c r="H462" s="230"/>
      <c r="I462" s="271">
        <f>F462+G462+H462</f>
        <v>10496.77</v>
      </c>
      <c r="J462" s="305"/>
      <c r="K462" s="230"/>
      <c r="L462" s="271">
        <f>I462+J462+K462</f>
        <v>10496.77</v>
      </c>
      <c r="M462" s="21"/>
      <c r="N462" s="7"/>
      <c r="O462" s="22">
        <f>L462+M462+N462</f>
        <v>10496.77</v>
      </c>
      <c r="P462" s="75"/>
      <c r="Q462" s="73">
        <f>O462+P462</f>
        <v>10496.77</v>
      </c>
      <c r="R462" s="87"/>
    </row>
    <row r="463" spans="1:18" ht="12.75">
      <c r="A463" s="36" t="s">
        <v>51</v>
      </c>
      <c r="B463" s="95"/>
      <c r="C463" s="157">
        <v>35500</v>
      </c>
      <c r="D463" s="116"/>
      <c r="E463" s="214"/>
      <c r="F463" s="224">
        <f>C463+D463+E463</f>
        <v>35500</v>
      </c>
      <c r="G463" s="241"/>
      <c r="H463" s="242"/>
      <c r="I463" s="276">
        <f>F463+G463+H463</f>
        <v>35500</v>
      </c>
      <c r="J463" s="310"/>
      <c r="K463" s="242"/>
      <c r="L463" s="276">
        <f>I463+J463+K463</f>
        <v>35500</v>
      </c>
      <c r="M463" s="25"/>
      <c r="N463" s="10"/>
      <c r="O463" s="26">
        <f>L463+M463+N463</f>
        <v>35500</v>
      </c>
      <c r="P463" s="78"/>
      <c r="Q463" s="79">
        <f>O463+P463</f>
        <v>35500</v>
      </c>
      <c r="R463" s="87"/>
    </row>
    <row r="464" spans="1:18" ht="12.75">
      <c r="A464" s="30" t="s">
        <v>166</v>
      </c>
      <c r="B464" s="96"/>
      <c r="C464" s="142">
        <f aca="true" t="shared" si="130" ref="C464:Q464">C465+C479</f>
        <v>85202</v>
      </c>
      <c r="D464" s="107">
        <f t="shared" si="130"/>
        <v>66390.33</v>
      </c>
      <c r="E464" s="143">
        <f t="shared" si="130"/>
        <v>2012</v>
      </c>
      <c r="F464" s="187">
        <f t="shared" si="130"/>
        <v>153604.33000000002</v>
      </c>
      <c r="G464" s="227">
        <f t="shared" si="130"/>
        <v>16442.07</v>
      </c>
      <c r="H464" s="228">
        <f t="shared" si="130"/>
        <v>25545.53</v>
      </c>
      <c r="I464" s="270">
        <f t="shared" si="130"/>
        <v>195591.93000000002</v>
      </c>
      <c r="J464" s="288">
        <f>J465+J479</f>
        <v>7853.919999999998</v>
      </c>
      <c r="K464" s="228">
        <f>K465+K479</f>
        <v>16850.79</v>
      </c>
      <c r="L464" s="270">
        <f>L465+L479</f>
        <v>220296.64</v>
      </c>
      <c r="M464" s="106">
        <f t="shared" si="130"/>
        <v>0</v>
      </c>
      <c r="N464" s="106">
        <f t="shared" si="130"/>
        <v>0</v>
      </c>
      <c r="O464" s="106">
        <f t="shared" si="130"/>
        <v>0</v>
      </c>
      <c r="P464" s="106">
        <f t="shared" si="130"/>
        <v>0</v>
      </c>
      <c r="Q464" s="187">
        <f t="shared" si="130"/>
        <v>0</v>
      </c>
      <c r="R464" s="87"/>
    </row>
    <row r="465" spans="1:18" ht="12.75">
      <c r="A465" s="39" t="s">
        <v>49</v>
      </c>
      <c r="B465" s="96"/>
      <c r="C465" s="156">
        <f>SUM(C467:C478)</f>
        <v>85202</v>
      </c>
      <c r="D465" s="115">
        <f>SUM(D467:D478)</f>
        <v>7190.330000000001</v>
      </c>
      <c r="E465" s="173">
        <f>SUM(E466:E478)</f>
        <v>660.5</v>
      </c>
      <c r="F465" s="192">
        <f>SUM(F467:F478)</f>
        <v>93052.83</v>
      </c>
      <c r="G465" s="237">
        <f aca="true" t="shared" si="131" ref="G465:Q465">SUM(G466:G478)</f>
        <v>-10539.900000000001</v>
      </c>
      <c r="H465" s="238">
        <f t="shared" si="131"/>
        <v>8499.53</v>
      </c>
      <c r="I465" s="274">
        <f t="shared" si="131"/>
        <v>91012.46000000002</v>
      </c>
      <c r="J465" s="278">
        <f>SUM(J466:J478)</f>
        <v>-1483.1100000000001</v>
      </c>
      <c r="K465" s="238">
        <f>SUM(K466:K478)</f>
        <v>2072</v>
      </c>
      <c r="L465" s="274">
        <f>SUM(L466:L478)</f>
        <v>91601.35</v>
      </c>
      <c r="M465" s="114">
        <f t="shared" si="131"/>
        <v>0</v>
      </c>
      <c r="N465" s="114">
        <f t="shared" si="131"/>
        <v>0</v>
      </c>
      <c r="O465" s="114">
        <f t="shared" si="131"/>
        <v>0</v>
      </c>
      <c r="P465" s="114">
        <f t="shared" si="131"/>
        <v>0</v>
      </c>
      <c r="Q465" s="192">
        <f t="shared" si="131"/>
        <v>0</v>
      </c>
      <c r="R465" s="87"/>
    </row>
    <row r="466" spans="1:18" ht="12.75">
      <c r="A466" s="35" t="s">
        <v>26</v>
      </c>
      <c r="B466" s="92"/>
      <c r="C466" s="135"/>
      <c r="D466" s="108"/>
      <c r="E466" s="136"/>
      <c r="F466" s="188"/>
      <c r="G466" s="229"/>
      <c r="H466" s="230"/>
      <c r="I466" s="271"/>
      <c r="J466" s="305"/>
      <c r="K466" s="230"/>
      <c r="L466" s="271"/>
      <c r="M466" s="21"/>
      <c r="N466" s="7"/>
      <c r="O466" s="22"/>
      <c r="P466" s="75"/>
      <c r="Q466" s="73"/>
      <c r="R466" s="87"/>
    </row>
    <row r="467" spans="1:18" ht="12.75">
      <c r="A467" s="33" t="s">
        <v>246</v>
      </c>
      <c r="B467" s="92">
        <v>1202</v>
      </c>
      <c r="C467" s="135"/>
      <c r="D467" s="108">
        <f>2950+350+3960.36</f>
        <v>7260.360000000001</v>
      </c>
      <c r="E467" s="136">
        <f>-1106.5</f>
        <v>-1106.5</v>
      </c>
      <c r="F467" s="188">
        <f aca="true" t="shared" si="132" ref="F467:F478">C467+D467+E467</f>
        <v>6153.860000000001</v>
      </c>
      <c r="G467" s="229">
        <f>-2500</f>
        <v>-2500</v>
      </c>
      <c r="H467" s="230"/>
      <c r="I467" s="271">
        <f>F467+G467+H467</f>
        <v>3653.8600000000006</v>
      </c>
      <c r="J467" s="305"/>
      <c r="K467" s="230"/>
      <c r="L467" s="271">
        <f>I467+J467+K467</f>
        <v>3653.8600000000006</v>
      </c>
      <c r="M467" s="21"/>
      <c r="N467" s="7"/>
      <c r="O467" s="22"/>
      <c r="P467" s="75"/>
      <c r="Q467" s="73"/>
      <c r="R467" s="87"/>
    </row>
    <row r="468" spans="1:18" ht="12.75">
      <c r="A468" s="33" t="s">
        <v>183</v>
      </c>
      <c r="B468" s="92">
        <v>1207</v>
      </c>
      <c r="C468" s="135"/>
      <c r="D468" s="108">
        <f>11550+1687.53</f>
        <v>13237.53</v>
      </c>
      <c r="E468" s="136"/>
      <c r="F468" s="188">
        <f t="shared" si="132"/>
        <v>13237.53</v>
      </c>
      <c r="G468" s="229">
        <f>4.7</f>
        <v>4.7</v>
      </c>
      <c r="H468" s="230"/>
      <c r="I468" s="271">
        <f aca="true" t="shared" si="133" ref="I468:I478">F468+G468+H468</f>
        <v>13242.230000000001</v>
      </c>
      <c r="J468" s="305"/>
      <c r="K468" s="230"/>
      <c r="L468" s="271">
        <f aca="true" t="shared" si="134" ref="L468:L478">I468+J468+K468</f>
        <v>13242.230000000001</v>
      </c>
      <c r="M468" s="21"/>
      <c r="N468" s="7"/>
      <c r="O468" s="22"/>
      <c r="P468" s="75"/>
      <c r="Q468" s="73"/>
      <c r="R468" s="87"/>
    </row>
    <row r="469" spans="1:18" ht="12.75">
      <c r="A469" s="37" t="s">
        <v>265</v>
      </c>
      <c r="B469" s="92">
        <v>1209</v>
      </c>
      <c r="C469" s="135"/>
      <c r="D469" s="108">
        <f>1730+597.22</f>
        <v>2327.2200000000003</v>
      </c>
      <c r="E469" s="136"/>
      <c r="F469" s="188">
        <f t="shared" si="132"/>
        <v>2327.2200000000003</v>
      </c>
      <c r="G469" s="229"/>
      <c r="H469" s="230"/>
      <c r="I469" s="271">
        <f t="shared" si="133"/>
        <v>2327.2200000000003</v>
      </c>
      <c r="J469" s="305"/>
      <c r="K469" s="230"/>
      <c r="L469" s="271">
        <f t="shared" si="134"/>
        <v>2327.2200000000003</v>
      </c>
      <c r="M469" s="21"/>
      <c r="N469" s="7"/>
      <c r="O469" s="22"/>
      <c r="P469" s="75"/>
      <c r="Q469" s="73"/>
      <c r="R469" s="87"/>
    </row>
    <row r="470" spans="1:18" ht="12.75">
      <c r="A470" s="33" t="s">
        <v>184</v>
      </c>
      <c r="B470" s="92">
        <v>1211</v>
      </c>
      <c r="C470" s="135"/>
      <c r="D470" s="119">
        <f>2322+769.24</f>
        <v>3091.24</v>
      </c>
      <c r="E470" s="150"/>
      <c r="F470" s="188">
        <f t="shared" si="132"/>
        <v>3091.24</v>
      </c>
      <c r="G470" s="229"/>
      <c r="H470" s="230"/>
      <c r="I470" s="271">
        <f t="shared" si="133"/>
        <v>3091.24</v>
      </c>
      <c r="J470" s="305">
        <f>208.95</f>
        <v>208.95</v>
      </c>
      <c r="K470" s="230"/>
      <c r="L470" s="271">
        <f t="shared" si="134"/>
        <v>3300.1899999999996</v>
      </c>
      <c r="M470" s="21"/>
      <c r="N470" s="7"/>
      <c r="O470" s="22"/>
      <c r="P470" s="75"/>
      <c r="Q470" s="73"/>
      <c r="R470" s="87"/>
    </row>
    <row r="471" spans="1:18" ht="12.75">
      <c r="A471" s="33" t="s">
        <v>233</v>
      </c>
      <c r="B471" s="92">
        <v>1214</v>
      </c>
      <c r="C471" s="135"/>
      <c r="D471" s="119">
        <f>1400+83.7</f>
        <v>1483.7</v>
      </c>
      <c r="E471" s="136"/>
      <c r="F471" s="188">
        <f t="shared" si="132"/>
        <v>1483.7</v>
      </c>
      <c r="G471" s="229">
        <f>307</f>
        <v>307</v>
      </c>
      <c r="H471" s="230"/>
      <c r="I471" s="271">
        <f t="shared" si="133"/>
        <v>1790.7</v>
      </c>
      <c r="J471" s="305">
        <f>34</f>
        <v>34</v>
      </c>
      <c r="K471" s="230"/>
      <c r="L471" s="271">
        <f t="shared" si="134"/>
        <v>1824.7</v>
      </c>
      <c r="M471" s="21"/>
      <c r="N471" s="7"/>
      <c r="O471" s="22"/>
      <c r="P471" s="75"/>
      <c r="Q471" s="73"/>
      <c r="R471" s="87"/>
    </row>
    <row r="472" spans="1:18" ht="12.75">
      <c r="A472" s="33" t="s">
        <v>234</v>
      </c>
      <c r="B472" s="92">
        <v>1213</v>
      </c>
      <c r="C472" s="135"/>
      <c r="D472" s="119">
        <f>750+245.74</f>
        <v>995.74</v>
      </c>
      <c r="E472" s="136"/>
      <c r="F472" s="188">
        <f t="shared" si="132"/>
        <v>995.74</v>
      </c>
      <c r="G472" s="229"/>
      <c r="H472" s="230"/>
      <c r="I472" s="271">
        <f t="shared" si="133"/>
        <v>995.74</v>
      </c>
      <c r="J472" s="305"/>
      <c r="K472" s="230"/>
      <c r="L472" s="271">
        <f t="shared" si="134"/>
        <v>995.74</v>
      </c>
      <c r="M472" s="21"/>
      <c r="N472" s="7"/>
      <c r="O472" s="22"/>
      <c r="P472" s="75"/>
      <c r="Q472" s="73"/>
      <c r="R472" s="87"/>
    </row>
    <row r="473" spans="1:18" ht="12.75">
      <c r="A473" s="33" t="s">
        <v>264</v>
      </c>
      <c r="B473" s="92">
        <v>1216</v>
      </c>
      <c r="C473" s="135"/>
      <c r="D473" s="108">
        <f>19300+2067.57</f>
        <v>21367.57</v>
      </c>
      <c r="E473" s="136">
        <f>-395</f>
        <v>-395</v>
      </c>
      <c r="F473" s="188">
        <f t="shared" si="132"/>
        <v>20972.57</v>
      </c>
      <c r="G473" s="229"/>
      <c r="H473" s="230"/>
      <c r="I473" s="271">
        <f t="shared" si="133"/>
        <v>20972.57</v>
      </c>
      <c r="J473" s="305">
        <f>0.95</f>
        <v>0.95</v>
      </c>
      <c r="K473" s="230"/>
      <c r="L473" s="271">
        <f t="shared" si="134"/>
        <v>20973.52</v>
      </c>
      <c r="M473" s="21"/>
      <c r="N473" s="7"/>
      <c r="O473" s="22"/>
      <c r="P473" s="75"/>
      <c r="Q473" s="73"/>
      <c r="R473" s="87"/>
    </row>
    <row r="474" spans="1:18" ht="12.75">
      <c r="A474" s="33" t="s">
        <v>185</v>
      </c>
      <c r="B474" s="92">
        <v>1239</v>
      </c>
      <c r="C474" s="135"/>
      <c r="D474" s="108">
        <f>6600+1000+6344.2</f>
        <v>13944.2</v>
      </c>
      <c r="E474" s="136"/>
      <c r="F474" s="188">
        <f t="shared" si="132"/>
        <v>13944.2</v>
      </c>
      <c r="G474" s="229">
        <f>3000-710+2</f>
        <v>2292</v>
      </c>
      <c r="H474" s="230">
        <f>-2106</f>
        <v>-2106</v>
      </c>
      <c r="I474" s="271">
        <f t="shared" si="133"/>
        <v>14130.2</v>
      </c>
      <c r="J474" s="305">
        <f>-4752+18.99+3000</f>
        <v>-1733.0100000000002</v>
      </c>
      <c r="K474" s="230">
        <f>50</f>
        <v>50</v>
      </c>
      <c r="L474" s="271">
        <f t="shared" si="134"/>
        <v>12447.19</v>
      </c>
      <c r="M474" s="21"/>
      <c r="N474" s="7"/>
      <c r="O474" s="22"/>
      <c r="P474" s="75"/>
      <c r="Q474" s="73"/>
      <c r="R474" s="87"/>
    </row>
    <row r="475" spans="1:18" ht="12.75">
      <c r="A475" s="33" t="s">
        <v>206</v>
      </c>
      <c r="B475" s="92">
        <v>1300</v>
      </c>
      <c r="C475" s="135"/>
      <c r="D475" s="108">
        <f>6950-350+4752.63+700</f>
        <v>12052.630000000001</v>
      </c>
      <c r="E475" s="136">
        <f>1912+250</f>
        <v>2162</v>
      </c>
      <c r="F475" s="188">
        <f t="shared" si="132"/>
        <v>14214.630000000001</v>
      </c>
      <c r="G475" s="229"/>
      <c r="H475" s="230">
        <f>10385+800+200</f>
        <v>11385</v>
      </c>
      <c r="I475" s="271">
        <f t="shared" si="133"/>
        <v>25599.63</v>
      </c>
      <c r="J475" s="305"/>
      <c r="K475" s="230">
        <f>1000+822+1400+450-1650</f>
        <v>2022</v>
      </c>
      <c r="L475" s="271">
        <f t="shared" si="134"/>
        <v>27621.63</v>
      </c>
      <c r="M475" s="21"/>
      <c r="N475" s="7"/>
      <c r="O475" s="22"/>
      <c r="P475" s="75"/>
      <c r="Q475" s="73"/>
      <c r="R475" s="87"/>
    </row>
    <row r="476" spans="1:18" ht="12.75">
      <c r="A476" s="33" t="s">
        <v>186</v>
      </c>
      <c r="B476" s="92">
        <v>1110</v>
      </c>
      <c r="C476" s="135"/>
      <c r="D476" s="108">
        <f>12000+2245.17</f>
        <v>14245.17</v>
      </c>
      <c r="E476" s="136"/>
      <c r="F476" s="188">
        <f t="shared" si="132"/>
        <v>14245.17</v>
      </c>
      <c r="G476" s="229">
        <f>-9143.6</f>
        <v>-9143.6</v>
      </c>
      <c r="H476" s="230"/>
      <c r="I476" s="271">
        <f t="shared" si="133"/>
        <v>5101.57</v>
      </c>
      <c r="J476" s="305">
        <f>6</f>
        <v>6</v>
      </c>
      <c r="K476" s="230"/>
      <c r="L476" s="271">
        <f t="shared" si="134"/>
        <v>5107.57</v>
      </c>
      <c r="M476" s="21"/>
      <c r="N476" s="7"/>
      <c r="O476" s="22"/>
      <c r="P476" s="75"/>
      <c r="Q476" s="73"/>
      <c r="R476" s="87"/>
    </row>
    <row r="477" spans="1:18" ht="12.75">
      <c r="A477" s="33" t="s">
        <v>103</v>
      </c>
      <c r="B477" s="92">
        <v>2148</v>
      </c>
      <c r="C477" s="135">
        <v>85200</v>
      </c>
      <c r="D477" s="108">
        <f>-84402</f>
        <v>-84402</v>
      </c>
      <c r="E477" s="136"/>
      <c r="F477" s="188">
        <f t="shared" si="132"/>
        <v>798</v>
      </c>
      <c r="G477" s="229"/>
      <c r="H477" s="230">
        <f>-798</f>
        <v>-798</v>
      </c>
      <c r="I477" s="271">
        <f t="shared" si="133"/>
        <v>0</v>
      </c>
      <c r="J477" s="305"/>
      <c r="K477" s="230"/>
      <c r="L477" s="271">
        <f t="shared" si="134"/>
        <v>0</v>
      </c>
      <c r="M477" s="21"/>
      <c r="N477" s="7"/>
      <c r="O477" s="22"/>
      <c r="P477" s="75"/>
      <c r="Q477" s="73"/>
      <c r="R477" s="87"/>
    </row>
    <row r="478" spans="1:18" ht="12.75">
      <c r="A478" s="33" t="s">
        <v>316</v>
      </c>
      <c r="B478" s="92"/>
      <c r="C478" s="135">
        <v>2</v>
      </c>
      <c r="D478" s="108">
        <f>1586.97</f>
        <v>1586.97</v>
      </c>
      <c r="E478" s="136"/>
      <c r="F478" s="188">
        <f t="shared" si="132"/>
        <v>1588.97</v>
      </c>
      <c r="G478" s="229">
        <f>-1500</f>
        <v>-1500</v>
      </c>
      <c r="H478" s="230">
        <f>-2+20.53</f>
        <v>18.53</v>
      </c>
      <c r="I478" s="271">
        <f t="shared" si="133"/>
        <v>107.50000000000003</v>
      </c>
      <c r="J478" s="305"/>
      <c r="K478" s="230"/>
      <c r="L478" s="271">
        <f t="shared" si="134"/>
        <v>107.50000000000003</v>
      </c>
      <c r="M478" s="21"/>
      <c r="N478" s="7"/>
      <c r="O478" s="22"/>
      <c r="P478" s="75"/>
      <c r="Q478" s="73"/>
      <c r="R478" s="87"/>
    </row>
    <row r="479" spans="1:18" ht="12.75">
      <c r="A479" s="39" t="s">
        <v>54</v>
      </c>
      <c r="B479" s="96"/>
      <c r="C479" s="156">
        <f>SUM(C481:C488)</f>
        <v>0</v>
      </c>
      <c r="D479" s="115">
        <f aca="true" t="shared" si="135" ref="D479:Q479">SUM(D481:D488)</f>
        <v>59200</v>
      </c>
      <c r="E479" s="173">
        <f t="shared" si="135"/>
        <v>1351.5</v>
      </c>
      <c r="F479" s="192">
        <f t="shared" si="135"/>
        <v>60551.5</v>
      </c>
      <c r="G479" s="237">
        <f t="shared" si="135"/>
        <v>26981.97</v>
      </c>
      <c r="H479" s="238">
        <f t="shared" si="135"/>
        <v>17046</v>
      </c>
      <c r="I479" s="274">
        <f t="shared" si="135"/>
        <v>104579.47</v>
      </c>
      <c r="J479" s="278">
        <f t="shared" si="135"/>
        <v>9337.029999999999</v>
      </c>
      <c r="K479" s="238">
        <f t="shared" si="135"/>
        <v>14778.79</v>
      </c>
      <c r="L479" s="274">
        <f t="shared" si="135"/>
        <v>128695.29000000001</v>
      </c>
      <c r="M479" s="114">
        <f t="shared" si="135"/>
        <v>0</v>
      </c>
      <c r="N479" s="114">
        <f t="shared" si="135"/>
        <v>0</v>
      </c>
      <c r="O479" s="114">
        <f t="shared" si="135"/>
        <v>0</v>
      </c>
      <c r="P479" s="114">
        <f t="shared" si="135"/>
        <v>0</v>
      </c>
      <c r="Q479" s="192">
        <f t="shared" si="135"/>
        <v>0</v>
      </c>
      <c r="R479" s="87"/>
    </row>
    <row r="480" spans="1:18" ht="12.75">
      <c r="A480" s="35" t="s">
        <v>26</v>
      </c>
      <c r="B480" s="92"/>
      <c r="C480" s="135"/>
      <c r="D480" s="108"/>
      <c r="E480" s="136"/>
      <c r="F480" s="188"/>
      <c r="G480" s="229"/>
      <c r="H480" s="230"/>
      <c r="I480" s="271"/>
      <c r="J480" s="305"/>
      <c r="K480" s="230"/>
      <c r="L480" s="271"/>
      <c r="M480" s="21"/>
      <c r="N480" s="7"/>
      <c r="O480" s="22"/>
      <c r="P480" s="75"/>
      <c r="Q480" s="73"/>
      <c r="R480" s="87"/>
    </row>
    <row r="481" spans="1:18" ht="12.75">
      <c r="A481" s="37" t="s">
        <v>277</v>
      </c>
      <c r="B481" s="92">
        <v>1239</v>
      </c>
      <c r="C481" s="135"/>
      <c r="D481" s="108">
        <f>2400</f>
        <v>2400</v>
      </c>
      <c r="E481" s="136"/>
      <c r="F481" s="188">
        <f aca="true" t="shared" si="136" ref="F481:F488">C481+D481+E481</f>
        <v>2400</v>
      </c>
      <c r="G481" s="229"/>
      <c r="H481" s="230"/>
      <c r="I481" s="271">
        <f aca="true" t="shared" si="137" ref="I481:I488">F481+G481+H481</f>
        <v>2400</v>
      </c>
      <c r="J481" s="305"/>
      <c r="K481" s="230"/>
      <c r="L481" s="271">
        <f aca="true" t="shared" si="138" ref="L481:L488">I481+J481+K481</f>
        <v>2400</v>
      </c>
      <c r="M481" s="21"/>
      <c r="N481" s="7"/>
      <c r="O481" s="22"/>
      <c r="P481" s="75"/>
      <c r="Q481" s="73"/>
      <c r="R481" s="87"/>
    </row>
    <row r="482" spans="1:18" ht="12.75" hidden="1">
      <c r="A482" s="37" t="s">
        <v>298</v>
      </c>
      <c r="B482" s="92">
        <v>1214</v>
      </c>
      <c r="C482" s="135"/>
      <c r="D482" s="108"/>
      <c r="E482" s="136"/>
      <c r="F482" s="188">
        <f t="shared" si="136"/>
        <v>0</v>
      </c>
      <c r="G482" s="229"/>
      <c r="H482" s="230"/>
      <c r="I482" s="271">
        <f t="shared" si="137"/>
        <v>0</v>
      </c>
      <c r="J482" s="305"/>
      <c r="K482" s="230"/>
      <c r="L482" s="271">
        <f t="shared" si="138"/>
        <v>0</v>
      </c>
      <c r="M482" s="21"/>
      <c r="N482" s="7"/>
      <c r="O482" s="22"/>
      <c r="P482" s="75"/>
      <c r="Q482" s="73"/>
      <c r="R482" s="87"/>
    </row>
    <row r="483" spans="1:18" ht="12.75">
      <c r="A483" s="37" t="s">
        <v>278</v>
      </c>
      <c r="B483" s="92">
        <v>1209</v>
      </c>
      <c r="C483" s="135"/>
      <c r="D483" s="108">
        <f>600</f>
        <v>600</v>
      </c>
      <c r="E483" s="136"/>
      <c r="F483" s="188">
        <f t="shared" si="136"/>
        <v>600</v>
      </c>
      <c r="G483" s="229"/>
      <c r="H483" s="230"/>
      <c r="I483" s="271">
        <f t="shared" si="137"/>
        <v>600</v>
      </c>
      <c r="J483" s="305"/>
      <c r="K483" s="230"/>
      <c r="L483" s="271">
        <f t="shared" si="138"/>
        <v>600</v>
      </c>
      <c r="M483" s="21"/>
      <c r="N483" s="7"/>
      <c r="O483" s="22"/>
      <c r="P483" s="75"/>
      <c r="Q483" s="73"/>
      <c r="R483" s="87"/>
    </row>
    <row r="484" spans="1:18" ht="12.75">
      <c r="A484" s="33" t="s">
        <v>279</v>
      </c>
      <c r="B484" s="92">
        <v>1202</v>
      </c>
      <c r="C484" s="135"/>
      <c r="D484" s="108"/>
      <c r="E484" s="136">
        <f>1106.5</f>
        <v>1106.5</v>
      </c>
      <c r="F484" s="188">
        <f t="shared" si="136"/>
        <v>1106.5</v>
      </c>
      <c r="G484" s="229"/>
      <c r="H484" s="230"/>
      <c r="I484" s="271">
        <f t="shared" si="137"/>
        <v>1106.5</v>
      </c>
      <c r="J484" s="305"/>
      <c r="K484" s="230"/>
      <c r="L484" s="271">
        <f t="shared" si="138"/>
        <v>1106.5</v>
      </c>
      <c r="M484" s="21"/>
      <c r="N484" s="7"/>
      <c r="O484" s="22"/>
      <c r="P484" s="75"/>
      <c r="Q484" s="73"/>
      <c r="R484" s="87"/>
    </row>
    <row r="485" spans="1:18" ht="12.75">
      <c r="A485" s="33" t="s">
        <v>300</v>
      </c>
      <c r="B485" s="92">
        <v>1216</v>
      </c>
      <c r="C485" s="135"/>
      <c r="D485" s="108"/>
      <c r="E485" s="136">
        <f>395</f>
        <v>395</v>
      </c>
      <c r="F485" s="188">
        <f t="shared" si="136"/>
        <v>395</v>
      </c>
      <c r="G485" s="229"/>
      <c r="H485" s="230"/>
      <c r="I485" s="271">
        <f t="shared" si="137"/>
        <v>395</v>
      </c>
      <c r="J485" s="305"/>
      <c r="K485" s="230"/>
      <c r="L485" s="271">
        <f t="shared" si="138"/>
        <v>395</v>
      </c>
      <c r="M485" s="21"/>
      <c r="N485" s="7"/>
      <c r="O485" s="22"/>
      <c r="P485" s="75"/>
      <c r="Q485" s="73"/>
      <c r="R485" s="87"/>
    </row>
    <row r="486" spans="1:18" ht="12.75">
      <c r="A486" s="33" t="s">
        <v>305</v>
      </c>
      <c r="B486" s="92">
        <v>1239</v>
      </c>
      <c r="C486" s="135"/>
      <c r="D486" s="108">
        <f>18850+1000+6000+8500</f>
        <v>34350</v>
      </c>
      <c r="E486" s="136"/>
      <c r="F486" s="188">
        <f t="shared" si="136"/>
        <v>34350</v>
      </c>
      <c r="G486" s="229">
        <f>98.04</f>
        <v>98.04</v>
      </c>
      <c r="H486" s="230"/>
      <c r="I486" s="271">
        <f t="shared" si="137"/>
        <v>34448.04</v>
      </c>
      <c r="J486" s="305">
        <f>4752+75.03</f>
        <v>4827.03</v>
      </c>
      <c r="K486" s="230">
        <f>-50</f>
        <v>-50</v>
      </c>
      <c r="L486" s="271">
        <f t="shared" si="138"/>
        <v>39225.07</v>
      </c>
      <c r="M486" s="21"/>
      <c r="N486" s="7"/>
      <c r="O486" s="22"/>
      <c r="P486" s="75"/>
      <c r="Q486" s="73"/>
      <c r="R486" s="87"/>
    </row>
    <row r="487" spans="1:18" ht="12.75">
      <c r="A487" s="37" t="s">
        <v>280</v>
      </c>
      <c r="B487" s="92">
        <v>1300</v>
      </c>
      <c r="C487" s="135"/>
      <c r="D487" s="108">
        <f>350+500+10000</f>
        <v>10850</v>
      </c>
      <c r="E487" s="136">
        <f>100-250</f>
        <v>-150</v>
      </c>
      <c r="F487" s="188">
        <f t="shared" si="136"/>
        <v>10700</v>
      </c>
      <c r="G487" s="229">
        <f>12000+490+292.5</f>
        <v>12782.5</v>
      </c>
      <c r="H487" s="230">
        <f>12140+2106+1600+1200</f>
        <v>17046</v>
      </c>
      <c r="I487" s="271">
        <f t="shared" si="137"/>
        <v>40528.5</v>
      </c>
      <c r="J487" s="305">
        <f>-490+5000</f>
        <v>4510</v>
      </c>
      <c r="K487" s="230">
        <f>2000+11178.79+1650</f>
        <v>14828.79</v>
      </c>
      <c r="L487" s="271">
        <f t="shared" si="138"/>
        <v>59867.29</v>
      </c>
      <c r="M487" s="21"/>
      <c r="N487" s="7"/>
      <c r="O487" s="22"/>
      <c r="P487" s="75"/>
      <c r="Q487" s="73"/>
      <c r="R487" s="87"/>
    </row>
    <row r="488" spans="1:18" ht="13.5" thickBot="1">
      <c r="A488" s="332" t="s">
        <v>299</v>
      </c>
      <c r="B488" s="133">
        <v>1110</v>
      </c>
      <c r="C488" s="333"/>
      <c r="D488" s="134">
        <f>11000</f>
        <v>11000</v>
      </c>
      <c r="E488" s="213"/>
      <c r="F488" s="223">
        <f t="shared" si="136"/>
        <v>11000</v>
      </c>
      <c r="G488" s="325">
        <f>232+13853.6+15.83</f>
        <v>14101.43</v>
      </c>
      <c r="H488" s="326"/>
      <c r="I488" s="327">
        <f t="shared" si="137"/>
        <v>25101.43</v>
      </c>
      <c r="J488" s="334"/>
      <c r="K488" s="326"/>
      <c r="L488" s="327">
        <f t="shared" si="138"/>
        <v>25101.43</v>
      </c>
      <c r="M488" s="21"/>
      <c r="N488" s="7"/>
      <c r="O488" s="22"/>
      <c r="P488" s="75"/>
      <c r="Q488" s="73"/>
      <c r="R488" s="87"/>
    </row>
    <row r="489" spans="1:18" ht="12.75">
      <c r="A489" s="30" t="s">
        <v>141</v>
      </c>
      <c r="B489" s="96"/>
      <c r="C489" s="142">
        <f aca="true" t="shared" si="139" ref="C489:Q489">C490</f>
        <v>1</v>
      </c>
      <c r="D489" s="107">
        <f t="shared" si="139"/>
        <v>2375.18</v>
      </c>
      <c r="E489" s="143">
        <f t="shared" si="139"/>
        <v>0</v>
      </c>
      <c r="F489" s="187">
        <f t="shared" si="139"/>
        <v>2376.18</v>
      </c>
      <c r="G489" s="227">
        <f t="shared" si="139"/>
        <v>0</v>
      </c>
      <c r="H489" s="228">
        <f t="shared" si="139"/>
        <v>0</v>
      </c>
      <c r="I489" s="270">
        <f t="shared" si="139"/>
        <v>2376.18</v>
      </c>
      <c r="J489" s="288">
        <f t="shared" si="139"/>
        <v>0</v>
      </c>
      <c r="K489" s="228">
        <f t="shared" si="139"/>
        <v>0</v>
      </c>
      <c r="L489" s="270">
        <f t="shared" si="139"/>
        <v>2376.18</v>
      </c>
      <c r="M489" s="106">
        <f t="shared" si="139"/>
        <v>0</v>
      </c>
      <c r="N489" s="106">
        <f t="shared" si="139"/>
        <v>0</v>
      </c>
      <c r="O489" s="106">
        <f t="shared" si="139"/>
        <v>2376.18</v>
      </c>
      <c r="P489" s="106">
        <f t="shared" si="139"/>
        <v>0</v>
      </c>
      <c r="Q489" s="187">
        <f t="shared" si="139"/>
        <v>2376.18</v>
      </c>
      <c r="R489" s="87"/>
    </row>
    <row r="490" spans="1:18" ht="12.75">
      <c r="A490" s="39" t="s">
        <v>49</v>
      </c>
      <c r="B490" s="96"/>
      <c r="C490" s="156">
        <f>C492</f>
        <v>1</v>
      </c>
      <c r="D490" s="115">
        <f aca="true" t="shared" si="140" ref="D490:Q490">D492</f>
        <v>2375.18</v>
      </c>
      <c r="E490" s="173">
        <f t="shared" si="140"/>
        <v>0</v>
      </c>
      <c r="F490" s="192">
        <f t="shared" si="140"/>
        <v>2376.18</v>
      </c>
      <c r="G490" s="237">
        <f t="shared" si="140"/>
        <v>0</v>
      </c>
      <c r="H490" s="238">
        <f t="shared" si="140"/>
        <v>0</v>
      </c>
      <c r="I490" s="274">
        <f t="shared" si="140"/>
        <v>2376.18</v>
      </c>
      <c r="J490" s="278">
        <f>J492</f>
        <v>0</v>
      </c>
      <c r="K490" s="238">
        <f>K492</f>
        <v>0</v>
      </c>
      <c r="L490" s="274">
        <f>L492</f>
        <v>2376.18</v>
      </c>
      <c r="M490" s="114">
        <f t="shared" si="140"/>
        <v>0</v>
      </c>
      <c r="N490" s="114">
        <f t="shared" si="140"/>
        <v>0</v>
      </c>
      <c r="O490" s="114">
        <f t="shared" si="140"/>
        <v>2376.18</v>
      </c>
      <c r="P490" s="114">
        <f t="shared" si="140"/>
        <v>0</v>
      </c>
      <c r="Q490" s="192">
        <f t="shared" si="140"/>
        <v>2376.18</v>
      </c>
      <c r="R490" s="87"/>
    </row>
    <row r="491" spans="1:18" ht="12.75">
      <c r="A491" s="35" t="s">
        <v>26</v>
      </c>
      <c r="B491" s="92"/>
      <c r="C491" s="135"/>
      <c r="D491" s="108"/>
      <c r="E491" s="136"/>
      <c r="F491" s="188"/>
      <c r="G491" s="229"/>
      <c r="H491" s="230"/>
      <c r="I491" s="271"/>
      <c r="J491" s="305"/>
      <c r="K491" s="230"/>
      <c r="L491" s="271"/>
      <c r="M491" s="21"/>
      <c r="N491" s="7"/>
      <c r="O491" s="22"/>
      <c r="P491" s="75"/>
      <c r="Q491" s="73"/>
      <c r="R491" s="87"/>
    </row>
    <row r="492" spans="1:18" ht="12.75">
      <c r="A492" s="207" t="s">
        <v>51</v>
      </c>
      <c r="B492" s="208"/>
      <c r="C492" s="209">
        <v>1</v>
      </c>
      <c r="D492" s="116">
        <f>2375.18</f>
        <v>2375.18</v>
      </c>
      <c r="E492" s="217"/>
      <c r="F492" s="224">
        <f>C492+D492+E492</f>
        <v>2376.18</v>
      </c>
      <c r="G492" s="241"/>
      <c r="H492" s="242"/>
      <c r="I492" s="276">
        <f>F492+G492+H492</f>
        <v>2376.18</v>
      </c>
      <c r="J492" s="310"/>
      <c r="K492" s="242"/>
      <c r="L492" s="276">
        <f>I492+J492+K492</f>
        <v>2376.18</v>
      </c>
      <c r="M492" s="25"/>
      <c r="N492" s="10"/>
      <c r="O492" s="26">
        <f>L492+M492+N492</f>
        <v>2376.18</v>
      </c>
      <c r="P492" s="78"/>
      <c r="Q492" s="79">
        <f>O492+P492</f>
        <v>2376.18</v>
      </c>
      <c r="R492" s="87"/>
    </row>
    <row r="493" spans="1:18" ht="12.75">
      <c r="A493" s="30" t="s">
        <v>99</v>
      </c>
      <c r="B493" s="96"/>
      <c r="C493" s="142">
        <f>C495+C496</f>
        <v>339541.5</v>
      </c>
      <c r="D493" s="107">
        <f aca="true" t="shared" si="141" ref="D493:Q493">D495+D496</f>
        <v>399611.69</v>
      </c>
      <c r="E493" s="143">
        <f t="shared" si="141"/>
        <v>0</v>
      </c>
      <c r="F493" s="187">
        <f t="shared" si="141"/>
        <v>739153.1900000001</v>
      </c>
      <c r="G493" s="227">
        <f t="shared" si="141"/>
        <v>-4781.290000000003</v>
      </c>
      <c r="H493" s="228">
        <f t="shared" si="141"/>
        <v>0</v>
      </c>
      <c r="I493" s="270">
        <f t="shared" si="141"/>
        <v>734371.8999999999</v>
      </c>
      <c r="J493" s="288">
        <f t="shared" si="141"/>
        <v>75432.4</v>
      </c>
      <c r="K493" s="228">
        <f t="shared" si="141"/>
        <v>0</v>
      </c>
      <c r="L493" s="270">
        <f t="shared" si="141"/>
        <v>809804.3</v>
      </c>
      <c r="M493" s="106" t="e">
        <f t="shared" si="141"/>
        <v>#REF!</v>
      </c>
      <c r="N493" s="106" t="e">
        <f t="shared" si="141"/>
        <v>#REF!</v>
      </c>
      <c r="O493" s="106" t="e">
        <f t="shared" si="141"/>
        <v>#REF!</v>
      </c>
      <c r="P493" s="106" t="e">
        <f t="shared" si="141"/>
        <v>#REF!</v>
      </c>
      <c r="Q493" s="187" t="e">
        <f t="shared" si="141"/>
        <v>#REF!</v>
      </c>
      <c r="R493" s="87"/>
    </row>
    <row r="494" spans="1:18" ht="12.75">
      <c r="A494" s="32" t="s">
        <v>26</v>
      </c>
      <c r="B494" s="92"/>
      <c r="C494" s="142"/>
      <c r="D494" s="107"/>
      <c r="E494" s="143"/>
      <c r="F494" s="187"/>
      <c r="G494" s="227"/>
      <c r="H494" s="228"/>
      <c r="I494" s="270"/>
      <c r="J494" s="304"/>
      <c r="K494" s="228"/>
      <c r="L494" s="270"/>
      <c r="M494" s="106"/>
      <c r="N494" s="106"/>
      <c r="O494" s="106"/>
      <c r="P494" s="106"/>
      <c r="Q494" s="187"/>
      <c r="R494" s="87"/>
    </row>
    <row r="495" spans="1:18" ht="12.75">
      <c r="A495" s="30" t="s">
        <v>49</v>
      </c>
      <c r="B495" s="96"/>
      <c r="C495" s="129">
        <f>C502+C504+C516+C518+C523+C535+C519+C509+C537+C511+C541+C525</f>
        <v>22321</v>
      </c>
      <c r="D495" s="129">
        <f aca="true" t="shared" si="142" ref="D495:L495">D502+D504+D516+D518+D523+D535+D519+D509+D537+D511+D541+D525</f>
        <v>57107.73</v>
      </c>
      <c r="E495" s="129">
        <f t="shared" si="142"/>
        <v>0</v>
      </c>
      <c r="F495" s="129">
        <f t="shared" si="142"/>
        <v>79428.73</v>
      </c>
      <c r="G495" s="129">
        <f t="shared" si="142"/>
        <v>10923.03</v>
      </c>
      <c r="H495" s="129">
        <f t="shared" si="142"/>
        <v>0</v>
      </c>
      <c r="I495" s="321">
        <f t="shared" si="142"/>
        <v>90351.76000000001</v>
      </c>
      <c r="J495" s="129">
        <f t="shared" si="142"/>
        <v>36705.44</v>
      </c>
      <c r="K495" s="234">
        <f t="shared" si="142"/>
        <v>0</v>
      </c>
      <c r="L495" s="321">
        <f t="shared" si="142"/>
        <v>127057.20000000001</v>
      </c>
      <c r="M495" s="110">
        <f>M502+M504+M516+M518+M523+M535+M519+M509+M537+M511+M541</f>
        <v>0</v>
      </c>
      <c r="N495" s="110">
        <f>N502+N504+N516+N518+N523+N535+N519+N509+N537+N511+N541</f>
        <v>0</v>
      </c>
      <c r="O495" s="110">
        <f>O502+O504+O516+O518+O523+O535+O519+O509+O537+O511+O541</f>
        <v>126826.20000000001</v>
      </c>
      <c r="P495" s="110">
        <f>P502+P504+P516+P518+P523+P535+P519+P509+P537+P511+P541</f>
        <v>0</v>
      </c>
      <c r="Q495" s="190">
        <f>Q502+Q504+Q516+Q518+Q523+Q535+Q519+Q509+Q537+Q511+Q541</f>
        <v>126826.20000000001</v>
      </c>
      <c r="R495" s="87"/>
    </row>
    <row r="496" spans="1:18" ht="12.75">
      <c r="A496" s="30" t="s">
        <v>54</v>
      </c>
      <c r="B496" s="96"/>
      <c r="C496" s="129">
        <f aca="true" t="shared" si="143" ref="C496:L496">+C499+C500+C501+C505+C506+C508+C510+C512+C514+C515+C517+C520+C522+C524+C526+C528+C529+C531+C532+C534+C536+C538+C540</f>
        <v>317220.5</v>
      </c>
      <c r="D496" s="129">
        <f t="shared" si="143"/>
        <v>342503.96</v>
      </c>
      <c r="E496" s="129">
        <f t="shared" si="143"/>
        <v>0</v>
      </c>
      <c r="F496" s="129">
        <f t="shared" si="143"/>
        <v>659724.4600000001</v>
      </c>
      <c r="G496" s="129">
        <f t="shared" si="143"/>
        <v>-15704.320000000003</v>
      </c>
      <c r="H496" s="129">
        <f t="shared" si="143"/>
        <v>0</v>
      </c>
      <c r="I496" s="321">
        <f>+I499+I500+I501+I505+I506+I508+I510+I512+I514+I515+I517+I520+I522+I524+I526+I528+I529+I531+I532+I534+I536+I538+I540</f>
        <v>644020.1399999999</v>
      </c>
      <c r="J496" s="129">
        <f t="shared" si="143"/>
        <v>38726.96</v>
      </c>
      <c r="K496" s="234">
        <f t="shared" si="143"/>
        <v>0</v>
      </c>
      <c r="L496" s="321">
        <f t="shared" si="143"/>
        <v>682747.1000000001</v>
      </c>
      <c r="M496" s="110" t="e">
        <f>#REF!+#REF!+#REF!+#REF!+#REF!+M499+M500+M501+M505+M506+M508+M510+M512+M514+M515+M517+M520+M522+M524+M526+M534+M536+M538+M540</f>
        <v>#REF!</v>
      </c>
      <c r="N496" s="110" t="e">
        <f>#REF!+#REF!+#REF!+#REF!+#REF!+N499+N500+N501+N505+N506+N508+N510+N512+N514+N515+N517+N520+N522+N524+N526+N534+N536+N538+N540</f>
        <v>#REF!</v>
      </c>
      <c r="O496" s="110" t="e">
        <f>#REF!+#REF!+#REF!+#REF!+#REF!+O499+O500+O501+O505+O506+O508+O510+O512+O514+O515+O517+O520+O522+O524+O526+O534+O536+O538+O540</f>
        <v>#REF!</v>
      </c>
      <c r="P496" s="110" t="e">
        <f>#REF!+#REF!+#REF!+#REF!+#REF!+P499+P500+P501+P505+P506+P508+P510+P512+P514+P515+P517+P520+P522+P524+P526+P534+P536+P538+P540</f>
        <v>#REF!</v>
      </c>
      <c r="Q496" s="190" t="e">
        <f>#REF!+#REF!+#REF!+#REF!+#REF!+Q499+Q500+Q501+Q505+Q506+Q508+Q510+Q512+Q514+Q515+Q517+Q520+Q522+Q524+Q526+Q534+Q536+Q538+Q540</f>
        <v>#REF!</v>
      </c>
      <c r="R496" s="87"/>
    </row>
    <row r="497" spans="1:18" ht="12.75">
      <c r="A497" s="31" t="s">
        <v>100</v>
      </c>
      <c r="B497" s="92"/>
      <c r="C497" s="142"/>
      <c r="D497" s="107"/>
      <c r="E497" s="143"/>
      <c r="F497" s="187"/>
      <c r="G497" s="227"/>
      <c r="H497" s="228"/>
      <c r="I497" s="270"/>
      <c r="J497" s="304"/>
      <c r="K497" s="228"/>
      <c r="L497" s="270"/>
      <c r="M497" s="19"/>
      <c r="N497" s="6"/>
      <c r="O497" s="20"/>
      <c r="P497" s="75"/>
      <c r="Q497" s="73"/>
      <c r="R497" s="87"/>
    </row>
    <row r="498" spans="1:18" ht="12.75">
      <c r="A498" s="32" t="s">
        <v>104</v>
      </c>
      <c r="B498" s="92">
        <v>10</v>
      </c>
      <c r="C498" s="135">
        <f>SUM(C499:C502)</f>
        <v>40000</v>
      </c>
      <c r="D498" s="108">
        <f aca="true" t="shared" si="144" ref="D498:Q498">SUM(D499:D502)</f>
        <v>43411.66</v>
      </c>
      <c r="E498" s="136">
        <f t="shared" si="144"/>
        <v>0</v>
      </c>
      <c r="F498" s="188">
        <f t="shared" si="144"/>
        <v>83411.66</v>
      </c>
      <c r="G498" s="229">
        <f t="shared" si="144"/>
        <v>20000</v>
      </c>
      <c r="H498" s="230">
        <f t="shared" si="144"/>
        <v>0</v>
      </c>
      <c r="I498" s="271">
        <f t="shared" si="144"/>
        <v>103411.66</v>
      </c>
      <c r="J498" s="305">
        <f t="shared" si="144"/>
        <v>13000</v>
      </c>
      <c r="K498" s="230">
        <f t="shared" si="144"/>
        <v>0</v>
      </c>
      <c r="L498" s="271">
        <f t="shared" si="144"/>
        <v>116411.66</v>
      </c>
      <c r="M498" s="109">
        <f t="shared" si="144"/>
        <v>0</v>
      </c>
      <c r="N498" s="109">
        <f t="shared" si="144"/>
        <v>0</v>
      </c>
      <c r="O498" s="109">
        <f t="shared" si="144"/>
        <v>116411.66</v>
      </c>
      <c r="P498" s="109">
        <f t="shared" si="144"/>
        <v>0</v>
      </c>
      <c r="Q498" s="188">
        <f t="shared" si="144"/>
        <v>116411.66</v>
      </c>
      <c r="R498" s="87"/>
    </row>
    <row r="499" spans="1:18" ht="12.75" hidden="1">
      <c r="A499" s="32" t="s">
        <v>105</v>
      </c>
      <c r="B499" s="92"/>
      <c r="C499" s="135"/>
      <c r="D499" s="108"/>
      <c r="E499" s="136"/>
      <c r="F499" s="188">
        <f aca="true" t="shared" si="145" ref="F499:F544">C499+D499+E499</f>
        <v>0</v>
      </c>
      <c r="G499" s="229"/>
      <c r="H499" s="230"/>
      <c r="I499" s="271">
        <f>F499+G499+H499</f>
        <v>0</v>
      </c>
      <c r="J499" s="305"/>
      <c r="K499" s="230"/>
      <c r="L499" s="271">
        <f>I499+J499+K499</f>
        <v>0</v>
      </c>
      <c r="M499" s="21"/>
      <c r="N499" s="7"/>
      <c r="O499" s="22">
        <f>L499+M499+N499</f>
        <v>0</v>
      </c>
      <c r="P499" s="75"/>
      <c r="Q499" s="73">
        <f>O499+P499</f>
        <v>0</v>
      </c>
      <c r="R499" s="87"/>
    </row>
    <row r="500" spans="1:18" ht="12.75">
      <c r="A500" s="93" t="s">
        <v>102</v>
      </c>
      <c r="B500" s="92"/>
      <c r="C500" s="135">
        <v>38000</v>
      </c>
      <c r="D500" s="119">
        <f>14238.57+5000</f>
        <v>19238.57</v>
      </c>
      <c r="E500" s="150"/>
      <c r="F500" s="188">
        <f t="shared" si="145"/>
        <v>57238.57</v>
      </c>
      <c r="G500" s="229">
        <f>20000</f>
        <v>20000</v>
      </c>
      <c r="H500" s="230"/>
      <c r="I500" s="271">
        <f>F500+G500+H500</f>
        <v>77238.57</v>
      </c>
      <c r="J500" s="305">
        <f>-10000</f>
        <v>-10000</v>
      </c>
      <c r="K500" s="230"/>
      <c r="L500" s="271">
        <f>I500+J500+K500</f>
        <v>67238.57</v>
      </c>
      <c r="M500" s="21"/>
      <c r="N500" s="7"/>
      <c r="O500" s="22">
        <f>L500+M500+N500</f>
        <v>67238.57</v>
      </c>
      <c r="P500" s="75"/>
      <c r="Q500" s="73">
        <f>O500+P500</f>
        <v>67238.57</v>
      </c>
      <c r="R500" s="87"/>
    </row>
    <row r="501" spans="1:18" ht="12.75">
      <c r="A501" s="32" t="s">
        <v>103</v>
      </c>
      <c r="B501" s="92"/>
      <c r="C501" s="135"/>
      <c r="D501" s="108">
        <f>389.8</f>
        <v>389.8</v>
      </c>
      <c r="E501" s="136"/>
      <c r="F501" s="188">
        <f t="shared" si="145"/>
        <v>389.8</v>
      </c>
      <c r="G501" s="229"/>
      <c r="H501" s="230"/>
      <c r="I501" s="271">
        <f>F501+G501+H501</f>
        <v>389.8</v>
      </c>
      <c r="J501" s="305"/>
      <c r="K501" s="230"/>
      <c r="L501" s="271">
        <f>I501+J501+K501</f>
        <v>389.8</v>
      </c>
      <c r="M501" s="21"/>
      <c r="N501" s="7"/>
      <c r="O501" s="22">
        <f>L501+M501+N501</f>
        <v>389.8</v>
      </c>
      <c r="P501" s="75"/>
      <c r="Q501" s="73">
        <f>O501+P501</f>
        <v>389.8</v>
      </c>
      <c r="R501" s="87"/>
    </row>
    <row r="502" spans="1:18" ht="12.75">
      <c r="A502" s="33" t="s">
        <v>132</v>
      </c>
      <c r="B502" s="92"/>
      <c r="C502" s="135">
        <v>2000</v>
      </c>
      <c r="D502" s="132">
        <f>3783.29+10000+10000</f>
        <v>23783.29</v>
      </c>
      <c r="E502" s="136"/>
      <c r="F502" s="188">
        <f t="shared" si="145"/>
        <v>25783.29</v>
      </c>
      <c r="G502" s="229"/>
      <c r="H502" s="230"/>
      <c r="I502" s="271">
        <f>F502+G502+H502</f>
        <v>25783.29</v>
      </c>
      <c r="J502" s="305">
        <f>10000+13000</f>
        <v>23000</v>
      </c>
      <c r="K502" s="230"/>
      <c r="L502" s="271">
        <f>I502+J502+K502</f>
        <v>48783.29</v>
      </c>
      <c r="M502" s="21"/>
      <c r="N502" s="7"/>
      <c r="O502" s="22">
        <f>L502+M502+N502</f>
        <v>48783.29</v>
      </c>
      <c r="P502" s="75"/>
      <c r="Q502" s="73">
        <f>O502+P502</f>
        <v>48783.29</v>
      </c>
      <c r="R502" s="87"/>
    </row>
    <row r="503" spans="1:18" ht="12.75">
      <c r="A503" s="32" t="s">
        <v>107</v>
      </c>
      <c r="B503" s="92">
        <v>12</v>
      </c>
      <c r="C503" s="135">
        <f aca="true" t="shared" si="146" ref="C503:Q503">C504+C505+C506</f>
        <v>4000</v>
      </c>
      <c r="D503" s="108">
        <f t="shared" si="146"/>
        <v>11837.410000000002</v>
      </c>
      <c r="E503" s="136">
        <f t="shared" si="146"/>
        <v>0</v>
      </c>
      <c r="F503" s="188">
        <f t="shared" si="146"/>
        <v>15837.410000000002</v>
      </c>
      <c r="G503" s="229">
        <f t="shared" si="146"/>
        <v>0</v>
      </c>
      <c r="H503" s="230">
        <f t="shared" si="146"/>
        <v>0</v>
      </c>
      <c r="I503" s="271">
        <f t="shared" si="146"/>
        <v>15837.41</v>
      </c>
      <c r="J503" s="305">
        <f t="shared" si="146"/>
        <v>0</v>
      </c>
      <c r="K503" s="230">
        <f t="shared" si="146"/>
        <v>0</v>
      </c>
      <c r="L503" s="271">
        <f t="shared" si="146"/>
        <v>15837.41</v>
      </c>
      <c r="M503" s="109">
        <f t="shared" si="146"/>
        <v>0</v>
      </c>
      <c r="N503" s="109">
        <f t="shared" si="146"/>
        <v>0</v>
      </c>
      <c r="O503" s="109">
        <f t="shared" si="146"/>
        <v>15837.41</v>
      </c>
      <c r="P503" s="109">
        <f t="shared" si="146"/>
        <v>0</v>
      </c>
      <c r="Q503" s="188">
        <f t="shared" si="146"/>
        <v>15837.41</v>
      </c>
      <c r="R503" s="87"/>
    </row>
    <row r="504" spans="1:18" ht="12.75">
      <c r="A504" s="32" t="s">
        <v>108</v>
      </c>
      <c r="B504" s="92"/>
      <c r="C504" s="135">
        <v>750</v>
      </c>
      <c r="D504" s="108">
        <f>1953.96+3441.84</f>
        <v>5395.8</v>
      </c>
      <c r="E504" s="136"/>
      <c r="F504" s="188">
        <f t="shared" si="145"/>
        <v>6145.8</v>
      </c>
      <c r="G504" s="229">
        <f>1623.03</f>
        <v>1623.03</v>
      </c>
      <c r="H504" s="230"/>
      <c r="I504" s="271">
        <f>F504+G504+H504</f>
        <v>7768.83</v>
      </c>
      <c r="J504" s="305"/>
      <c r="K504" s="230"/>
      <c r="L504" s="271">
        <f>I504+J504+K504</f>
        <v>7768.83</v>
      </c>
      <c r="M504" s="21"/>
      <c r="N504" s="7"/>
      <c r="O504" s="22">
        <f>L504+M504+N504</f>
        <v>7768.83</v>
      </c>
      <c r="P504" s="75"/>
      <c r="Q504" s="73">
        <f>O504+P504</f>
        <v>7768.83</v>
      </c>
      <c r="R504" s="87"/>
    </row>
    <row r="505" spans="1:18" ht="12.75">
      <c r="A505" s="32" t="s">
        <v>106</v>
      </c>
      <c r="B505" s="92"/>
      <c r="C505" s="135">
        <v>3250</v>
      </c>
      <c r="D505" s="108">
        <f>4608.58-90</f>
        <v>4518.58</v>
      </c>
      <c r="E505" s="136"/>
      <c r="F505" s="188">
        <f t="shared" si="145"/>
        <v>7768.58</v>
      </c>
      <c r="G505" s="229">
        <f>300</f>
        <v>300</v>
      </c>
      <c r="H505" s="230"/>
      <c r="I505" s="271">
        <f>F505+G505+H505</f>
        <v>8068.58</v>
      </c>
      <c r="J505" s="305"/>
      <c r="K505" s="230"/>
      <c r="L505" s="271">
        <f>I505+J505+K505</f>
        <v>8068.58</v>
      </c>
      <c r="M505" s="21"/>
      <c r="N505" s="7"/>
      <c r="O505" s="22">
        <f>L505+M505+N505</f>
        <v>8068.58</v>
      </c>
      <c r="P505" s="75"/>
      <c r="Q505" s="73">
        <f>O505+P505</f>
        <v>8068.58</v>
      </c>
      <c r="R505" s="87"/>
    </row>
    <row r="506" spans="1:18" ht="12.75" customHeight="1" hidden="1">
      <c r="A506" s="32" t="s">
        <v>103</v>
      </c>
      <c r="B506" s="92"/>
      <c r="C506" s="135"/>
      <c r="D506" s="108">
        <f>1919.2+3.83</f>
        <v>1923.03</v>
      </c>
      <c r="E506" s="136"/>
      <c r="F506" s="188">
        <f t="shared" si="145"/>
        <v>1923.03</v>
      </c>
      <c r="G506" s="229">
        <f>-1923.03</f>
        <v>-1923.03</v>
      </c>
      <c r="H506" s="230"/>
      <c r="I506" s="271">
        <f>F506+G506+H506</f>
        <v>0</v>
      </c>
      <c r="J506" s="305"/>
      <c r="K506" s="230"/>
      <c r="L506" s="271">
        <f>I506+J506+K506</f>
        <v>0</v>
      </c>
      <c r="M506" s="21"/>
      <c r="N506" s="7"/>
      <c r="O506" s="22">
        <f>L506+M506+N506</f>
        <v>0</v>
      </c>
      <c r="P506" s="75"/>
      <c r="Q506" s="73">
        <f>O506+P506</f>
        <v>0</v>
      </c>
      <c r="R506" s="87"/>
    </row>
    <row r="507" spans="1:18" ht="12.75">
      <c r="A507" s="32" t="s">
        <v>109</v>
      </c>
      <c r="B507" s="92">
        <v>14</v>
      </c>
      <c r="C507" s="135">
        <f>SUM(C508:C512)</f>
        <v>90000</v>
      </c>
      <c r="D507" s="108">
        <f aca="true" t="shared" si="147" ref="D507:Q507">SUM(D508:D512)</f>
        <v>78562.53</v>
      </c>
      <c r="E507" s="136">
        <f t="shared" si="147"/>
        <v>0</v>
      </c>
      <c r="F507" s="188">
        <f t="shared" si="147"/>
        <v>168562.53000000003</v>
      </c>
      <c r="G507" s="229">
        <f t="shared" si="147"/>
        <v>8518.759999999998</v>
      </c>
      <c r="H507" s="230">
        <f t="shared" si="147"/>
        <v>0</v>
      </c>
      <c r="I507" s="271">
        <f t="shared" si="147"/>
        <v>177081.29000000004</v>
      </c>
      <c r="J507" s="305">
        <f t="shared" si="147"/>
        <v>25800</v>
      </c>
      <c r="K507" s="230">
        <f t="shared" si="147"/>
        <v>0</v>
      </c>
      <c r="L507" s="271">
        <f t="shared" si="147"/>
        <v>202881.29000000004</v>
      </c>
      <c r="M507" s="109">
        <f t="shared" si="147"/>
        <v>0</v>
      </c>
      <c r="N507" s="109">
        <f t="shared" si="147"/>
        <v>0</v>
      </c>
      <c r="O507" s="109">
        <f t="shared" si="147"/>
        <v>202881.29000000004</v>
      </c>
      <c r="P507" s="109">
        <f t="shared" si="147"/>
        <v>0</v>
      </c>
      <c r="Q507" s="188">
        <f t="shared" si="147"/>
        <v>202881.29000000004</v>
      </c>
      <c r="R507" s="87"/>
    </row>
    <row r="508" spans="1:18" ht="12.75">
      <c r="A508" s="32" t="s">
        <v>110</v>
      </c>
      <c r="B508" s="92"/>
      <c r="C508" s="135">
        <v>79000</v>
      </c>
      <c r="D508" s="119">
        <f>33166.98-1200-1117+8000</f>
        <v>38849.98</v>
      </c>
      <c r="E508" s="150"/>
      <c r="F508" s="188">
        <f t="shared" si="145"/>
        <v>117849.98000000001</v>
      </c>
      <c r="G508" s="229">
        <f>700+786.31+2250+21.76-1000</f>
        <v>2758.07</v>
      </c>
      <c r="H508" s="230"/>
      <c r="I508" s="271">
        <f>F508+G508+H508</f>
        <v>120608.05000000002</v>
      </c>
      <c r="J508" s="305">
        <f>2312+12800-335.44</f>
        <v>14776.56</v>
      </c>
      <c r="K508" s="230"/>
      <c r="L508" s="271">
        <f>I508+J508+K508</f>
        <v>135384.61000000002</v>
      </c>
      <c r="M508" s="21"/>
      <c r="N508" s="7"/>
      <c r="O508" s="22">
        <f>L508+M508+N508</f>
        <v>135384.61000000002</v>
      </c>
      <c r="P508" s="75"/>
      <c r="Q508" s="73">
        <f aca="true" t="shared" si="148" ref="Q508:Q555">O508+P508</f>
        <v>135384.61000000002</v>
      </c>
      <c r="R508" s="87"/>
    </row>
    <row r="509" spans="1:18" ht="12.75">
      <c r="A509" s="32" t="s">
        <v>111</v>
      </c>
      <c r="B509" s="92"/>
      <c r="C509" s="135">
        <v>11000</v>
      </c>
      <c r="D509" s="108">
        <f>6242.16+1177</f>
        <v>7419.16</v>
      </c>
      <c r="E509" s="136"/>
      <c r="F509" s="188">
        <f t="shared" si="145"/>
        <v>18419.16</v>
      </c>
      <c r="G509" s="229">
        <f>500+562</f>
        <v>1062</v>
      </c>
      <c r="H509" s="230"/>
      <c r="I509" s="271">
        <f>F509+G509+H509</f>
        <v>19481.16</v>
      </c>
      <c r="J509" s="307">
        <f>170+13000+335.44</f>
        <v>13505.44</v>
      </c>
      <c r="K509" s="230"/>
      <c r="L509" s="271">
        <f>I509+J509+K509</f>
        <v>32986.6</v>
      </c>
      <c r="M509" s="21"/>
      <c r="N509" s="7"/>
      <c r="O509" s="22">
        <f>L509+M509+N509</f>
        <v>32986.6</v>
      </c>
      <c r="P509" s="75"/>
      <c r="Q509" s="73">
        <f t="shared" si="148"/>
        <v>32986.6</v>
      </c>
      <c r="R509" s="87"/>
    </row>
    <row r="510" spans="1:18" ht="13.5" customHeight="1">
      <c r="A510" s="32" t="s">
        <v>112</v>
      </c>
      <c r="B510" s="92"/>
      <c r="C510" s="135"/>
      <c r="D510" s="108">
        <f>28388.64</f>
        <v>28388.64</v>
      </c>
      <c r="E510" s="136"/>
      <c r="F510" s="188">
        <f t="shared" si="145"/>
        <v>28388.64</v>
      </c>
      <c r="G510" s="229">
        <f>4000-1065.19+726+1000</f>
        <v>4660.8099999999995</v>
      </c>
      <c r="H510" s="230"/>
      <c r="I510" s="271">
        <f>F510+G510+H510</f>
        <v>33049.45</v>
      </c>
      <c r="J510" s="305">
        <f>-961</f>
        <v>-961</v>
      </c>
      <c r="K510" s="230"/>
      <c r="L510" s="271">
        <f>I510+J510+K510</f>
        <v>32088.449999999997</v>
      </c>
      <c r="M510" s="21"/>
      <c r="N510" s="7"/>
      <c r="O510" s="22">
        <f>L510+M510+N510</f>
        <v>32088.449999999997</v>
      </c>
      <c r="P510" s="75"/>
      <c r="Q510" s="73">
        <f t="shared" si="148"/>
        <v>32088.449999999997</v>
      </c>
      <c r="R510" s="87"/>
    </row>
    <row r="511" spans="1:18" ht="13.5" customHeight="1">
      <c r="A511" s="33" t="s">
        <v>132</v>
      </c>
      <c r="B511" s="92"/>
      <c r="C511" s="135"/>
      <c r="D511" s="108">
        <f>2481.63-60</f>
        <v>2421.63</v>
      </c>
      <c r="E511" s="136"/>
      <c r="F511" s="188">
        <f t="shared" si="145"/>
        <v>2421.63</v>
      </c>
      <c r="G511" s="229"/>
      <c r="H511" s="230"/>
      <c r="I511" s="271">
        <f>F511+G511+H511</f>
        <v>2421.63</v>
      </c>
      <c r="J511" s="305"/>
      <c r="K511" s="230"/>
      <c r="L511" s="271">
        <f>I511+J511+K511</f>
        <v>2421.63</v>
      </c>
      <c r="M511" s="21"/>
      <c r="N511" s="7"/>
      <c r="O511" s="22">
        <f>L511+M511+N511</f>
        <v>2421.63</v>
      </c>
      <c r="P511" s="75"/>
      <c r="Q511" s="73">
        <f t="shared" si="148"/>
        <v>2421.63</v>
      </c>
      <c r="R511" s="87"/>
    </row>
    <row r="512" spans="1:18" ht="12.75">
      <c r="A512" s="32" t="s">
        <v>113</v>
      </c>
      <c r="B512" s="92"/>
      <c r="C512" s="135"/>
      <c r="D512" s="108">
        <f>1483.12</f>
        <v>1483.12</v>
      </c>
      <c r="E512" s="136"/>
      <c r="F512" s="188">
        <f t="shared" si="145"/>
        <v>1483.12</v>
      </c>
      <c r="G512" s="229">
        <f>-1200-283.12+1500+21</f>
        <v>37.88000000000011</v>
      </c>
      <c r="H512" s="230"/>
      <c r="I512" s="271">
        <f>F512+G512+H512</f>
        <v>1521</v>
      </c>
      <c r="J512" s="305">
        <f>-1521</f>
        <v>-1521</v>
      </c>
      <c r="K512" s="230"/>
      <c r="L512" s="271">
        <f>I512+J512+K512</f>
        <v>0</v>
      </c>
      <c r="M512" s="21"/>
      <c r="N512" s="7"/>
      <c r="O512" s="22">
        <f>L512+M512+N512</f>
        <v>0</v>
      </c>
      <c r="P512" s="75"/>
      <c r="Q512" s="73">
        <f t="shared" si="148"/>
        <v>0</v>
      </c>
      <c r="R512" s="87"/>
    </row>
    <row r="513" spans="1:18" ht="12.75">
      <c r="A513" s="32" t="s">
        <v>114</v>
      </c>
      <c r="B513" s="92">
        <v>15</v>
      </c>
      <c r="C513" s="135">
        <f>SUM(C514:C520)</f>
        <v>90000</v>
      </c>
      <c r="D513" s="108">
        <f aca="true" t="shared" si="149" ref="D513:Q513">SUM(D514:D520)</f>
        <v>250011.43</v>
      </c>
      <c r="E513" s="136">
        <f t="shared" si="149"/>
        <v>0</v>
      </c>
      <c r="F513" s="188">
        <f t="shared" si="149"/>
        <v>340011.43</v>
      </c>
      <c r="G513" s="229">
        <f t="shared" si="149"/>
        <v>-29122.050000000007</v>
      </c>
      <c r="H513" s="230">
        <f t="shared" si="149"/>
        <v>0</v>
      </c>
      <c r="I513" s="271">
        <f t="shared" si="149"/>
        <v>310889.38</v>
      </c>
      <c r="J513" s="305">
        <f t="shared" si="149"/>
        <v>40000</v>
      </c>
      <c r="K513" s="230">
        <f t="shared" si="149"/>
        <v>0</v>
      </c>
      <c r="L513" s="271">
        <f t="shared" si="149"/>
        <v>350889.38</v>
      </c>
      <c r="M513" s="109">
        <f t="shared" si="149"/>
        <v>0</v>
      </c>
      <c r="N513" s="109">
        <f t="shared" si="149"/>
        <v>0</v>
      </c>
      <c r="O513" s="109">
        <f t="shared" si="149"/>
        <v>350889.38</v>
      </c>
      <c r="P513" s="109">
        <f t="shared" si="149"/>
        <v>0</v>
      </c>
      <c r="Q513" s="188">
        <f t="shared" si="149"/>
        <v>350889.38</v>
      </c>
      <c r="R513" s="87"/>
    </row>
    <row r="514" spans="1:18" ht="12.75">
      <c r="A514" s="32" t="s">
        <v>115</v>
      </c>
      <c r="B514" s="92"/>
      <c r="C514" s="135">
        <v>52655</v>
      </c>
      <c r="D514" s="108">
        <f>206504.35</f>
        <v>206504.35</v>
      </c>
      <c r="E514" s="136"/>
      <c r="F514" s="188">
        <f t="shared" si="145"/>
        <v>259159.35</v>
      </c>
      <c r="G514" s="229">
        <f>-1243-500-34754.73-100</f>
        <v>-36597.73</v>
      </c>
      <c r="H514" s="230"/>
      <c r="I514" s="271">
        <f aca="true" t="shared" si="150" ref="I514:I520">F514+G514+H514</f>
        <v>222561.62</v>
      </c>
      <c r="J514" s="305">
        <f>20000+10000+10000</f>
        <v>40000</v>
      </c>
      <c r="K514" s="230"/>
      <c r="L514" s="271">
        <f aca="true" t="shared" si="151" ref="L514:L520">I514+J514+K514</f>
        <v>262561.62</v>
      </c>
      <c r="M514" s="21"/>
      <c r="N514" s="7"/>
      <c r="O514" s="22">
        <f aca="true" t="shared" si="152" ref="O514:O520">L514+M514+N514</f>
        <v>262561.62</v>
      </c>
      <c r="P514" s="75"/>
      <c r="Q514" s="73">
        <f t="shared" si="148"/>
        <v>262561.62</v>
      </c>
      <c r="R514" s="87"/>
    </row>
    <row r="515" spans="1:18" ht="12.75" hidden="1">
      <c r="A515" s="32" t="s">
        <v>116</v>
      </c>
      <c r="B515" s="92"/>
      <c r="C515" s="135"/>
      <c r="D515" s="108"/>
      <c r="E515" s="136"/>
      <c r="F515" s="188">
        <f t="shared" si="145"/>
        <v>0</v>
      </c>
      <c r="G515" s="229"/>
      <c r="H515" s="230"/>
      <c r="I515" s="271">
        <f t="shared" si="150"/>
        <v>0</v>
      </c>
      <c r="J515" s="305"/>
      <c r="K515" s="230"/>
      <c r="L515" s="271">
        <f t="shared" si="151"/>
        <v>0</v>
      </c>
      <c r="M515" s="21"/>
      <c r="N515" s="7"/>
      <c r="O515" s="22">
        <f t="shared" si="152"/>
        <v>0</v>
      </c>
      <c r="P515" s="75"/>
      <c r="Q515" s="73">
        <f t="shared" si="148"/>
        <v>0</v>
      </c>
      <c r="R515" s="87"/>
    </row>
    <row r="516" spans="1:18" ht="12.75" hidden="1">
      <c r="A516" s="32" t="s">
        <v>117</v>
      </c>
      <c r="B516" s="92"/>
      <c r="C516" s="135"/>
      <c r="D516" s="119"/>
      <c r="E516" s="150"/>
      <c r="F516" s="188">
        <f t="shared" si="145"/>
        <v>0</v>
      </c>
      <c r="G516" s="229"/>
      <c r="H516" s="230"/>
      <c r="I516" s="271">
        <f t="shared" si="150"/>
        <v>0</v>
      </c>
      <c r="J516" s="305"/>
      <c r="K516" s="230"/>
      <c r="L516" s="271">
        <f t="shared" si="151"/>
        <v>0</v>
      </c>
      <c r="M516" s="21"/>
      <c r="N516" s="7"/>
      <c r="O516" s="22">
        <f t="shared" si="152"/>
        <v>0</v>
      </c>
      <c r="P516" s="75"/>
      <c r="Q516" s="73">
        <f t="shared" si="148"/>
        <v>0</v>
      </c>
      <c r="R516" s="87"/>
    </row>
    <row r="517" spans="1:18" ht="12.75">
      <c r="A517" s="32" t="s">
        <v>118</v>
      </c>
      <c r="B517" s="92"/>
      <c r="C517" s="135">
        <v>30175</v>
      </c>
      <c r="D517" s="108">
        <f>22288.93</f>
        <v>22288.93</v>
      </c>
      <c r="E517" s="136"/>
      <c r="F517" s="188">
        <f t="shared" si="145"/>
        <v>52463.93</v>
      </c>
      <c r="G517" s="229">
        <f>-605+87.95</f>
        <v>-517.05</v>
      </c>
      <c r="H517" s="230"/>
      <c r="I517" s="271">
        <f t="shared" si="150"/>
        <v>51946.88</v>
      </c>
      <c r="J517" s="305"/>
      <c r="K517" s="230"/>
      <c r="L517" s="271">
        <f t="shared" si="151"/>
        <v>51946.88</v>
      </c>
      <c r="M517" s="21"/>
      <c r="N517" s="7"/>
      <c r="O517" s="22">
        <f t="shared" si="152"/>
        <v>51946.88</v>
      </c>
      <c r="P517" s="75"/>
      <c r="Q517" s="73">
        <f t="shared" si="148"/>
        <v>51946.88</v>
      </c>
      <c r="R517" s="87"/>
    </row>
    <row r="518" spans="1:18" ht="12.75">
      <c r="A518" s="32" t="s">
        <v>119</v>
      </c>
      <c r="B518" s="92"/>
      <c r="C518" s="135">
        <v>2200</v>
      </c>
      <c r="D518" s="108"/>
      <c r="E518" s="136"/>
      <c r="F518" s="188">
        <f t="shared" si="145"/>
        <v>2200</v>
      </c>
      <c r="G518" s="229"/>
      <c r="H518" s="230"/>
      <c r="I518" s="271">
        <f t="shared" si="150"/>
        <v>2200</v>
      </c>
      <c r="J518" s="307"/>
      <c r="K518" s="230"/>
      <c r="L518" s="271">
        <f t="shared" si="151"/>
        <v>2200</v>
      </c>
      <c r="M518" s="21"/>
      <c r="N518" s="7"/>
      <c r="O518" s="22">
        <f t="shared" si="152"/>
        <v>2200</v>
      </c>
      <c r="P518" s="75"/>
      <c r="Q518" s="73">
        <f t="shared" si="148"/>
        <v>2200</v>
      </c>
      <c r="R518" s="87"/>
    </row>
    <row r="519" spans="1:18" ht="12.75">
      <c r="A519" s="32" t="s">
        <v>120</v>
      </c>
      <c r="B519" s="92"/>
      <c r="C519" s="135">
        <v>4970</v>
      </c>
      <c r="D519" s="108">
        <f>11977.85</f>
        <v>11977.85</v>
      </c>
      <c r="E519" s="136"/>
      <c r="F519" s="188">
        <f t="shared" si="145"/>
        <v>16947.85</v>
      </c>
      <c r="G519" s="229">
        <f>1848+500+11000+100</f>
        <v>13448</v>
      </c>
      <c r="H519" s="230"/>
      <c r="I519" s="271">
        <f t="shared" si="150"/>
        <v>30395.85</v>
      </c>
      <c r="J519" s="305"/>
      <c r="K519" s="230"/>
      <c r="L519" s="271">
        <f t="shared" si="151"/>
        <v>30395.85</v>
      </c>
      <c r="M519" s="21"/>
      <c r="N519" s="7"/>
      <c r="O519" s="22">
        <f t="shared" si="152"/>
        <v>30395.85</v>
      </c>
      <c r="P519" s="75"/>
      <c r="Q519" s="73">
        <f t="shared" si="148"/>
        <v>30395.85</v>
      </c>
      <c r="R519" s="87"/>
    </row>
    <row r="520" spans="1:18" ht="12.75">
      <c r="A520" s="32" t="s">
        <v>113</v>
      </c>
      <c r="B520" s="92"/>
      <c r="C520" s="135"/>
      <c r="D520" s="108">
        <f>9240.3</f>
        <v>9240.3</v>
      </c>
      <c r="E520" s="136"/>
      <c r="F520" s="188">
        <f t="shared" si="145"/>
        <v>9240.3</v>
      </c>
      <c r="G520" s="229">
        <f>-5455.27</f>
        <v>-5455.27</v>
      </c>
      <c r="H520" s="230"/>
      <c r="I520" s="271">
        <f t="shared" si="150"/>
        <v>3785.029999999999</v>
      </c>
      <c r="J520" s="305"/>
      <c r="K520" s="230"/>
      <c r="L520" s="271">
        <f t="shared" si="151"/>
        <v>3785.029999999999</v>
      </c>
      <c r="M520" s="21"/>
      <c r="N520" s="7"/>
      <c r="O520" s="22">
        <f t="shared" si="152"/>
        <v>3785.029999999999</v>
      </c>
      <c r="P520" s="75"/>
      <c r="Q520" s="73">
        <f t="shared" si="148"/>
        <v>3785.029999999999</v>
      </c>
      <c r="R520" s="87"/>
    </row>
    <row r="521" spans="1:18" ht="12.75">
      <c r="A521" s="32" t="s">
        <v>121</v>
      </c>
      <c r="B521" s="92">
        <v>16</v>
      </c>
      <c r="C521" s="135">
        <f>SUM(C522:C526)</f>
        <v>5000</v>
      </c>
      <c r="D521" s="108">
        <f aca="true" t="shared" si="153" ref="D521:Q521">SUM(D522:D526)</f>
        <v>20942.469999999998</v>
      </c>
      <c r="E521" s="136">
        <f t="shared" si="153"/>
        <v>0</v>
      </c>
      <c r="F521" s="188">
        <f t="shared" si="153"/>
        <v>25942.469999999998</v>
      </c>
      <c r="G521" s="229">
        <f t="shared" si="153"/>
        <v>0</v>
      </c>
      <c r="H521" s="230">
        <f t="shared" si="153"/>
        <v>0</v>
      </c>
      <c r="I521" s="271">
        <f t="shared" si="153"/>
        <v>25942.469999999998</v>
      </c>
      <c r="J521" s="305">
        <f t="shared" si="153"/>
        <v>200</v>
      </c>
      <c r="K521" s="230">
        <f t="shared" si="153"/>
        <v>0</v>
      </c>
      <c r="L521" s="271">
        <f t="shared" si="153"/>
        <v>26142.469999999998</v>
      </c>
      <c r="M521" s="109">
        <f t="shared" si="153"/>
        <v>0</v>
      </c>
      <c r="N521" s="109">
        <f t="shared" si="153"/>
        <v>0</v>
      </c>
      <c r="O521" s="109">
        <f t="shared" si="153"/>
        <v>25942.469999999998</v>
      </c>
      <c r="P521" s="109">
        <f t="shared" si="153"/>
        <v>0</v>
      </c>
      <c r="Q521" s="188">
        <f t="shared" si="153"/>
        <v>25942.469999999998</v>
      </c>
      <c r="R521" s="87"/>
    </row>
    <row r="522" spans="1:18" ht="12.75">
      <c r="A522" s="32" t="s">
        <v>110</v>
      </c>
      <c r="B522" s="92"/>
      <c r="C522" s="135">
        <v>4005</v>
      </c>
      <c r="D522" s="108">
        <f>1941.63-1000</f>
        <v>941.6300000000001</v>
      </c>
      <c r="E522" s="136"/>
      <c r="F522" s="188">
        <f t="shared" si="145"/>
        <v>4946.63</v>
      </c>
      <c r="G522" s="229">
        <f>1310</f>
        <v>1310</v>
      </c>
      <c r="H522" s="230"/>
      <c r="I522" s="271">
        <f>F522+G522+H522</f>
        <v>6256.63</v>
      </c>
      <c r="J522" s="305"/>
      <c r="K522" s="230"/>
      <c r="L522" s="271">
        <f>I522+J522+K522</f>
        <v>6256.63</v>
      </c>
      <c r="M522" s="21"/>
      <c r="N522" s="7"/>
      <c r="O522" s="22">
        <f>L522+M522+N522</f>
        <v>6256.63</v>
      </c>
      <c r="P522" s="75"/>
      <c r="Q522" s="73">
        <f t="shared" si="148"/>
        <v>6256.63</v>
      </c>
      <c r="R522" s="87"/>
    </row>
    <row r="523" spans="1:18" ht="12.75">
      <c r="A523" s="32" t="s">
        <v>111</v>
      </c>
      <c r="B523" s="92"/>
      <c r="C523" s="135">
        <v>400</v>
      </c>
      <c r="D523" s="108">
        <f>1080</f>
        <v>1080</v>
      </c>
      <c r="E523" s="136"/>
      <c r="F523" s="188">
        <f t="shared" si="145"/>
        <v>1480</v>
      </c>
      <c r="G523" s="229">
        <f>-210</f>
        <v>-210</v>
      </c>
      <c r="H523" s="230"/>
      <c r="I523" s="271">
        <f>F523+G523+H523</f>
        <v>1270</v>
      </c>
      <c r="J523" s="305"/>
      <c r="K523" s="230"/>
      <c r="L523" s="271">
        <f>I523+J523+K523</f>
        <v>1270</v>
      </c>
      <c r="M523" s="21"/>
      <c r="N523" s="7"/>
      <c r="O523" s="22">
        <f>L523+M523+N523</f>
        <v>1270</v>
      </c>
      <c r="P523" s="75"/>
      <c r="Q523" s="73">
        <f t="shared" si="148"/>
        <v>1270</v>
      </c>
      <c r="R523" s="87"/>
    </row>
    <row r="524" spans="1:18" ht="12.75">
      <c r="A524" s="32" t="s">
        <v>112</v>
      </c>
      <c r="B524" s="92"/>
      <c r="C524" s="135"/>
      <c r="D524" s="108">
        <f>10507.24+1000+6800</f>
        <v>18307.239999999998</v>
      </c>
      <c r="E524" s="136"/>
      <c r="F524" s="188">
        <f t="shared" si="145"/>
        <v>18307.239999999998</v>
      </c>
      <c r="G524" s="229"/>
      <c r="H524" s="230"/>
      <c r="I524" s="271">
        <f>F524+G524+H524</f>
        <v>18307.239999999998</v>
      </c>
      <c r="J524" s="305">
        <f>12.1</f>
        <v>12.1</v>
      </c>
      <c r="K524" s="230"/>
      <c r="L524" s="271">
        <f>I524+J524+K524</f>
        <v>18319.339999999997</v>
      </c>
      <c r="M524" s="21"/>
      <c r="N524" s="7"/>
      <c r="O524" s="22">
        <f>L524+M524+N524</f>
        <v>18319.339999999997</v>
      </c>
      <c r="P524" s="75"/>
      <c r="Q524" s="73">
        <f t="shared" si="148"/>
        <v>18319.339999999997</v>
      </c>
      <c r="R524" s="87"/>
    </row>
    <row r="525" spans="1:18" ht="12.75">
      <c r="A525" s="32" t="s">
        <v>120</v>
      </c>
      <c r="B525" s="92"/>
      <c r="C525" s="135"/>
      <c r="D525" s="108"/>
      <c r="E525" s="136"/>
      <c r="F525" s="188"/>
      <c r="G525" s="229"/>
      <c r="H525" s="230"/>
      <c r="I525" s="271">
        <f>F525+G525+H525</f>
        <v>0</v>
      </c>
      <c r="J525" s="305">
        <f>200</f>
        <v>200</v>
      </c>
      <c r="K525" s="230"/>
      <c r="L525" s="271">
        <f>I525+J525+K525</f>
        <v>200</v>
      </c>
      <c r="M525" s="21"/>
      <c r="N525" s="7"/>
      <c r="O525" s="22"/>
      <c r="P525" s="75"/>
      <c r="Q525" s="73"/>
      <c r="R525" s="87"/>
    </row>
    <row r="526" spans="1:18" ht="12.75">
      <c r="A526" s="32" t="s">
        <v>113</v>
      </c>
      <c r="B526" s="92"/>
      <c r="C526" s="135">
        <v>595</v>
      </c>
      <c r="D526" s="108">
        <f>613.6</f>
        <v>613.6</v>
      </c>
      <c r="E526" s="136"/>
      <c r="F526" s="188">
        <f t="shared" si="145"/>
        <v>1208.6</v>
      </c>
      <c r="G526" s="229">
        <f>-1100</f>
        <v>-1100</v>
      </c>
      <c r="H526" s="230"/>
      <c r="I526" s="271">
        <f>F526+G526+H526</f>
        <v>108.59999999999991</v>
      </c>
      <c r="J526" s="305">
        <f>-12.1</f>
        <v>-12.1</v>
      </c>
      <c r="K526" s="230"/>
      <c r="L526" s="271">
        <f>I526+J526+K526</f>
        <v>96.49999999999991</v>
      </c>
      <c r="M526" s="21"/>
      <c r="N526" s="7"/>
      <c r="O526" s="22">
        <f>L526+M526+N526</f>
        <v>96.49999999999991</v>
      </c>
      <c r="P526" s="75"/>
      <c r="Q526" s="73">
        <f t="shared" si="148"/>
        <v>96.49999999999991</v>
      </c>
      <c r="R526" s="87"/>
    </row>
    <row r="527" spans="1:18" ht="12.75">
      <c r="A527" s="32" t="s">
        <v>101</v>
      </c>
      <c r="B527" s="92">
        <v>18</v>
      </c>
      <c r="C527" s="135">
        <f aca="true" t="shared" si="154" ref="C527:L527">C528+C529</f>
        <v>0</v>
      </c>
      <c r="D527" s="108">
        <f t="shared" si="154"/>
        <v>1148.96</v>
      </c>
      <c r="E527" s="136">
        <f t="shared" si="154"/>
        <v>0</v>
      </c>
      <c r="F527" s="188">
        <f t="shared" si="154"/>
        <v>1148.96</v>
      </c>
      <c r="G527" s="229">
        <f t="shared" si="154"/>
        <v>0</v>
      </c>
      <c r="H527" s="230">
        <f t="shared" si="154"/>
        <v>0</v>
      </c>
      <c r="I527" s="271">
        <f t="shared" si="154"/>
        <v>1148.96</v>
      </c>
      <c r="J527" s="289">
        <f t="shared" si="154"/>
        <v>0</v>
      </c>
      <c r="K527" s="230">
        <f t="shared" si="154"/>
        <v>0</v>
      </c>
      <c r="L527" s="271">
        <f t="shared" si="154"/>
        <v>1148.96</v>
      </c>
      <c r="M527" s="21"/>
      <c r="N527" s="127"/>
      <c r="O527" s="81"/>
      <c r="P527" s="75"/>
      <c r="Q527" s="73"/>
      <c r="R527" s="87"/>
    </row>
    <row r="528" spans="1:18" ht="12.75">
      <c r="A528" s="32" t="s">
        <v>102</v>
      </c>
      <c r="B528" s="92"/>
      <c r="C528" s="135"/>
      <c r="D528" s="108">
        <f>1148.96</f>
        <v>1148.96</v>
      </c>
      <c r="E528" s="136"/>
      <c r="F528" s="188">
        <f>C528+D528+E528</f>
        <v>1148.96</v>
      </c>
      <c r="G528" s="229"/>
      <c r="H528" s="230"/>
      <c r="I528" s="271">
        <f>F528+G528+H528</f>
        <v>1148.96</v>
      </c>
      <c r="J528" s="305"/>
      <c r="K528" s="230"/>
      <c r="L528" s="271">
        <f>I528+J528+K528</f>
        <v>1148.96</v>
      </c>
      <c r="M528" s="21"/>
      <c r="N528" s="127"/>
      <c r="O528" s="81"/>
      <c r="P528" s="75"/>
      <c r="Q528" s="73"/>
      <c r="R528" s="87"/>
    </row>
    <row r="529" spans="1:18" ht="12.75" hidden="1">
      <c r="A529" s="32" t="s">
        <v>103</v>
      </c>
      <c r="B529" s="92"/>
      <c r="C529" s="135">
        <v>0</v>
      </c>
      <c r="D529" s="108"/>
      <c r="E529" s="136"/>
      <c r="F529" s="188">
        <f>C529+D529+E529</f>
        <v>0</v>
      </c>
      <c r="G529" s="229"/>
      <c r="H529" s="230"/>
      <c r="I529" s="271">
        <f>F529+G529+H529</f>
        <v>0</v>
      </c>
      <c r="J529" s="305"/>
      <c r="K529" s="230"/>
      <c r="L529" s="271"/>
      <c r="M529" s="21"/>
      <c r="N529" s="127"/>
      <c r="O529" s="81"/>
      <c r="P529" s="75"/>
      <c r="Q529" s="73"/>
      <c r="R529" s="87"/>
    </row>
    <row r="530" spans="1:18" ht="12.75">
      <c r="A530" s="93" t="s">
        <v>247</v>
      </c>
      <c r="B530" s="92">
        <v>19</v>
      </c>
      <c r="C530" s="135">
        <f aca="true" t="shared" si="155" ref="C530:L530">C531+C532</f>
        <v>5540.5</v>
      </c>
      <c r="D530" s="108">
        <f t="shared" si="155"/>
        <v>7526.429999999999</v>
      </c>
      <c r="E530" s="136">
        <f t="shared" si="155"/>
        <v>0</v>
      </c>
      <c r="F530" s="188">
        <f t="shared" si="155"/>
        <v>13066.93</v>
      </c>
      <c r="G530" s="229">
        <f t="shared" si="155"/>
        <v>822</v>
      </c>
      <c r="H530" s="230">
        <f t="shared" si="155"/>
        <v>0</v>
      </c>
      <c r="I530" s="271">
        <f t="shared" si="155"/>
        <v>13888.93</v>
      </c>
      <c r="J530" s="289">
        <f t="shared" si="155"/>
        <v>0</v>
      </c>
      <c r="K530" s="230">
        <f t="shared" si="155"/>
        <v>0</v>
      </c>
      <c r="L530" s="271">
        <f t="shared" si="155"/>
        <v>13888.93</v>
      </c>
      <c r="M530" s="21"/>
      <c r="N530" s="127"/>
      <c r="O530" s="81"/>
      <c r="P530" s="75"/>
      <c r="Q530" s="73"/>
      <c r="R530" s="87"/>
    </row>
    <row r="531" spans="1:18" ht="12.75">
      <c r="A531" s="32" t="s">
        <v>102</v>
      </c>
      <c r="B531" s="92"/>
      <c r="C531" s="135">
        <v>5540.5</v>
      </c>
      <c r="D531" s="108">
        <f>5983.61+90</f>
        <v>6073.61</v>
      </c>
      <c r="E531" s="136"/>
      <c r="F531" s="188">
        <f>C531+D531+E531</f>
        <v>11614.11</v>
      </c>
      <c r="G531" s="229">
        <f>822</f>
        <v>822</v>
      </c>
      <c r="H531" s="230"/>
      <c r="I531" s="271">
        <f>F531+G531+H531</f>
        <v>12436.11</v>
      </c>
      <c r="J531" s="305"/>
      <c r="K531" s="230"/>
      <c r="L531" s="271">
        <f>I531+J531+K531</f>
        <v>12436.11</v>
      </c>
      <c r="M531" s="21"/>
      <c r="N531" s="127"/>
      <c r="O531" s="81"/>
      <c r="P531" s="75"/>
      <c r="Q531" s="73"/>
      <c r="R531" s="87"/>
    </row>
    <row r="532" spans="1:18" ht="12.75">
      <c r="A532" s="32" t="s">
        <v>103</v>
      </c>
      <c r="B532" s="92"/>
      <c r="C532" s="135"/>
      <c r="D532" s="108">
        <v>1452.82</v>
      </c>
      <c r="E532" s="136"/>
      <c r="F532" s="188">
        <f>C532+D532+E532</f>
        <v>1452.82</v>
      </c>
      <c r="G532" s="229"/>
      <c r="H532" s="230"/>
      <c r="I532" s="271">
        <f>F532+G532+H532</f>
        <v>1452.82</v>
      </c>
      <c r="J532" s="305"/>
      <c r="K532" s="230"/>
      <c r="L532" s="271">
        <f>I532+J532+K532</f>
        <v>1452.82</v>
      </c>
      <c r="M532" s="21"/>
      <c r="N532" s="127"/>
      <c r="O532" s="81"/>
      <c r="P532" s="75"/>
      <c r="Q532" s="73"/>
      <c r="R532" s="87"/>
    </row>
    <row r="533" spans="1:18" ht="12.75">
      <c r="A533" s="32" t="s">
        <v>122</v>
      </c>
      <c r="B533" s="92">
        <v>28</v>
      </c>
      <c r="C533" s="135">
        <f>SUM(C534:C538)</f>
        <v>100000</v>
      </c>
      <c r="D533" s="108">
        <f aca="true" t="shared" si="156" ref="D533:Q533">SUM(D534:D538)</f>
        <v>-20500.48</v>
      </c>
      <c r="E533" s="136">
        <f t="shared" si="156"/>
        <v>0</v>
      </c>
      <c r="F533" s="188">
        <f t="shared" si="156"/>
        <v>79499.51999999999</v>
      </c>
      <c r="G533" s="229">
        <f t="shared" si="156"/>
        <v>0</v>
      </c>
      <c r="H533" s="230">
        <f t="shared" si="156"/>
        <v>0</v>
      </c>
      <c r="I533" s="271">
        <f t="shared" si="156"/>
        <v>79499.51999999999</v>
      </c>
      <c r="J533" s="305">
        <f t="shared" si="156"/>
        <v>-3567.5999999999995</v>
      </c>
      <c r="K533" s="230">
        <f t="shared" si="156"/>
        <v>0</v>
      </c>
      <c r="L533" s="271">
        <f t="shared" si="156"/>
        <v>75931.91999999998</v>
      </c>
      <c r="M533" s="109">
        <f t="shared" si="156"/>
        <v>0</v>
      </c>
      <c r="N533" s="109">
        <f t="shared" si="156"/>
        <v>0</v>
      </c>
      <c r="O533" s="109">
        <f t="shared" si="156"/>
        <v>75931.91999999998</v>
      </c>
      <c r="P533" s="109">
        <f t="shared" si="156"/>
        <v>0</v>
      </c>
      <c r="Q533" s="188">
        <f t="shared" si="156"/>
        <v>75931.91999999998</v>
      </c>
      <c r="R533" s="87"/>
    </row>
    <row r="534" spans="1:18" ht="12.75">
      <c r="A534" s="32" t="s">
        <v>110</v>
      </c>
      <c r="B534" s="92"/>
      <c r="C534" s="135">
        <v>4200</v>
      </c>
      <c r="D534" s="108">
        <f>6266.14+15500</f>
        <v>21766.14</v>
      </c>
      <c r="E534" s="136"/>
      <c r="F534" s="188">
        <f t="shared" si="145"/>
        <v>25966.14</v>
      </c>
      <c r="G534" s="229"/>
      <c r="H534" s="230"/>
      <c r="I534" s="271">
        <f>F534+G534+H534</f>
        <v>25966.14</v>
      </c>
      <c r="J534" s="305">
        <f>836.42</f>
        <v>836.42</v>
      </c>
      <c r="K534" s="230"/>
      <c r="L534" s="271">
        <f>I534+J534+K534</f>
        <v>26802.559999999998</v>
      </c>
      <c r="M534" s="21"/>
      <c r="N534" s="7"/>
      <c r="O534" s="22">
        <f>L534+M534+N534</f>
        <v>26802.559999999998</v>
      </c>
      <c r="P534" s="75"/>
      <c r="Q534" s="73">
        <f t="shared" si="148"/>
        <v>26802.559999999998</v>
      </c>
      <c r="R534" s="87"/>
    </row>
    <row r="535" spans="1:18" ht="12.75">
      <c r="A535" s="32" t="s">
        <v>111</v>
      </c>
      <c r="B535" s="92"/>
      <c r="C535" s="135">
        <v>1000</v>
      </c>
      <c r="D535" s="108"/>
      <c r="E535" s="136"/>
      <c r="F535" s="188">
        <f t="shared" si="145"/>
        <v>1000</v>
      </c>
      <c r="G535" s="229"/>
      <c r="H535" s="230"/>
      <c r="I535" s="271">
        <f>F535+G535+H535</f>
        <v>1000</v>
      </c>
      <c r="J535" s="305"/>
      <c r="K535" s="230"/>
      <c r="L535" s="271">
        <f>I535+J535+K535</f>
        <v>1000</v>
      </c>
      <c r="M535" s="21"/>
      <c r="N535" s="7"/>
      <c r="O535" s="22">
        <f>L535+M535+N535</f>
        <v>1000</v>
      </c>
      <c r="P535" s="75"/>
      <c r="Q535" s="73">
        <f t="shared" si="148"/>
        <v>1000</v>
      </c>
      <c r="R535" s="87"/>
    </row>
    <row r="536" spans="1:18" ht="12.75">
      <c r="A536" s="32" t="s">
        <v>123</v>
      </c>
      <c r="B536" s="92"/>
      <c r="C536" s="135">
        <v>94800</v>
      </c>
      <c r="D536" s="108">
        <f>30845.57-60000-15500</f>
        <v>-44654.43</v>
      </c>
      <c r="E536" s="136"/>
      <c r="F536" s="188">
        <f t="shared" si="145"/>
        <v>50145.57</v>
      </c>
      <c r="G536" s="229"/>
      <c r="H536" s="230"/>
      <c r="I536" s="271">
        <f>F536+G536+H536</f>
        <v>50145.57</v>
      </c>
      <c r="J536" s="305">
        <f>-9598.39</f>
        <v>-9598.39</v>
      </c>
      <c r="K536" s="230"/>
      <c r="L536" s="271">
        <f>I536+J536+K536</f>
        <v>40547.18</v>
      </c>
      <c r="M536" s="21"/>
      <c r="N536" s="7"/>
      <c r="O536" s="22">
        <f>L536+M536+N536</f>
        <v>40547.18</v>
      </c>
      <c r="P536" s="75"/>
      <c r="Q536" s="73">
        <f t="shared" si="148"/>
        <v>40547.18</v>
      </c>
      <c r="R536" s="87"/>
    </row>
    <row r="537" spans="1:18" ht="12.75" hidden="1">
      <c r="A537" s="32" t="s">
        <v>120</v>
      </c>
      <c r="B537" s="92"/>
      <c r="C537" s="135"/>
      <c r="D537" s="108"/>
      <c r="E537" s="136"/>
      <c r="F537" s="188">
        <f t="shared" si="145"/>
        <v>0</v>
      </c>
      <c r="G537" s="229"/>
      <c r="H537" s="230"/>
      <c r="I537" s="271">
        <f>F537+G537+H537</f>
        <v>0</v>
      </c>
      <c r="J537" s="305"/>
      <c r="K537" s="230"/>
      <c r="L537" s="271">
        <f>I537+J537+K537</f>
        <v>0</v>
      </c>
      <c r="M537" s="21"/>
      <c r="N537" s="7"/>
      <c r="O537" s="22">
        <f>L537+M537+N537</f>
        <v>0</v>
      </c>
      <c r="P537" s="75"/>
      <c r="Q537" s="73">
        <f t="shared" si="148"/>
        <v>0</v>
      </c>
      <c r="R537" s="87"/>
    </row>
    <row r="538" spans="1:18" ht="12.75">
      <c r="A538" s="32" t="s">
        <v>113</v>
      </c>
      <c r="B538" s="92"/>
      <c r="C538" s="135"/>
      <c r="D538" s="119">
        <f>2387.81</f>
        <v>2387.81</v>
      </c>
      <c r="E538" s="136"/>
      <c r="F538" s="188">
        <f t="shared" si="145"/>
        <v>2387.81</v>
      </c>
      <c r="G538" s="229"/>
      <c r="H538" s="230"/>
      <c r="I538" s="271">
        <f>F538+G538+H538</f>
        <v>2387.81</v>
      </c>
      <c r="J538" s="305">
        <f>5194.37</f>
        <v>5194.37</v>
      </c>
      <c r="K538" s="230"/>
      <c r="L538" s="271">
        <f>I538+J538+K538</f>
        <v>7582.18</v>
      </c>
      <c r="M538" s="21"/>
      <c r="N538" s="7"/>
      <c r="O538" s="22">
        <f>L538+M538+N538</f>
        <v>7582.18</v>
      </c>
      <c r="P538" s="75"/>
      <c r="Q538" s="73">
        <f t="shared" si="148"/>
        <v>7582.18</v>
      </c>
      <c r="R538" s="87"/>
    </row>
    <row r="539" spans="1:18" ht="12.75">
      <c r="A539" s="33" t="s">
        <v>124</v>
      </c>
      <c r="B539" s="92"/>
      <c r="C539" s="135">
        <f>C540+C541</f>
        <v>5001</v>
      </c>
      <c r="D539" s="108">
        <f aca="true" t="shared" si="157" ref="D539:Q539">D540+D541</f>
        <v>6671.28</v>
      </c>
      <c r="E539" s="136">
        <f t="shared" si="157"/>
        <v>0</v>
      </c>
      <c r="F539" s="188">
        <f t="shared" si="157"/>
        <v>11672.279999999999</v>
      </c>
      <c r="G539" s="229">
        <f t="shared" si="157"/>
        <v>-5000</v>
      </c>
      <c r="H539" s="230">
        <f t="shared" si="157"/>
        <v>0</v>
      </c>
      <c r="I539" s="271">
        <f t="shared" si="157"/>
        <v>6672.28</v>
      </c>
      <c r="J539" s="305">
        <f t="shared" si="157"/>
        <v>0</v>
      </c>
      <c r="K539" s="230">
        <f t="shared" si="157"/>
        <v>0</v>
      </c>
      <c r="L539" s="271">
        <f t="shared" si="157"/>
        <v>6672.28</v>
      </c>
      <c r="M539" s="135">
        <f t="shared" si="157"/>
        <v>0</v>
      </c>
      <c r="N539" s="135">
        <f t="shared" si="157"/>
        <v>0</v>
      </c>
      <c r="O539" s="135">
        <f t="shared" si="157"/>
        <v>0</v>
      </c>
      <c r="P539" s="135">
        <f t="shared" si="157"/>
        <v>0</v>
      </c>
      <c r="Q539" s="188">
        <f t="shared" si="157"/>
        <v>0</v>
      </c>
      <c r="R539" s="87"/>
    </row>
    <row r="540" spans="1:18" ht="12.75">
      <c r="A540" s="33" t="s">
        <v>232</v>
      </c>
      <c r="B540" s="92"/>
      <c r="C540" s="135">
        <v>5000</v>
      </c>
      <c r="D540" s="108">
        <f>1641.28</f>
        <v>1641.28</v>
      </c>
      <c r="E540" s="136"/>
      <c r="F540" s="188">
        <f t="shared" si="145"/>
        <v>6641.28</v>
      </c>
      <c r="G540" s="229"/>
      <c r="H540" s="230"/>
      <c r="I540" s="271">
        <f>F540+G540+H540</f>
        <v>6641.28</v>
      </c>
      <c r="J540" s="305"/>
      <c r="K540" s="230"/>
      <c r="L540" s="271">
        <f>I540+J540+K540</f>
        <v>6641.28</v>
      </c>
      <c r="M540" s="21"/>
      <c r="N540" s="7"/>
      <c r="O540" s="22"/>
      <c r="P540" s="75"/>
      <c r="Q540" s="73"/>
      <c r="R540" s="87"/>
    </row>
    <row r="541" spans="1:18" ht="12.75">
      <c r="A541" s="36" t="s">
        <v>271</v>
      </c>
      <c r="B541" s="95"/>
      <c r="C541" s="157">
        <v>1</v>
      </c>
      <c r="D541" s="116">
        <f>5000+30</f>
        <v>5030</v>
      </c>
      <c r="E541" s="214"/>
      <c r="F541" s="224">
        <f t="shared" si="145"/>
        <v>5031</v>
      </c>
      <c r="G541" s="241">
        <f>-5000</f>
        <v>-5000</v>
      </c>
      <c r="H541" s="242"/>
      <c r="I541" s="276">
        <f>F541+G541+H541</f>
        <v>31</v>
      </c>
      <c r="J541" s="309"/>
      <c r="K541" s="242"/>
      <c r="L541" s="271">
        <f>I541+J541+K541</f>
        <v>31</v>
      </c>
      <c r="M541" s="21"/>
      <c r="N541" s="7"/>
      <c r="O541" s="22"/>
      <c r="P541" s="75"/>
      <c r="Q541" s="73"/>
      <c r="R541" s="87"/>
    </row>
    <row r="542" spans="1:18" ht="13.5" thickBot="1">
      <c r="A542" s="45" t="s">
        <v>125</v>
      </c>
      <c r="B542" s="96"/>
      <c r="C542" s="129">
        <v>9568.78</v>
      </c>
      <c r="D542" s="108">
        <f>270</f>
        <v>270</v>
      </c>
      <c r="E542" s="130"/>
      <c r="F542" s="190">
        <f t="shared" si="145"/>
        <v>9838.78</v>
      </c>
      <c r="G542" s="233"/>
      <c r="H542" s="234">
        <f>4154.61</f>
        <v>4154.61</v>
      </c>
      <c r="I542" s="272">
        <f>SUM(F542:H542)</f>
        <v>13993.39</v>
      </c>
      <c r="J542" s="308"/>
      <c r="K542" s="234"/>
      <c r="L542" s="303">
        <f>SUM(I542:K542)</f>
        <v>13993.39</v>
      </c>
      <c r="M542" s="23"/>
      <c r="N542" s="8"/>
      <c r="O542" s="24">
        <f>SUM(L542:N542)</f>
        <v>13993.39</v>
      </c>
      <c r="P542" s="76"/>
      <c r="Q542" s="27">
        <f>O542+P542</f>
        <v>13993.39</v>
      </c>
      <c r="R542" s="87"/>
    </row>
    <row r="543" spans="1:18" ht="15.75" thickBot="1">
      <c r="A543" s="46" t="s">
        <v>126</v>
      </c>
      <c r="B543" s="99"/>
      <c r="C543" s="139">
        <f>+C82+C102+C113+C131+C143+C176+C233+C255+C285+C306+C388+C426+C450+C457+C489+C493+C542+C464+C330+C278</f>
        <v>4869240.36</v>
      </c>
      <c r="D543" s="121">
        <f>+D82+D102+D113+D131+D143+D176+D233+D255+D285+D306+D388+D426+D450+D457+D489+D493+D542+D464+D330+D278</f>
        <v>13201803.469999995</v>
      </c>
      <c r="E543" s="140">
        <f>+E82+E102+E113+E131+E143+E176+E233+E255+E285+E306+E388+E426+E450+E457+E489+E493+E542+E464+E330</f>
        <v>2062</v>
      </c>
      <c r="F543" s="195">
        <f aca="true" t="shared" si="158" ref="F543:L543">+F82+F102+F113+F131+F143+F176+F233+F255+F285+F306+F388+F426+F450+F457+F489+F493+F542+F464+F330+F278</f>
        <v>18073105.829999994</v>
      </c>
      <c r="G543" s="246">
        <f t="shared" si="158"/>
        <v>773487.52</v>
      </c>
      <c r="H543" s="247">
        <f t="shared" si="158"/>
        <v>144981.54</v>
      </c>
      <c r="I543" s="280">
        <f t="shared" si="158"/>
        <v>18991574.890000004</v>
      </c>
      <c r="J543" s="294">
        <f t="shared" si="158"/>
        <v>1045759.9800000001</v>
      </c>
      <c r="K543" s="247">
        <f t="shared" si="158"/>
        <v>17792.32</v>
      </c>
      <c r="L543" s="280">
        <f t="shared" si="158"/>
        <v>20055127.189999998</v>
      </c>
      <c r="M543" s="139" t="e">
        <f>+M82+M102+M113+M131+M143+M176+M233+M255+M285+M306+M388+M426+M450+M457+M489+M493+M542+M464+M330</f>
        <v>#REF!</v>
      </c>
      <c r="N543" s="139" t="e">
        <f>+N82+N102+N113+N131+N143+N176+N233+N255+N285+N306+N388+N426+N450+N457+N489+N493+N542+N464+N330</f>
        <v>#REF!</v>
      </c>
      <c r="O543" s="139" t="e">
        <f>+O82+O102+O113+O131+O143+O176+O233+O255+O285+O306+O388+O426+O450+O457+O489+O493+O542+O464+O330</f>
        <v>#REF!</v>
      </c>
      <c r="P543" s="139" t="e">
        <f>+P82+P102+P113+P131+P143+P176+P233+P255+P285+P306+P388+P426+P450+P457+P489+P493+P542+P464+P330</f>
        <v>#REF!</v>
      </c>
      <c r="Q543" s="195" t="e">
        <f>+Q82+Q102+Q113+Q131+Q143+Q176+Q233+Q255+Q285+Q306+Q388+Q426+Q450+Q457+Q489+Q493+Q542+Q464+Q330</f>
        <v>#REF!</v>
      </c>
      <c r="R543" s="87"/>
    </row>
    <row r="544" spans="1:18" ht="13.5" thickBot="1">
      <c r="A544" s="47" t="s">
        <v>127</v>
      </c>
      <c r="B544" s="99"/>
      <c r="C544" s="161">
        <v>-9568.78</v>
      </c>
      <c r="D544" s="185">
        <f>-270</f>
        <v>-270</v>
      </c>
      <c r="E544" s="175"/>
      <c r="F544" s="225">
        <f t="shared" si="145"/>
        <v>-9838.78</v>
      </c>
      <c r="G544" s="248"/>
      <c r="H544" s="249"/>
      <c r="I544" s="272">
        <f>SUM(F544:H544)</f>
        <v>-9838.78</v>
      </c>
      <c r="J544" s="314"/>
      <c r="K544" s="249"/>
      <c r="L544" s="303">
        <f>SUM(I544:K544)</f>
        <v>-9838.78</v>
      </c>
      <c r="M544" s="161"/>
      <c r="N544" s="161"/>
      <c r="O544" s="161"/>
      <c r="P544" s="161"/>
      <c r="Q544" s="196"/>
      <c r="R544" s="87"/>
    </row>
    <row r="545" spans="1:18" ht="16.5" thickBot="1">
      <c r="A545" s="48" t="s">
        <v>128</v>
      </c>
      <c r="B545" s="99"/>
      <c r="C545" s="162">
        <f aca="true" t="shared" si="159" ref="C545:Q545">C543+C544</f>
        <v>4859671.58</v>
      </c>
      <c r="D545" s="113">
        <f t="shared" si="159"/>
        <v>13201533.469999995</v>
      </c>
      <c r="E545" s="176">
        <f t="shared" si="159"/>
        <v>2062</v>
      </c>
      <c r="F545" s="197">
        <f t="shared" si="159"/>
        <v>18063267.049999993</v>
      </c>
      <c r="G545" s="250">
        <f t="shared" si="159"/>
        <v>773487.52</v>
      </c>
      <c r="H545" s="251">
        <f t="shared" si="159"/>
        <v>144981.54</v>
      </c>
      <c r="I545" s="281">
        <f t="shared" si="159"/>
        <v>18981736.110000003</v>
      </c>
      <c r="J545" s="295">
        <f>J543+J544</f>
        <v>1045759.9800000001</v>
      </c>
      <c r="K545" s="251">
        <f>K543+K544</f>
        <v>17792.32</v>
      </c>
      <c r="L545" s="281">
        <f>L543+L544</f>
        <v>20045288.409999996</v>
      </c>
      <c r="M545" s="162" t="e">
        <f t="shared" si="159"/>
        <v>#REF!</v>
      </c>
      <c r="N545" s="162" t="e">
        <f t="shared" si="159"/>
        <v>#REF!</v>
      </c>
      <c r="O545" s="162" t="e">
        <f t="shared" si="159"/>
        <v>#REF!</v>
      </c>
      <c r="P545" s="162" t="e">
        <f t="shared" si="159"/>
        <v>#REF!</v>
      </c>
      <c r="Q545" s="197" t="e">
        <f t="shared" si="159"/>
        <v>#REF!</v>
      </c>
      <c r="R545" s="87"/>
    </row>
    <row r="546" spans="1:18" ht="15.75">
      <c r="A546" s="49" t="s">
        <v>26</v>
      </c>
      <c r="B546" s="100"/>
      <c r="C546" s="163"/>
      <c r="D546" s="122"/>
      <c r="E546" s="177"/>
      <c r="F546" s="198"/>
      <c r="G546" s="252"/>
      <c r="H546" s="253"/>
      <c r="I546" s="282"/>
      <c r="J546" s="296"/>
      <c r="K546" s="253"/>
      <c r="L546" s="282"/>
      <c r="M546" s="163"/>
      <c r="N546" s="163"/>
      <c r="O546" s="163"/>
      <c r="P546" s="163"/>
      <c r="Q546" s="198"/>
      <c r="R546" s="87"/>
    </row>
    <row r="547" spans="1:18" ht="15.75">
      <c r="A547" s="50" t="s">
        <v>221</v>
      </c>
      <c r="B547" s="101"/>
      <c r="C547" s="164">
        <f>+C83+C103+C114+C132+C144+C177+C234+C256+C286+C307+C389+C427+C451+C458+C490+C495+C542+C544+C465+C331+C279</f>
        <v>4013386.4899999998</v>
      </c>
      <c r="D547" s="205">
        <f>+D83+D103+D114+D132+D144+D177+D234+D256+D286+D307+D389+D427+D451+D458+D490+D495+D542+D544+D465+D331+D279</f>
        <v>10730848.969999997</v>
      </c>
      <c r="E547" s="178">
        <f>+E83+E103+E114+E132+E144+E177+E234+E256+E286+E307+E389+E427+E451+E458+E490+E495+E542+E544+E465+E331</f>
        <v>710.5</v>
      </c>
      <c r="F547" s="199">
        <f aca="true" t="shared" si="160" ref="F547:L547">+F83+F103+F114+F132+F144+F177+F234+F256+F286+F307+F389+F427+F451+F458+F490+F495+F542+F544+F465+F331+F279</f>
        <v>14744945.959999999</v>
      </c>
      <c r="G547" s="254">
        <f t="shared" si="160"/>
        <v>403481.12999999995</v>
      </c>
      <c r="H547" s="255">
        <f t="shared" si="160"/>
        <v>40836.55</v>
      </c>
      <c r="I547" s="283">
        <f t="shared" si="160"/>
        <v>15189263.640000002</v>
      </c>
      <c r="J547" s="297">
        <f t="shared" si="160"/>
        <v>742485.72</v>
      </c>
      <c r="K547" s="255">
        <f t="shared" si="160"/>
        <v>2170.63</v>
      </c>
      <c r="L547" s="283">
        <f t="shared" si="160"/>
        <v>15933919.989999995</v>
      </c>
      <c r="M547" s="164">
        <f>+M83+M103+M114+M132+M144+M177+M234+M256+M286+M307+M389+M427+M451+M458+M490+M495+M542+M544+M465+M331</f>
        <v>0</v>
      </c>
      <c r="N547" s="164">
        <f>+N83+N103+N114+N132+N144+N177+N234+N256+N286+N307+N389+N427+N451+N458+N490+N495+N542+N544+N465+N331</f>
        <v>0</v>
      </c>
      <c r="O547" s="164">
        <f>+O83+O103+O114+O132+O144+O177+O234+O256+O286+O307+O389+O427+O451+O458+O490+O495+O542+O544+O465+O331</f>
        <v>4961970.329999999</v>
      </c>
      <c r="P547" s="164">
        <f>+P83+P103+P114+P132+P144+P177+P234+P256+P286+P307+P389+P427+P451+P458+P490+P495+P542+P544+P465+P331</f>
        <v>0</v>
      </c>
      <c r="Q547" s="199">
        <f>+Q83+Q103+Q114+Q132+Q144+Q177+Q234+Q256+Q286+Q307+Q389+Q427+Q451+Q458+Q490+Q495+Q542+Q544+Q465+Q331</f>
        <v>4961970.329999999</v>
      </c>
      <c r="R547" s="87"/>
    </row>
    <row r="548" spans="1:18" ht="16.5" thickBot="1">
      <c r="A548" s="38" t="s">
        <v>222</v>
      </c>
      <c r="B548" s="102"/>
      <c r="C548" s="165">
        <f>+C92+C110+C126+C137+C166+C221+C248+C271+C299+C326+C421+C441+C454+C496+C479+C356+C282</f>
        <v>846285.09</v>
      </c>
      <c r="D548" s="206">
        <f>+D92+D110+D126+D137+D166+D221+D248+D271+D299+D326+D421+D441+D454+D496+D479+D356+D282</f>
        <v>2470684.5</v>
      </c>
      <c r="E548" s="179">
        <f>+E92+E110+E126+E137+E166+E221+E248+E271+E299+E326+E421+E441+E454+E496+E479+E356</f>
        <v>1351.5</v>
      </c>
      <c r="F548" s="200">
        <f aca="true" t="shared" si="161" ref="F548:L548">+F92+F110+F126+F137+F166+F221+F248+F271+F299+F326+F421+F441+F454+F496+F479+F356+F282</f>
        <v>3318321.09</v>
      </c>
      <c r="G548" s="256">
        <f t="shared" si="161"/>
        <v>370006.39</v>
      </c>
      <c r="H548" s="257">
        <f t="shared" si="161"/>
        <v>104144.99</v>
      </c>
      <c r="I548" s="284">
        <f t="shared" si="161"/>
        <v>3792472.4699999997</v>
      </c>
      <c r="J548" s="298">
        <f t="shared" si="161"/>
        <v>303274.26</v>
      </c>
      <c r="K548" s="257">
        <f t="shared" si="161"/>
        <v>15621.69</v>
      </c>
      <c r="L548" s="284">
        <f t="shared" si="161"/>
        <v>4111368.42</v>
      </c>
      <c r="M548" s="165" t="e">
        <f>+M92+M110+M126+M137+M166+M221+M248+M271+M299+M326+M421+M441+M454+M496+M479+M356</f>
        <v>#REF!</v>
      </c>
      <c r="N548" s="165" t="e">
        <f>+N92+N110+N126+N137+N166+N221+N248+N271+N299+N326+N421+N441+N454+N496+N479+N356</f>
        <v>#REF!</v>
      </c>
      <c r="O548" s="165" t="e">
        <f>+O92+O110+O126+O137+O166+O221+O248+O271+O299+O326+O421+O441+O454+O496+O479+O356</f>
        <v>#REF!</v>
      </c>
      <c r="P548" s="165" t="e">
        <f>+P92+P110+P126+P137+P166+P221+P248+P271+P299+P326+P421+P441+P454+P496+P479+P356</f>
        <v>#REF!</v>
      </c>
      <c r="Q548" s="200" t="e">
        <f>+Q92+Q110+Q126+Q137+Q166+Q221+Q248+Q271+Q299+Q326+Q421+Q441+Q454+Q496+Q479+Q356</f>
        <v>#REF!</v>
      </c>
      <c r="R548" s="87"/>
    </row>
    <row r="549" spans="1:18" ht="16.5" thickBot="1">
      <c r="A549" s="50" t="s">
        <v>215</v>
      </c>
      <c r="B549" s="101"/>
      <c r="C549" s="139">
        <f aca="true" t="shared" si="162" ref="C549:Q549">C80-C545</f>
        <v>0</v>
      </c>
      <c r="D549" s="121">
        <f t="shared" si="162"/>
        <v>-2325927.1899999976</v>
      </c>
      <c r="E549" s="140">
        <f t="shared" si="162"/>
        <v>-2062</v>
      </c>
      <c r="F549" s="195">
        <f t="shared" si="162"/>
        <v>-2327989.1899999958</v>
      </c>
      <c r="G549" s="246">
        <f t="shared" si="162"/>
        <v>-17582.099999999977</v>
      </c>
      <c r="H549" s="247">
        <f t="shared" si="162"/>
        <v>-56669.5</v>
      </c>
      <c r="I549" s="280">
        <f t="shared" si="162"/>
        <v>-2402240.7900000047</v>
      </c>
      <c r="J549" s="294">
        <f t="shared" si="162"/>
        <v>0</v>
      </c>
      <c r="K549" s="247">
        <f t="shared" si="162"/>
        <v>0</v>
      </c>
      <c r="L549" s="280">
        <f t="shared" si="162"/>
        <v>-2402240.789999999</v>
      </c>
      <c r="M549" s="139" t="e">
        <f t="shared" si="162"/>
        <v>#REF!</v>
      </c>
      <c r="N549" s="139" t="e">
        <f t="shared" si="162"/>
        <v>#REF!</v>
      </c>
      <c r="O549" s="139" t="e">
        <f t="shared" si="162"/>
        <v>#REF!</v>
      </c>
      <c r="P549" s="139" t="e">
        <f t="shared" si="162"/>
        <v>#REF!</v>
      </c>
      <c r="Q549" s="195" t="e">
        <f t="shared" si="162"/>
        <v>#REF!</v>
      </c>
      <c r="R549" s="87"/>
    </row>
    <row r="550" spans="1:18" ht="15.75">
      <c r="A550" s="49" t="s">
        <v>223</v>
      </c>
      <c r="B550" s="100"/>
      <c r="C550" s="166">
        <f>SUM(C552:C555)</f>
        <v>0</v>
      </c>
      <c r="D550" s="123">
        <f aca="true" t="shared" si="163" ref="D550:Q550">SUM(D552:D555)</f>
        <v>2325927.1900000004</v>
      </c>
      <c r="E550" s="180">
        <f t="shared" si="163"/>
        <v>2062</v>
      </c>
      <c r="F550" s="201">
        <f t="shared" si="163"/>
        <v>2327989.1900000004</v>
      </c>
      <c r="G550" s="258">
        <f t="shared" si="163"/>
        <v>17582.1</v>
      </c>
      <c r="H550" s="259">
        <f t="shared" si="163"/>
        <v>56669.5</v>
      </c>
      <c r="I550" s="285">
        <f t="shared" si="163"/>
        <v>2402240.79</v>
      </c>
      <c r="J550" s="299">
        <f>SUM(J552:J555)</f>
        <v>0</v>
      </c>
      <c r="K550" s="259">
        <f>SUM(K552:K555)</f>
        <v>0</v>
      </c>
      <c r="L550" s="285">
        <f>SUM(L552:L555)</f>
        <v>2402240.79</v>
      </c>
      <c r="M550" s="128">
        <f t="shared" si="163"/>
        <v>0</v>
      </c>
      <c r="N550" s="128">
        <f t="shared" si="163"/>
        <v>0</v>
      </c>
      <c r="O550" s="128">
        <f t="shared" si="163"/>
        <v>2402240.79</v>
      </c>
      <c r="P550" s="128">
        <f t="shared" si="163"/>
        <v>0</v>
      </c>
      <c r="Q550" s="201">
        <f t="shared" si="163"/>
        <v>2402240.79</v>
      </c>
      <c r="R550" s="87"/>
    </row>
    <row r="551" spans="1:18" ht="12.75" customHeight="1">
      <c r="A551" s="51" t="s">
        <v>26</v>
      </c>
      <c r="B551" s="103"/>
      <c r="C551" s="167"/>
      <c r="D551" s="124"/>
      <c r="E551" s="218"/>
      <c r="F551" s="226"/>
      <c r="G551" s="260"/>
      <c r="H551" s="261"/>
      <c r="I551" s="286"/>
      <c r="J551" s="315"/>
      <c r="K551" s="261"/>
      <c r="L551" s="286"/>
      <c r="M551" s="14"/>
      <c r="N551" s="11"/>
      <c r="O551" s="59"/>
      <c r="P551" s="75"/>
      <c r="Q551" s="73"/>
      <c r="R551" s="87"/>
    </row>
    <row r="552" spans="1:18" ht="14.25">
      <c r="A552" s="51" t="s">
        <v>129</v>
      </c>
      <c r="B552" s="103"/>
      <c r="C552" s="168"/>
      <c r="D552" s="147">
        <f>269393.98</f>
        <v>269393.98</v>
      </c>
      <c r="E552" s="219"/>
      <c r="F552" s="226">
        <f>SUM(C552:E552)</f>
        <v>269393.98</v>
      </c>
      <c r="G552" s="262"/>
      <c r="H552" s="263"/>
      <c r="I552" s="286">
        <f>SUM(F552:H552)</f>
        <v>269393.98</v>
      </c>
      <c r="J552" s="316"/>
      <c r="K552" s="263"/>
      <c r="L552" s="286">
        <f>SUM(I552:K552)</f>
        <v>269393.98</v>
      </c>
      <c r="M552" s="15"/>
      <c r="N552" s="12"/>
      <c r="O552" s="59">
        <f>SUM(L552:N552)</f>
        <v>269393.98</v>
      </c>
      <c r="P552" s="75"/>
      <c r="Q552" s="73">
        <f t="shared" si="148"/>
        <v>269393.98</v>
      </c>
      <c r="R552" s="87"/>
    </row>
    <row r="553" spans="1:18" ht="14.25" hidden="1">
      <c r="A553" s="52" t="s">
        <v>137</v>
      </c>
      <c r="B553" s="103"/>
      <c r="C553" s="168"/>
      <c r="D553" s="147"/>
      <c r="E553" s="219"/>
      <c r="F553" s="226">
        <f>SUM(C553:E553)</f>
        <v>0</v>
      </c>
      <c r="G553" s="262"/>
      <c r="H553" s="263"/>
      <c r="I553" s="286">
        <f>SUM(F553:H553)</f>
        <v>0</v>
      </c>
      <c r="J553" s="316"/>
      <c r="K553" s="263"/>
      <c r="L553" s="286">
        <f>SUM(I553:K553)</f>
        <v>0</v>
      </c>
      <c r="M553" s="15"/>
      <c r="N553" s="12"/>
      <c r="O553" s="59">
        <f>SUM(L553:N553)</f>
        <v>0</v>
      </c>
      <c r="P553" s="75"/>
      <c r="Q553" s="73">
        <f t="shared" si="148"/>
        <v>0</v>
      </c>
      <c r="R553" s="87"/>
    </row>
    <row r="554" spans="1:18" ht="15" thickBot="1">
      <c r="A554" s="52" t="s">
        <v>130</v>
      </c>
      <c r="B554" s="267"/>
      <c r="C554" s="168"/>
      <c r="D554" s="147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54" s="219">
        <f>50+2012</f>
        <v>2062</v>
      </c>
      <c r="F554" s="226">
        <f>SUM(C554:E554)</f>
        <v>2058595.2100000002</v>
      </c>
      <c r="G554" s="262">
        <f>3000+1092.1+1600+4000+7890</f>
        <v>17582.1</v>
      </c>
      <c r="H554" s="263">
        <f>22525+1600+1200+8618.75+18571.14</f>
        <v>52514.89</v>
      </c>
      <c r="I554" s="286">
        <f>SUM(F554:H554)</f>
        <v>2128692.2</v>
      </c>
      <c r="J554" s="317"/>
      <c r="K554" s="263"/>
      <c r="L554" s="286">
        <f>SUM(I554:K554)</f>
        <v>2128692.2</v>
      </c>
      <c r="M554" s="63"/>
      <c r="N554" s="13"/>
      <c r="O554" s="61">
        <f>SUM(L554:N554)</f>
        <v>2128692.2</v>
      </c>
      <c r="P554" s="77"/>
      <c r="Q554" s="74">
        <f t="shared" si="148"/>
        <v>2128692.2</v>
      </c>
      <c r="R554" s="87"/>
    </row>
    <row r="555" spans="1:18" ht="15" thickBot="1">
      <c r="A555" s="64" t="s">
        <v>149</v>
      </c>
      <c r="B555" s="104"/>
      <c r="C555" s="169"/>
      <c r="D555" s="148" t="s">
        <v>195</v>
      </c>
      <c r="E555" s="268"/>
      <c r="F555" s="269">
        <f>SUM(C555:E555)</f>
        <v>0</v>
      </c>
      <c r="G555" s="265"/>
      <c r="H555" s="264">
        <f>4154.61</f>
        <v>4154.61</v>
      </c>
      <c r="I555" s="287">
        <f>SUM(F555:H555)</f>
        <v>4154.61</v>
      </c>
      <c r="J555" s="318">
        <v>0</v>
      </c>
      <c r="K555" s="264">
        <v>0</v>
      </c>
      <c r="L555" s="287">
        <f>SUM(I555:K555)</f>
        <v>4154.61</v>
      </c>
      <c r="M555" s="63"/>
      <c r="N555" s="13"/>
      <c r="O555" s="61">
        <f>SUM(L555:N555)</f>
        <v>4154.61</v>
      </c>
      <c r="P555" s="77"/>
      <c r="Q555" s="74">
        <f t="shared" si="148"/>
        <v>4154.61</v>
      </c>
      <c r="R555" s="87"/>
    </row>
    <row r="556" spans="2:17" ht="12.75">
      <c r="B556" s="105"/>
      <c r="C556" s="120">
        <f aca="true" t="shared" si="164" ref="C556:Q556">C80+C550-C545</f>
        <v>0</v>
      </c>
      <c r="D556" s="120">
        <f t="shared" si="164"/>
        <v>0</v>
      </c>
      <c r="E556" s="120">
        <f t="shared" si="164"/>
        <v>0</v>
      </c>
      <c r="F556" s="120">
        <f t="shared" si="164"/>
        <v>0</v>
      </c>
      <c r="G556" s="138">
        <f t="shared" si="164"/>
        <v>0</v>
      </c>
      <c r="H556" s="138">
        <f t="shared" si="164"/>
        <v>0</v>
      </c>
      <c r="I556" s="138">
        <f t="shared" si="164"/>
        <v>0</v>
      </c>
      <c r="J556" s="138">
        <f t="shared" si="164"/>
        <v>0</v>
      </c>
      <c r="K556" s="62">
        <f t="shared" si="164"/>
        <v>0</v>
      </c>
      <c r="L556" s="138">
        <f t="shared" si="164"/>
        <v>0</v>
      </c>
      <c r="M556" s="62" t="e">
        <f t="shared" si="164"/>
        <v>#REF!</v>
      </c>
      <c r="N556" s="62" t="e">
        <f t="shared" si="164"/>
        <v>#REF!</v>
      </c>
      <c r="O556" s="62" t="e">
        <f t="shared" si="164"/>
        <v>#REF!</v>
      </c>
      <c r="P556" s="62" t="e">
        <f t="shared" si="164"/>
        <v>#REF!</v>
      </c>
      <c r="Q556" s="62" t="e">
        <f t="shared" si="164"/>
        <v>#REF!</v>
      </c>
    </row>
    <row r="557" spans="2:16" ht="12.75">
      <c r="B557" s="105"/>
      <c r="J557" s="138"/>
      <c r="P557" s="62"/>
    </row>
    <row r="558" spans="2:16" ht="12.75">
      <c r="B558" s="105"/>
      <c r="D558" s="138"/>
      <c r="I558" s="138"/>
      <c r="J558" s="138"/>
      <c r="P558" s="62"/>
    </row>
    <row r="559" spans="2:16" ht="12.75">
      <c r="B559" s="105"/>
      <c r="I559" s="138"/>
      <c r="J559" s="138"/>
      <c r="P559" s="62"/>
    </row>
    <row r="560" spans="2:16" ht="12.75">
      <c r="B560" s="105"/>
      <c r="I560" s="138"/>
      <c r="J560" s="138"/>
      <c r="P560" s="62"/>
    </row>
    <row r="561" spans="2:16" ht="12.75">
      <c r="B561" s="105"/>
      <c r="J561" s="138"/>
      <c r="P561" s="62"/>
    </row>
    <row r="562" spans="2:16" ht="12.75">
      <c r="B562" s="105"/>
      <c r="J562" s="138"/>
      <c r="P562" s="62"/>
    </row>
    <row r="563" spans="2:16" ht="12.75">
      <c r="B563" s="105"/>
      <c r="P563" s="62"/>
    </row>
    <row r="564" spans="2:16" ht="12.75">
      <c r="B564" s="105"/>
      <c r="P564" s="62"/>
    </row>
    <row r="565" spans="2:16" ht="12.75">
      <c r="B565" s="105"/>
      <c r="P565" s="62"/>
    </row>
    <row r="566" spans="2:16" ht="12.75">
      <c r="B566" s="105"/>
      <c r="P566" s="62"/>
    </row>
    <row r="567" spans="2:16" ht="12.75">
      <c r="B567" s="105"/>
      <c r="P567" s="62"/>
    </row>
    <row r="568" spans="2:16" ht="12.75">
      <c r="B568" s="105"/>
      <c r="P568" s="62"/>
    </row>
    <row r="569" spans="2:16" ht="12.75">
      <c r="B569" s="105"/>
      <c r="P569" s="62"/>
    </row>
    <row r="570" spans="2:16" ht="12.75">
      <c r="B570" s="105"/>
      <c r="P570" s="62"/>
    </row>
    <row r="571" spans="2:16" ht="12.75">
      <c r="B571" s="105"/>
      <c r="P571" s="62"/>
    </row>
    <row r="572" spans="2:16" ht="12.75">
      <c r="B572" s="105"/>
      <c r="P572" s="62"/>
    </row>
    <row r="573" spans="2:16" ht="12.75">
      <c r="B573" s="105"/>
      <c r="P573" s="62"/>
    </row>
    <row r="574" ht="12.75">
      <c r="P574" s="62"/>
    </row>
    <row r="575" ht="12.75">
      <c r="P575" s="62"/>
    </row>
    <row r="576" ht="12.75">
      <c r="P576" s="62"/>
    </row>
    <row r="577" ht="12.75">
      <c r="P577" s="62"/>
    </row>
    <row r="578" ht="12.75">
      <c r="P578" s="62"/>
    </row>
    <row r="579" ht="12.75">
      <c r="P579" s="62"/>
    </row>
    <row r="580" ht="12.75">
      <c r="P580" s="62"/>
    </row>
    <row r="581" ht="12.75">
      <c r="P581" s="62"/>
    </row>
    <row r="582" ht="12.75">
      <c r="P582" s="62"/>
    </row>
    <row r="583" ht="12.75">
      <c r="P583" s="62"/>
    </row>
    <row r="584" ht="12.75">
      <c r="P584" s="62"/>
    </row>
    <row r="585" ht="12.75">
      <c r="P585" s="62"/>
    </row>
    <row r="586" ht="12.75">
      <c r="P586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80" max="8" man="1"/>
    <brk id="206" max="11" man="1"/>
    <brk id="298" max="11" man="1"/>
    <brk id="394" max="8" man="1"/>
    <brk id="4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2021-09-20T07:11:49Z</cp:lastPrinted>
  <dcterms:created xsi:type="dcterms:W3CDTF">2009-01-05T12:05:07Z</dcterms:created>
  <dcterms:modified xsi:type="dcterms:W3CDTF">2021-09-22T12:11:03Z</dcterms:modified>
  <cp:category/>
  <cp:version/>
  <cp:contentType/>
  <cp:contentStatus/>
</cp:coreProperties>
</file>