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0"/>
  </bookViews>
  <sheets>
    <sheet name="5.ZR" sheetId="1" r:id="rId1"/>
  </sheets>
  <definedNames>
    <definedName name="_xlnm.Print_Titles" localSheetId="0">'5.ZR'!$8:$9</definedName>
    <definedName name="_xlnm.Print_Area" localSheetId="0">'5.ZR'!$A$1:$Q$564</definedName>
    <definedName name="Z_39FD50E0_9911_4D32_8842_5A58F13D310F_.wvu.Cols" localSheetId="0" hidden="1">'5.ZR'!$D:$K,'5.ZR'!$N:$N,'5.ZR'!#REF!</definedName>
    <definedName name="Z_39FD50E0_9911_4D32_8842_5A58F13D310F_.wvu.PrintTitles" localSheetId="0" hidden="1">'5.ZR'!$8:$9</definedName>
    <definedName name="Z_39FD50E0_9911_4D32_8842_5A58F13D310F_.wvu.Rows" localSheetId="0" hidden="1">'5.ZR'!#REF!</definedName>
  </definedNames>
  <calcPr fullCalcOnLoad="1"/>
</workbook>
</file>

<file path=xl/sharedStrings.xml><?xml version="1.0" encoding="utf-8"?>
<sst xmlns="http://schemas.openxmlformats.org/spreadsheetml/2006/main" count="603" uniqueCount="390">
  <si>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</si>
  <si>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</si>
  <si>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</si>
  <si>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</si>
  <si>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</si>
  <si>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</si>
  <si>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</si>
  <si>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</si>
  <si>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</si>
  <si>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</si>
  <si>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</si>
  <si>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</si>
  <si>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</si>
  <si>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</si>
  <si>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</si>
  <si>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</si>
  <si>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</si>
  <si>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</si>
  <si>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</si>
  <si>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</si>
  <si>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</si>
  <si>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</si>
  <si>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</si>
  <si>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</si>
  <si>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</si>
  <si>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</si>
  <si>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</si>
  <si>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</si>
  <si>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</si>
  <si>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</si>
  <si>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</si>
  <si>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</si>
  <si>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</si>
  <si>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</si>
  <si>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</si>
  <si>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</si>
  <si>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</si>
  <si>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</si>
  <si>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</si>
  <si>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</si>
  <si>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</si>
  <si>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</si>
  <si>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</si>
  <si>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</si>
  <si>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</si>
  <si>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</si>
  <si>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</si>
  <si>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</si>
  <si>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</si>
  <si>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</si>
  <si>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</si>
  <si>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</si>
  <si>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</si>
  <si>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</si>
  <si>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</si>
  <si>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</si>
  <si>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</si>
  <si>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</si>
  <si>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</si>
  <si>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</si>
  <si>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</si>
  <si>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</si>
  <si>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</si>
  <si>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</si>
  <si>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</si>
  <si>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</si>
  <si>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</si>
  <si>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</si>
  <si>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</si>
  <si>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</si>
  <si>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</si>
  <si>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</si>
  <si>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</si>
  <si>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</si>
  <si>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</si>
  <si>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</si>
  <si>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</si>
  <si>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</si>
  <si>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</si>
  <si>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</si>
  <si>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</si>
  <si>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</si>
  <si>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</si>
  <si>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</si>
  <si>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</si>
  <si>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</si>
  <si>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</si>
  <si>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</si>
  <si>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</si>
  <si>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</si>
  <si>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</si>
  <si>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</si>
  <si>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</si>
  <si>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</si>
  <si>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</si>
  <si>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</si>
  <si>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</si>
  <si>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</si>
  <si>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</si>
  <si>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</si>
  <si>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</si>
  <si>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</si>
  <si>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</si>
  <si>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</si>
  <si>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</si>
  <si>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</si>
  <si>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</si>
  <si>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</si>
  <si>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</si>
  <si>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</si>
  <si>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</si>
  <si>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</si>
  <si>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</si>
  <si>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</si>
  <si>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</si>
  <si>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</si>
  <si>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</si>
  <si>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</si>
  <si>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</si>
  <si>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</si>
  <si>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</si>
  <si>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</si>
  <si>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</si>
  <si>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</si>
  <si>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</si>
  <si>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</si>
  <si>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</si>
  <si>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</si>
  <si>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</si>
  <si>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</si>
  <si>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</si>
  <si>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</si>
  <si>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</si>
  <si>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</si>
  <si>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</si>
  <si>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</si>
  <si>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</si>
  <si>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</si>
  <si>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</si>
  <si>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</si>
  <si>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</si>
  <si>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</si>
  <si>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</si>
  <si>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</si>
  <si>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</si>
  <si>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</si>
  <si>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</si>
  <si>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</si>
  <si>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</si>
  <si>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</si>
  <si>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</si>
  <si>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</si>
  <si>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</si>
  <si>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</si>
  <si>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</si>
  <si>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</si>
  <si>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</si>
  <si>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</si>
  <si>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</si>
  <si>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</si>
  <si>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</si>
  <si>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</si>
  <si>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</si>
  <si>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</si>
  <si>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</si>
  <si>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</si>
  <si>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</si>
  <si>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</si>
  <si>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</si>
  <si>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</si>
  <si>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</si>
  <si>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</si>
  <si>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</si>
  <si>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</si>
  <si>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</si>
  <si>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</si>
  <si>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</si>
  <si>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</si>
  <si>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</si>
  <si>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</si>
  <si>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</si>
  <si>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</si>
  <si>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</si>
  <si>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</si>
  <si>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</si>
  <si>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</si>
  <si>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</si>
  <si>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</si>
  <si>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</si>
  <si>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</si>
  <si>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</si>
  <si>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</si>
  <si>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</si>
  <si>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</si>
  <si>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</si>
  <si>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</si>
  <si>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</si>
  <si>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</si>
  <si>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</si>
  <si>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</si>
  <si>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</si>
  <si>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</si>
  <si>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</si>
  <si>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</si>
  <si>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</si>
  <si>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</si>
  <si>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</si>
  <si>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</si>
  <si>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</si>
  <si>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</si>
  <si>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</si>
  <si>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</si>
  <si>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</si>
  <si>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</si>
  <si>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</si>
  <si>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</si>
  <si>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</si>
  <si>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</si>
  <si>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</si>
  <si>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</si>
  <si>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</si>
  <si>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</si>
  <si>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</si>
  <si>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</si>
  <si>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</si>
  <si>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</si>
  <si>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</si>
  <si>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</si>
  <si>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</si>
  <si>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</si>
  <si>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</si>
  <si>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</si>
  <si>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</si>
  <si>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</si>
  <si>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</si>
  <si>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</si>
  <si>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</si>
  <si>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</si>
  <si>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</si>
  <si>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</si>
  <si>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</si>
  <si>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</si>
  <si>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</si>
  <si>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</si>
  <si>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</si>
  <si>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</si>
  <si>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</si>
  <si>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</si>
  <si>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</si>
  <si>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</si>
  <si>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</si>
  <si>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</si>
  <si>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</si>
  <si>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</si>
  <si>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</si>
  <si>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</si>
  <si>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</si>
  <si>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</si>
  <si>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</si>
  <si>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</si>
  <si>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</si>
  <si>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</si>
  <si>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</si>
  <si>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</si>
  <si>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</si>
  <si>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</si>
  <si>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</si>
  <si>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</si>
  <si>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</si>
  <si>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</si>
  <si>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</si>
  <si>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</si>
  <si>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</si>
  <si>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</si>
  <si>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</si>
  <si>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</si>
  <si>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</si>
  <si>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</si>
  <si>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</si>
  <si>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</si>
  <si>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</si>
  <si>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</si>
  <si>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</si>
  <si>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</si>
  <si>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Snížení emisí z lokál.vytápění domácností v KHK II - SR 2019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</si>
  <si>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</si>
  <si>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</si>
  <si>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</si>
  <si>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</si>
  <si>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</si>
  <si>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Snížení emisí z lokál.vytápění domácností v KHK I - SR 2019</t>
  </si>
  <si>
    <t>OP Z - Do praxe bez bariér - SR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</si>
  <si>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</si>
  <si>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</si>
  <si>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</si>
  <si>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</si>
  <si>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</si>
  <si>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</si>
  <si>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</si>
  <si>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</si>
  <si>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</si>
  <si>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</si>
  <si>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</si>
  <si>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>NA ROK 2021</t>
  </si>
  <si>
    <t>ostatní běžné výdaje - cestovní ruch</t>
  </si>
  <si>
    <t xml:space="preserve">             životní prostředí</t>
  </si>
  <si>
    <t>OP Z - Predikce trhu práce - Kompas - SR</t>
  </si>
  <si>
    <t>řešení krizových situací - SR</t>
  </si>
  <si>
    <t>Krajský akční plán vzdělávání v KHK - SR 2020</t>
  </si>
  <si>
    <t>IKAP rozvoje vzdělávání v KHK - SR 2020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</si>
  <si>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</si>
  <si>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</si>
  <si>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</si>
  <si>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</si>
  <si>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</si>
  <si>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OP Z Rozvoj dostup.a kvality soc.sl.v KHK VI - SR 2020</t>
  </si>
  <si>
    <t>OP Z Služby soc.prevence v KHK V - SR  2020</t>
  </si>
  <si>
    <t>OP Z Služby soc.prevence v KHK VI - SR  2020</t>
  </si>
  <si>
    <t>OP Z Rozvoj reg.partnerství v soc.oblasti v KHK II - SR 2020</t>
  </si>
  <si>
    <t>OP Z Komunitní služby - SR 2020</t>
  </si>
  <si>
    <t>financování silnic II. a III. tř. - SFDI - SR</t>
  </si>
  <si>
    <t>peněžní náhrady a odv. za nařízený výkon v době kriz. stavu-SR</t>
  </si>
  <si>
    <t>náhrady za nařízený výkon studentů v soc.sl. v době nouz.stavu-SR</t>
  </si>
  <si>
    <t>Snížení emisí z lokál.vytápění domácností v KHK II - SR 2020</t>
  </si>
  <si>
    <t>Snížení emisí z lokál.vytápění domácností v KHK III. - SR 2020</t>
  </si>
  <si>
    <t>OP Z - Rozvoj KHK-chytře, efektivně, s prosperitou - SR 2020</t>
  </si>
  <si>
    <t>OP Z - Do praxe bez bariér - SR 2020</t>
  </si>
  <si>
    <t>potravinová pomoc dětem v KHK II - obědy do škol - SR 2020</t>
  </si>
  <si>
    <t>potravinová pomoc dětem v KHK III - obědy do škol - SR 2020</t>
  </si>
  <si>
    <t>OP VVV - Smart Akcelerátor II. - SR 2020</t>
  </si>
  <si>
    <t>OP Z - Predikce trhu práce - Kompas - SR 2020</t>
  </si>
  <si>
    <t>potravinová pomoc dětem v KHK IV - obědy do škol - SR 2020</t>
  </si>
  <si>
    <t>mzd.nákl.-prac.povin.studentů-epidemie Covid-19 - SR 2020</t>
  </si>
  <si>
    <t>OP Z Rozvoj dostup.a kvality soc.sl.v KHK VII - SR 2020</t>
  </si>
  <si>
    <t xml:space="preserve">OP VVV - Smart Akcelerátor II. - SR </t>
  </si>
  <si>
    <t>podpora podpůrných opatření pro žáky se spec. potř. - SR</t>
  </si>
  <si>
    <t>podpora služeb s nadreg.a celostátní působností - SR</t>
  </si>
  <si>
    <t>výkon sociální práce - SR</t>
  </si>
  <si>
    <t>OP potravinové a mater.pomoci-podpora administrace - SR</t>
  </si>
  <si>
    <t xml:space="preserve">OP Z Služby soc.prevence v KHK V - SR </t>
  </si>
  <si>
    <t xml:space="preserve">OP Z Rozvoj dostup.a kvality soc.sl.v KHK VII - SR </t>
  </si>
  <si>
    <t>OPZ - Rozvoj systému hospodaření s energií v KHK - SR</t>
  </si>
  <si>
    <t>podpora výchovně vzdělávacích aktivit v muzejnictví - SR</t>
  </si>
  <si>
    <t>program na ochranu měkkých cílů - SR</t>
  </si>
  <si>
    <t>finanční ohodnocení zaměst.poskytovatelů lůžkové péče - SR</t>
  </si>
  <si>
    <t>Nová zelená úsporám - adaptační a mitigační opatření - SR</t>
  </si>
  <si>
    <t>2. technická pomoc pro KHK - SR</t>
  </si>
  <si>
    <t>regionální stálá konference III. - SR</t>
  </si>
  <si>
    <t>IP Přeshraniční vzdělávání technických oborů - SR</t>
  </si>
  <si>
    <t>odměny zam.soc.služeb v období koronaviru (program C) - SR</t>
  </si>
  <si>
    <t>OP Z Rozvoj reg.partnerství v soc.oblasti v KHK II - SR</t>
  </si>
  <si>
    <t>sanace nákladů na antigenní testování (program T) - SR</t>
  </si>
  <si>
    <t>podpora standard.veřejných služeb muzeí a galerií - SR</t>
  </si>
  <si>
    <t>mimořádné odměny pro prac. KÚ v oblasti SPOD - SR</t>
  </si>
  <si>
    <t xml:space="preserve">OP Z Komunitní služby - SR </t>
  </si>
  <si>
    <t xml:space="preserve">ostatní kapitálové výdaje </t>
  </si>
  <si>
    <t>sanace vícenákladů a výpadku příjmů při Covid-19(program E) - SR</t>
  </si>
  <si>
    <t xml:space="preserve">OP Z Služby soc.prevence v KHK VI - SR </t>
  </si>
  <si>
    <t xml:space="preserve">IKAP rozvoje vzdělávání v KHK II - SR </t>
  </si>
  <si>
    <t>Společné dědictví - SR</t>
  </si>
  <si>
    <t>integrovaný systém ochrany movitého kult.dědictví - SR</t>
  </si>
  <si>
    <t xml:space="preserve">  z MF</t>
  </si>
  <si>
    <t>Posilování kompetencí ped.prac.škol a šk.porad.zařízení - SR</t>
  </si>
  <si>
    <t>12002, 95032</t>
  </si>
  <si>
    <t>zvýšení atraktivity KHK 3 A542- SR</t>
  </si>
  <si>
    <t>IP polytechnické centrum Novoměstska - SR</t>
  </si>
  <si>
    <t>17xxx</t>
  </si>
  <si>
    <t>zajištění testování dětí, žáků a studentů ve školách - SR</t>
  </si>
  <si>
    <t>volby do Poslanecké sněmovny Parlamentu ČR - SR</t>
  </si>
  <si>
    <t>podpora rekr. pobytů dětí a mládeže dětských domovů - SR</t>
  </si>
  <si>
    <t>prevence negat.dopadů psych.i fyz.zátěže zaměst.poskyt.lůžk.péče - SR</t>
  </si>
  <si>
    <t xml:space="preserve">potravinová pomoc dětem v KHK V - obědy do škol </t>
  </si>
  <si>
    <t>Obnova nemovité kulturní památky - SR</t>
  </si>
  <si>
    <t>Interreg VA ČR-PL - Kompetence 4.0. - SR</t>
  </si>
  <si>
    <t>podpora expozičních a výstavních projektů</t>
  </si>
  <si>
    <t>výzva - Spolu po COVIDu - SR</t>
  </si>
  <si>
    <t>Fond solidarity EU - zajištění neinvaz.RT-PCR testování - SR</t>
  </si>
  <si>
    <t>SFDI - Smlouva č. 200/B1/2021 - SR</t>
  </si>
  <si>
    <t>Nová zelená úsporám - adaptační a mitigační opatření - SR 2020</t>
  </si>
  <si>
    <t>průmyslová zóna Solnice - Kvasiny - SR</t>
  </si>
  <si>
    <t>činnost ZDVOP při výkonu soc.práv.ochrany dětí -SOL TU - SR</t>
  </si>
  <si>
    <t>Akviziční fond - SR</t>
  </si>
  <si>
    <t xml:space="preserve">  z Mze</t>
  </si>
  <si>
    <t>Zmírnění dopadů kůrovcové kalamity - SR</t>
  </si>
  <si>
    <t xml:space="preserve">  z MZe</t>
  </si>
  <si>
    <t>NP Centra odborné přípravy - SR</t>
  </si>
  <si>
    <t xml:space="preserve">refundace výdajů spojených s výkupy pozemků </t>
  </si>
  <si>
    <t>34503-506</t>
  </si>
  <si>
    <t xml:space="preserve">  od obcí a DSO</t>
  </si>
  <si>
    <t xml:space="preserve">neinvestiční transfery obcím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</si>
</sst>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  <numFmt numFmtId="179" formatCode="#,##0.0000_ ;\-#,##0.000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3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7" fontId="4" fillId="0" borderId="11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13" xfId="38" applyNumberFormat="1" applyFont="1" applyBorder="1" applyAlignment="1">
      <alignment horizontal="center"/>
    </xf>
    <xf numFmtId="167" fontId="4" fillId="0" borderId="14" xfId="38" applyNumberFormat="1" applyFont="1" applyBorder="1" applyAlignment="1">
      <alignment horizont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6" xfId="0" applyBorder="1" applyAlignment="1">
      <alignment/>
    </xf>
    <xf numFmtId="3" fontId="0" fillId="0" borderId="15" xfId="0" applyFont="1" applyBorder="1" applyAlignment="1">
      <alignment/>
    </xf>
    <xf numFmtId="3" fontId="2" fillId="0" borderId="17" xfId="0" applyFont="1" applyBorder="1" applyAlignment="1">
      <alignment vertical="center"/>
    </xf>
    <xf numFmtId="3" fontId="6" fillId="0" borderId="15" xfId="0" applyFont="1" applyBorder="1" applyAlignment="1">
      <alignment/>
    </xf>
    <xf numFmtId="3" fontId="6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7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4" fillId="0" borderId="15" xfId="0" applyFont="1" applyFill="1" applyBorder="1" applyAlignment="1">
      <alignment/>
    </xf>
    <xf numFmtId="3" fontId="4" fillId="0" borderId="17" xfId="0" applyFont="1" applyBorder="1" applyAlignment="1">
      <alignment/>
    </xf>
    <xf numFmtId="3" fontId="3" fillId="0" borderId="18" xfId="0" applyFont="1" applyBorder="1" applyAlignment="1">
      <alignment vertical="center"/>
    </xf>
    <xf numFmtId="3" fontId="4" fillId="0" borderId="18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0" fillId="0" borderId="15" xfId="0" applyFont="1" applyBorder="1" applyAlignment="1">
      <alignment vertical="center"/>
    </xf>
    <xf numFmtId="3" fontId="0" fillId="0" borderId="15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5" xfId="0" applyFont="1" applyBorder="1" applyAlignment="1">
      <alignment horizontal="left" vertical="center"/>
    </xf>
    <xf numFmtId="167" fontId="4" fillId="0" borderId="20" xfId="38" applyNumberFormat="1" applyFont="1" applyBorder="1" applyAlignment="1">
      <alignment horizontal="center"/>
    </xf>
    <xf numFmtId="167" fontId="4" fillId="0" borderId="21" xfId="38" applyNumberFormat="1" applyFont="1" applyBorder="1" applyAlignment="1">
      <alignment horizontal="center"/>
    </xf>
    <xf numFmtId="167" fontId="4" fillId="0" borderId="22" xfId="38" applyNumberFormat="1" applyFont="1" applyBorder="1" applyAlignment="1">
      <alignment horizontal="center"/>
    </xf>
    <xf numFmtId="167" fontId="4" fillId="0" borderId="23" xfId="38" applyNumberFormat="1" applyFont="1" applyBorder="1" applyAlignment="1">
      <alignment horizontal="center"/>
    </xf>
    <xf numFmtId="3" fontId="52" fillId="0" borderId="0" xfId="0" applyFont="1" applyAlignment="1">
      <alignment/>
    </xf>
    <xf numFmtId="169" fontId="0" fillId="0" borderId="0" xfId="0" applyNumberFormat="1" applyAlignment="1">
      <alignment/>
    </xf>
    <xf numFmtId="3" fontId="0" fillId="0" borderId="17" xfId="0" applyBorder="1" applyAlignment="1">
      <alignment vertical="center"/>
    </xf>
    <xf numFmtId="3" fontId="53" fillId="0" borderId="0" xfId="0" applyFont="1" applyAlignment="1">
      <alignment/>
    </xf>
    <xf numFmtId="3" fontId="7" fillId="0" borderId="24" xfId="0" applyFont="1" applyBorder="1" applyAlignment="1">
      <alignment/>
    </xf>
    <xf numFmtId="3" fontId="4" fillId="0" borderId="25" xfId="0" applyFont="1" applyBorder="1" applyAlignment="1">
      <alignment horizontal="center" vertical="center"/>
    </xf>
    <xf numFmtId="3" fontId="4" fillId="0" borderId="24" xfId="0" applyFont="1" applyBorder="1" applyAlignment="1">
      <alignment horizontal="left" vertical="center"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4" xfId="0" applyBorder="1" applyAlignment="1">
      <alignment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2" fillId="0" borderId="26" xfId="0" applyFont="1" applyBorder="1" applyAlignment="1">
      <alignment vertical="center"/>
    </xf>
    <xf numFmtId="3" fontId="7" fillId="0" borderId="24" xfId="0" applyFont="1" applyBorder="1" applyAlignment="1">
      <alignment horizontal="center"/>
    </xf>
    <xf numFmtId="3" fontId="0" fillId="0" borderId="15" xfId="0" applyFont="1" applyBorder="1" applyAlignment="1">
      <alignment/>
    </xf>
    <xf numFmtId="3" fontId="9" fillId="0" borderId="24" xfId="0" applyFont="1" applyBorder="1" applyAlignment="1">
      <alignment/>
    </xf>
    <xf numFmtId="3" fontId="7" fillId="0" borderId="27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24" xfId="0" applyFont="1" applyFill="1" applyBorder="1" applyAlignment="1">
      <alignment horizontal="center"/>
    </xf>
    <xf numFmtId="3" fontId="7" fillId="0" borderId="24" xfId="0" applyFont="1" applyFill="1" applyBorder="1" applyAlignment="1">
      <alignment horizontal="center"/>
    </xf>
    <xf numFmtId="3" fontId="9" fillId="0" borderId="18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7" fillId="0" borderId="15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2" xfId="38" applyNumberFormat="1" applyFont="1" applyBorder="1" applyAlignment="1">
      <alignment vertical="center"/>
    </xf>
    <xf numFmtId="176" fontId="6" fillId="0" borderId="10" xfId="38" applyNumberFormat="1" applyFont="1" applyBorder="1" applyAlignment="1">
      <alignment/>
    </xf>
    <xf numFmtId="176" fontId="0" fillId="0" borderId="28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29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4" fillId="0" borderId="24" xfId="38" applyNumberFormat="1" applyFont="1" applyBorder="1" applyAlignment="1">
      <alignment/>
    </xf>
    <xf numFmtId="176" fontId="4" fillId="0" borderId="0" xfId="38" applyNumberFormat="1" applyFont="1" applyBorder="1" applyAlignment="1">
      <alignment/>
    </xf>
    <xf numFmtId="167" fontId="52" fillId="0" borderId="0" xfId="0" applyNumberFormat="1" applyFont="1" applyAlignment="1">
      <alignment horizontal="center" vertical="center"/>
    </xf>
    <xf numFmtId="176" fontId="0" fillId="0" borderId="10" xfId="38" applyNumberFormat="1" applyFont="1" applyBorder="1" applyAlignment="1">
      <alignment/>
    </xf>
    <xf numFmtId="176" fontId="0" fillId="0" borderId="24" xfId="38" applyNumberFormat="1" applyFont="1" applyBorder="1" applyAlignment="1">
      <alignment/>
    </xf>
    <xf numFmtId="176" fontId="0" fillId="0" borderId="0" xfId="38" applyNumberFormat="1" applyFont="1" applyBorder="1" applyAlignment="1">
      <alignment/>
    </xf>
    <xf numFmtId="176" fontId="0" fillId="0" borderId="24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6" fontId="3" fillId="0" borderId="30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76" fontId="4" fillId="0" borderId="24" xfId="38" applyNumberFormat="1" applyFont="1" applyBorder="1" applyAlignment="1">
      <alignment/>
    </xf>
    <xf numFmtId="176" fontId="4" fillId="0" borderId="0" xfId="38" applyNumberFormat="1" applyFont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26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22" xfId="38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/>
    </xf>
    <xf numFmtId="176" fontId="0" fillId="0" borderId="0" xfId="38" applyNumberFormat="1" applyFont="1" applyFill="1" applyBorder="1" applyAlignment="1">
      <alignment/>
    </xf>
    <xf numFmtId="167" fontId="4" fillId="0" borderId="25" xfId="38" applyNumberFormat="1" applyFont="1" applyBorder="1" applyAlignment="1">
      <alignment horizontal="center"/>
    </xf>
    <xf numFmtId="167" fontId="4" fillId="0" borderId="26" xfId="38" applyNumberFormat="1" applyFont="1" applyBorder="1" applyAlignment="1">
      <alignment horizontal="center"/>
    </xf>
    <xf numFmtId="167" fontId="4" fillId="0" borderId="24" xfId="38" applyNumberFormat="1" applyFont="1" applyBorder="1" applyAlignment="1">
      <alignment horizontal="center"/>
    </xf>
    <xf numFmtId="176" fontId="2" fillId="0" borderId="26" xfId="38" applyNumberFormat="1" applyFont="1" applyBorder="1" applyAlignment="1">
      <alignment vertical="center"/>
    </xf>
    <xf numFmtId="176" fontId="6" fillId="0" borderId="24" xfId="38" applyNumberFormat="1" applyFont="1" applyBorder="1" applyAlignment="1">
      <alignment/>
    </xf>
    <xf numFmtId="176" fontId="0" fillId="0" borderId="27" xfId="38" applyNumberFormat="1" applyFont="1" applyBorder="1" applyAlignment="1">
      <alignment/>
    </xf>
    <xf numFmtId="176" fontId="6" fillId="0" borderId="24" xfId="38" applyNumberFormat="1" applyFont="1" applyBorder="1" applyAlignment="1">
      <alignment/>
    </xf>
    <xf numFmtId="176" fontId="0" fillId="0" borderId="27" xfId="38" applyNumberFormat="1" applyFont="1" applyBorder="1" applyAlignment="1">
      <alignment/>
    </xf>
    <xf numFmtId="176" fontId="4" fillId="0" borderId="30" xfId="38" applyNumberFormat="1" applyFont="1" applyBorder="1" applyAlignment="1">
      <alignment vertical="center"/>
    </xf>
    <xf numFmtId="176" fontId="2" fillId="0" borderId="30" xfId="38" applyNumberFormat="1" applyFont="1" applyBorder="1" applyAlignment="1">
      <alignment vertical="center"/>
    </xf>
    <xf numFmtId="176" fontId="3" fillId="0" borderId="25" xfId="38" applyNumberFormat="1" applyFont="1" applyBorder="1" applyAlignment="1">
      <alignment vertical="center"/>
    </xf>
    <xf numFmtId="176" fontId="3" fillId="0" borderId="24" xfId="38" applyNumberFormat="1" applyFont="1" applyBorder="1" applyAlignment="1">
      <alignment vertical="center"/>
    </xf>
    <xf numFmtId="176" fontId="3" fillId="0" borderId="26" xfId="38" applyNumberFormat="1" applyFont="1" applyBorder="1" applyAlignment="1">
      <alignment vertical="center"/>
    </xf>
    <xf numFmtId="176" fontId="2" fillId="0" borderId="25" xfId="38" applyNumberFormat="1" applyFont="1" applyBorder="1" applyAlignment="1">
      <alignment vertical="center"/>
    </xf>
    <xf numFmtId="176" fontId="2" fillId="0" borderId="24" xfId="38" applyNumberFormat="1" applyFont="1" applyBorder="1" applyAlignment="1">
      <alignment vertical="center"/>
    </xf>
    <xf numFmtId="176" fontId="0" fillId="0" borderId="24" xfId="38" applyNumberFormat="1" applyFont="1" applyBorder="1" applyAlignment="1">
      <alignment vertical="center"/>
    </xf>
    <xf numFmtId="176" fontId="4" fillId="0" borderId="26" xfId="38" applyNumberFormat="1" applyFont="1" applyBorder="1" applyAlignment="1">
      <alignment vertical="center"/>
    </xf>
    <xf numFmtId="167" fontId="4" fillId="0" borderId="32" xfId="38" applyNumberFormat="1" applyFont="1" applyBorder="1" applyAlignment="1">
      <alignment horizontal="center"/>
    </xf>
    <xf numFmtId="167" fontId="4" fillId="0" borderId="33" xfId="38" applyNumberFormat="1" applyFont="1" applyBorder="1" applyAlignment="1">
      <alignment horizontal="center"/>
    </xf>
    <xf numFmtId="167" fontId="4" fillId="0" borderId="0" xfId="38" applyNumberFormat="1" applyFont="1" applyBorder="1" applyAlignment="1">
      <alignment horizontal="center"/>
    </xf>
    <xf numFmtId="176" fontId="6" fillId="0" borderId="0" xfId="38" applyNumberFormat="1" applyFont="1" applyBorder="1" applyAlignment="1">
      <alignment/>
    </xf>
    <xf numFmtId="176" fontId="6" fillId="0" borderId="0" xfId="38" applyNumberFormat="1" applyFont="1" applyBorder="1" applyAlignment="1">
      <alignment/>
    </xf>
    <xf numFmtId="176" fontId="4" fillId="0" borderId="31" xfId="38" applyNumberFormat="1" applyFont="1" applyBorder="1" applyAlignment="1">
      <alignment vertical="center"/>
    </xf>
    <xf numFmtId="176" fontId="2" fillId="0" borderId="31" xfId="38" applyNumberFormat="1" applyFont="1" applyBorder="1" applyAlignment="1">
      <alignment vertical="center"/>
    </xf>
    <xf numFmtId="176" fontId="3" fillId="0" borderId="32" xfId="38" applyNumberFormat="1" applyFont="1" applyBorder="1" applyAlignment="1">
      <alignment vertical="center"/>
    </xf>
    <xf numFmtId="176" fontId="3" fillId="0" borderId="0" xfId="38" applyNumberFormat="1" applyFont="1" applyBorder="1" applyAlignment="1">
      <alignment vertical="center"/>
    </xf>
    <xf numFmtId="176" fontId="3" fillId="0" borderId="33" xfId="38" applyNumberFormat="1" applyFont="1" applyBorder="1" applyAlignment="1">
      <alignment vertical="center"/>
    </xf>
    <xf numFmtId="176" fontId="2" fillId="0" borderId="32" xfId="38" applyNumberFormat="1" applyFont="1" applyBorder="1" applyAlignment="1">
      <alignment vertical="center"/>
    </xf>
    <xf numFmtId="3" fontId="10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76" fontId="0" fillId="0" borderId="29" xfId="38" applyNumberFormat="1" applyFont="1" applyBorder="1" applyAlignment="1">
      <alignment vertical="center"/>
    </xf>
    <xf numFmtId="176" fontId="4" fillId="0" borderId="15" xfId="38" applyNumberFormat="1" applyFont="1" applyBorder="1" applyAlignment="1">
      <alignment/>
    </xf>
    <xf numFmtId="176" fontId="0" fillId="0" borderId="15" xfId="38" applyNumberFormat="1" applyFont="1" applyBorder="1" applyAlignment="1">
      <alignment/>
    </xf>
    <xf numFmtId="3" fontId="0" fillId="0" borderId="0" xfId="0" applyBorder="1" applyAlignment="1">
      <alignment/>
    </xf>
    <xf numFmtId="176" fontId="4" fillId="0" borderId="15" xfId="38" applyNumberFormat="1" applyFont="1" applyBorder="1" applyAlignment="1">
      <alignment/>
    </xf>
    <xf numFmtId="176" fontId="2" fillId="0" borderId="17" xfId="38" applyNumberFormat="1" applyFont="1" applyBorder="1" applyAlignment="1">
      <alignment vertical="center"/>
    </xf>
    <xf numFmtId="176" fontId="6" fillId="0" borderId="15" xfId="38" applyNumberFormat="1" applyFont="1" applyBorder="1" applyAlignment="1">
      <alignment/>
    </xf>
    <xf numFmtId="176" fontId="6" fillId="0" borderId="15" xfId="38" applyNumberFormat="1" applyFont="1" applyBorder="1" applyAlignment="1">
      <alignment/>
    </xf>
    <xf numFmtId="176" fontId="0" fillId="0" borderId="15" xfId="38" applyNumberFormat="1" applyFont="1" applyFill="1" applyBorder="1" applyAlignment="1">
      <alignment/>
    </xf>
    <xf numFmtId="176" fontId="3" fillId="0" borderId="18" xfId="38" applyNumberFormat="1" applyFont="1" applyBorder="1" applyAlignment="1">
      <alignment vertical="center"/>
    </xf>
    <xf numFmtId="176" fontId="2" fillId="0" borderId="18" xfId="38" applyNumberFormat="1" applyFont="1" applyBorder="1" applyAlignment="1">
      <alignment vertical="center"/>
    </xf>
    <xf numFmtId="176" fontId="3" fillId="0" borderId="19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3" fillId="0" borderId="17" xfId="38" applyNumberFormat="1" applyFont="1" applyBorder="1" applyAlignment="1">
      <alignment vertical="center"/>
    </xf>
    <xf numFmtId="176" fontId="2" fillId="0" borderId="19" xfId="38" applyNumberFormat="1" applyFont="1" applyBorder="1" applyAlignment="1">
      <alignment vertical="center"/>
    </xf>
    <xf numFmtId="176" fontId="3" fillId="0" borderId="10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3" fontId="0" fillId="0" borderId="16" xfId="0" applyFont="1" applyBorder="1" applyAlignment="1">
      <alignment/>
    </xf>
    <xf numFmtId="3" fontId="12" fillId="0" borderId="27" xfId="0" applyFont="1" applyBorder="1" applyAlignment="1">
      <alignment horizontal="center"/>
    </xf>
    <xf numFmtId="176" fontId="0" fillId="0" borderId="34" xfId="38" applyNumberFormat="1" applyFont="1" applyBorder="1" applyAlignment="1">
      <alignment/>
    </xf>
    <xf numFmtId="3" fontId="0" fillId="0" borderId="15" xfId="0" applyFill="1" applyBorder="1" applyAlignment="1">
      <alignment/>
    </xf>
    <xf numFmtId="176" fontId="2" fillId="0" borderId="35" xfId="38" applyNumberFormat="1" applyFont="1" applyBorder="1" applyAlignment="1">
      <alignment vertical="center"/>
    </xf>
    <xf numFmtId="176" fontId="0" fillId="0" borderId="36" xfId="38" applyNumberFormat="1" applyFont="1" applyBorder="1" applyAlignment="1">
      <alignment/>
    </xf>
    <xf numFmtId="176" fontId="6" fillId="0" borderId="0" xfId="38" applyNumberFormat="1" applyFont="1" applyFill="1" applyBorder="1" applyAlignment="1">
      <alignment/>
    </xf>
    <xf numFmtId="176" fontId="0" fillId="0" borderId="0" xfId="38" applyNumberFormat="1" applyFont="1" applyFill="1" applyBorder="1" applyAlignment="1">
      <alignment/>
    </xf>
    <xf numFmtId="176" fontId="11" fillId="0" borderId="36" xfId="38" applyNumberFormat="1" applyFont="1" applyBorder="1" applyAlignment="1">
      <alignment/>
    </xf>
    <xf numFmtId="176" fontId="2" fillId="0" borderId="0" xfId="38" applyNumberFormat="1" applyFont="1" applyBorder="1" applyAlignment="1">
      <alignment vertical="center"/>
    </xf>
    <xf numFmtId="176" fontId="0" fillId="0" borderId="0" xfId="38" applyNumberFormat="1" applyFont="1" applyBorder="1" applyAlignment="1">
      <alignment vertical="center"/>
    </xf>
    <xf numFmtId="167" fontId="4" fillId="0" borderId="19" xfId="38" applyNumberFormat="1" applyFont="1" applyBorder="1" applyAlignment="1">
      <alignment horizontal="center"/>
    </xf>
    <xf numFmtId="167" fontId="4" fillId="0" borderId="17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76" fontId="0" fillId="0" borderId="16" xfId="38" applyNumberFormat="1" applyFont="1" applyBorder="1" applyAlignment="1">
      <alignment/>
    </xf>
    <xf numFmtId="176" fontId="4" fillId="0" borderId="18" xfId="38" applyNumberFormat="1" applyFont="1" applyBorder="1" applyAlignment="1">
      <alignment/>
    </xf>
    <xf numFmtId="176" fontId="8" fillId="0" borderId="15" xfId="38" applyNumberFormat="1" applyFont="1" applyBorder="1" applyAlignment="1">
      <alignment vertical="center"/>
    </xf>
    <xf numFmtId="4" fontId="4" fillId="0" borderId="14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4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1" xfId="38" applyNumberFormat="1" applyFont="1" applyBorder="1" applyAlignment="1">
      <alignment vertical="center"/>
    </xf>
    <xf numFmtId="4" fontId="2" fillId="0" borderId="22" xfId="38" applyNumberFormat="1" applyFont="1" applyBorder="1" applyAlignment="1">
      <alignment vertical="center"/>
    </xf>
    <xf numFmtId="4" fontId="6" fillId="0" borderId="14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34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4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37" xfId="38" applyNumberFormat="1" applyFont="1" applyBorder="1" applyAlignment="1">
      <alignment vertical="center"/>
    </xf>
    <xf numFmtId="4" fontId="3" fillId="0" borderId="29" xfId="38" applyNumberFormat="1" applyFont="1" applyBorder="1" applyAlignment="1">
      <alignment vertical="center"/>
    </xf>
    <xf numFmtId="4" fontId="4" fillId="0" borderId="37" xfId="38" applyNumberFormat="1" applyFont="1" applyBorder="1" applyAlignment="1">
      <alignment vertical="center"/>
    </xf>
    <xf numFmtId="4" fontId="4" fillId="0" borderId="29" xfId="38" applyNumberFormat="1" applyFont="1" applyBorder="1" applyAlignment="1">
      <alignment vertical="center"/>
    </xf>
    <xf numFmtId="4" fontId="2" fillId="0" borderId="37" xfId="38" applyNumberFormat="1" applyFont="1" applyBorder="1" applyAlignment="1">
      <alignment vertical="center"/>
    </xf>
    <xf numFmtId="4" fontId="2" fillId="0" borderId="29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22" xfId="38" applyNumberFormat="1" applyFont="1" applyBorder="1" applyAlignment="1">
      <alignment vertical="center"/>
    </xf>
    <xf numFmtId="4" fontId="8" fillId="0" borderId="33" xfId="38" applyNumberFormat="1" applyFont="1" applyBorder="1" applyAlignment="1">
      <alignment vertical="center"/>
    </xf>
    <xf numFmtId="4" fontId="0" fillId="0" borderId="14" xfId="38" applyNumberFormat="1" applyFont="1" applyBorder="1" applyAlignment="1">
      <alignment/>
    </xf>
    <xf numFmtId="3" fontId="7" fillId="0" borderId="24" xfId="0" applyFont="1" applyBorder="1" applyAlignment="1">
      <alignment horizontal="center" vertical="center"/>
    </xf>
    <xf numFmtId="176" fontId="0" fillId="0" borderId="35" xfId="38" applyNumberFormat="1" applyFont="1" applyBorder="1" applyAlignment="1">
      <alignment vertical="center"/>
    </xf>
    <xf numFmtId="176" fontId="0" fillId="0" borderId="17" xfId="38" applyNumberFormat="1" applyFont="1" applyBorder="1" applyAlignment="1">
      <alignment vertical="center"/>
    </xf>
    <xf numFmtId="4" fontId="4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6" fillId="0" borderId="2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0" fillId="0" borderId="38" xfId="38" applyNumberFormat="1" applyFont="1" applyBorder="1" applyAlignment="1">
      <alignment/>
    </xf>
    <xf numFmtId="4" fontId="4" fillId="0" borderId="38" xfId="38" applyNumberFormat="1" applyFont="1" applyBorder="1" applyAlignment="1">
      <alignment/>
    </xf>
    <xf numFmtId="4" fontId="6" fillId="0" borderId="39" xfId="38" applyNumberFormat="1" applyFont="1" applyBorder="1" applyAlignment="1">
      <alignment/>
    </xf>
    <xf numFmtId="4" fontId="0" fillId="0" borderId="20" xfId="38" applyNumberFormat="1" applyFont="1" applyFill="1" applyBorder="1" applyAlignment="1">
      <alignment/>
    </xf>
    <xf numFmtId="4" fontId="3" fillId="0" borderId="40" xfId="38" applyNumberFormat="1" applyFont="1" applyBorder="1" applyAlignment="1">
      <alignment vertical="center"/>
    </xf>
    <xf numFmtId="4" fontId="2" fillId="0" borderId="40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4" fontId="4" fillId="0" borderId="39" xfId="38" applyNumberFormat="1" applyFont="1" applyBorder="1" applyAlignment="1">
      <alignment/>
    </xf>
    <xf numFmtId="4" fontId="0" fillId="0" borderId="39" xfId="38" applyNumberFormat="1" applyFont="1" applyBorder="1" applyAlignment="1">
      <alignment/>
    </xf>
    <xf numFmtId="4" fontId="4" fillId="0" borderId="39" xfId="38" applyNumberFormat="1" applyFont="1" applyBorder="1" applyAlignment="1">
      <alignment/>
    </xf>
    <xf numFmtId="4" fontId="2" fillId="0" borderId="35" xfId="38" applyNumberFormat="1" applyFont="1" applyBorder="1" applyAlignment="1">
      <alignment vertical="center"/>
    </xf>
    <xf numFmtId="4" fontId="6" fillId="0" borderId="39" xfId="38" applyNumberFormat="1" applyFont="1" applyBorder="1" applyAlignment="1">
      <alignment/>
    </xf>
    <xf numFmtId="4" fontId="0" fillId="0" borderId="39" xfId="38" applyNumberFormat="1" applyFont="1" applyFill="1" applyBorder="1" applyAlignment="1">
      <alignment/>
    </xf>
    <xf numFmtId="4" fontId="3" fillId="0" borderId="41" xfId="38" applyNumberFormat="1" applyFont="1" applyBorder="1" applyAlignment="1">
      <alignment vertical="center"/>
    </xf>
    <xf numFmtId="4" fontId="2" fillId="0" borderId="41" xfId="38" applyNumberFormat="1" applyFont="1" applyBorder="1" applyAlignment="1">
      <alignment vertical="center"/>
    </xf>
    <xf numFmtId="4" fontId="3" fillId="0" borderId="42" xfId="38" applyNumberFormat="1" applyFont="1" applyBorder="1" applyAlignment="1">
      <alignment vertical="center"/>
    </xf>
    <xf numFmtId="4" fontId="3" fillId="0" borderId="39" xfId="38" applyNumberFormat="1" applyFont="1" applyBorder="1" applyAlignment="1">
      <alignment vertical="center"/>
    </xf>
    <xf numFmtId="4" fontId="3" fillId="0" borderId="35" xfId="38" applyNumberFormat="1" applyFont="1" applyBorder="1" applyAlignment="1">
      <alignment vertical="center"/>
    </xf>
    <xf numFmtId="4" fontId="2" fillId="0" borderId="42" xfId="38" applyNumberFormat="1" applyFont="1" applyBorder="1" applyAlignment="1">
      <alignment vertical="center"/>
    </xf>
    <xf numFmtId="4" fontId="0" fillId="0" borderId="27" xfId="38" applyNumberFormat="1" applyFont="1" applyBorder="1" applyAlignment="1">
      <alignment/>
    </xf>
    <xf numFmtId="4" fontId="4" fillId="0" borderId="24" xfId="38" applyNumberFormat="1" applyFont="1" applyBorder="1" applyAlignment="1">
      <alignment/>
    </xf>
    <xf numFmtId="4" fontId="6" fillId="0" borderId="24" xfId="38" applyNumberFormat="1" applyFont="1" applyBorder="1" applyAlignment="1">
      <alignment/>
    </xf>
    <xf numFmtId="4" fontId="0" fillId="0" borderId="24" xfId="38" applyNumberFormat="1" applyFont="1" applyBorder="1" applyAlignment="1">
      <alignment/>
    </xf>
    <xf numFmtId="3" fontId="5" fillId="0" borderId="24" xfId="0" applyFont="1" applyBorder="1" applyAlignment="1">
      <alignment horizontal="center"/>
    </xf>
    <xf numFmtId="176" fontId="4" fillId="0" borderId="20" xfId="38" applyNumberFormat="1" applyFont="1" applyBorder="1" applyAlignment="1">
      <alignment/>
    </xf>
    <xf numFmtId="4" fontId="0" fillId="0" borderId="27" xfId="38" applyNumberFormat="1" applyFont="1" applyFill="1" applyBorder="1" applyAlignment="1">
      <alignment/>
    </xf>
    <xf numFmtId="176" fontId="4" fillId="0" borderId="43" xfId="38" applyNumberFormat="1" applyFont="1" applyBorder="1" applyAlignment="1">
      <alignment/>
    </xf>
    <xf numFmtId="176" fontId="4" fillId="0" borderId="44" xfId="38" applyNumberFormat="1" applyFont="1" applyBorder="1" applyAlignment="1">
      <alignment/>
    </xf>
    <xf numFmtId="167" fontId="4" fillId="0" borderId="42" xfId="38" applyNumberFormat="1" applyFont="1" applyBorder="1" applyAlignment="1">
      <alignment horizontal="center"/>
    </xf>
    <xf numFmtId="167" fontId="4" fillId="0" borderId="35" xfId="38" applyNumberFormat="1" applyFont="1" applyBorder="1" applyAlignment="1">
      <alignment horizontal="center"/>
    </xf>
    <xf numFmtId="167" fontId="4" fillId="0" borderId="39" xfId="38" applyNumberFormat="1" applyFont="1" applyBorder="1" applyAlignment="1">
      <alignment horizontal="center"/>
    </xf>
    <xf numFmtId="168" fontId="4" fillId="0" borderId="39" xfId="38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45" xfId="38" applyNumberFormat="1" applyFont="1" applyBorder="1" applyAlignment="1">
      <alignment/>
    </xf>
    <xf numFmtId="4" fontId="0" fillId="0" borderId="45" xfId="38" applyNumberFormat="1" applyFont="1" applyFill="1" applyBorder="1" applyAlignment="1">
      <alignment/>
    </xf>
    <xf numFmtId="4" fontId="4" fillId="0" borderId="41" xfId="38" applyNumberFormat="1" applyFont="1" applyBorder="1" applyAlignment="1">
      <alignment vertical="center"/>
    </xf>
    <xf numFmtId="4" fontId="2" fillId="0" borderId="39" xfId="38" applyNumberFormat="1" applyFont="1" applyBorder="1" applyAlignment="1">
      <alignment vertical="center"/>
    </xf>
    <xf numFmtId="4" fontId="8" fillId="0" borderId="39" xfId="38" applyNumberFormat="1" applyFont="1" applyBorder="1" applyAlignment="1">
      <alignment vertical="center"/>
    </xf>
    <xf numFmtId="4" fontId="8" fillId="0" borderId="35" xfId="38" applyNumberFormat="1" applyFont="1" applyBorder="1" applyAlignment="1">
      <alignment vertical="center"/>
    </xf>
    <xf numFmtId="4" fontId="4" fillId="0" borderId="15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4" fontId="2" fillId="0" borderId="17" xfId="38" applyNumberFormat="1" applyFont="1" applyBorder="1" applyAlignment="1">
      <alignment vertical="center"/>
    </xf>
    <xf numFmtId="4" fontId="6" fillId="0" borderId="15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4" fontId="0" fillId="0" borderId="15" xfId="38" applyNumberFormat="1" applyFont="1" applyFill="1" applyBorder="1" applyAlignment="1">
      <alignment/>
    </xf>
    <xf numFmtId="4" fontId="4" fillId="0" borderId="46" xfId="38" applyNumberFormat="1" applyFont="1" applyBorder="1" applyAlignment="1">
      <alignment/>
    </xf>
    <xf numFmtId="4" fontId="3" fillId="0" borderId="18" xfId="38" applyNumberFormat="1" applyFont="1" applyBorder="1" applyAlignment="1">
      <alignment vertical="center"/>
    </xf>
    <xf numFmtId="4" fontId="2" fillId="0" borderId="18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" fontId="0" fillId="0" borderId="24" xfId="38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4" fillId="0" borderId="24" xfId="38" applyNumberFormat="1" applyFont="1" applyBorder="1" applyAlignment="1">
      <alignment/>
    </xf>
    <xf numFmtId="4" fontId="6" fillId="0" borderId="24" xfId="38" applyNumberFormat="1" applyFont="1" applyBorder="1" applyAlignment="1">
      <alignment/>
    </xf>
    <xf numFmtId="4" fontId="4" fillId="0" borderId="30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2" fillId="0" borderId="24" xfId="38" applyNumberFormat="1" applyFont="1" applyBorder="1" applyAlignment="1">
      <alignment vertical="center"/>
    </xf>
    <xf numFmtId="4" fontId="0" fillId="0" borderId="34" xfId="38" applyNumberFormat="1" applyFont="1" applyFill="1" applyBorder="1" applyAlignment="1">
      <alignment/>
    </xf>
    <xf numFmtId="176" fontId="4" fillId="0" borderId="14" xfId="38" applyNumberFormat="1" applyFont="1" applyBorder="1" applyAlignment="1">
      <alignment/>
    </xf>
    <xf numFmtId="4" fontId="8" fillId="0" borderId="21" xfId="38" applyNumberFormat="1" applyFont="1" applyBorder="1" applyAlignment="1">
      <alignment vertical="center"/>
    </xf>
    <xf numFmtId="3" fontId="0" fillId="0" borderId="0" xfId="0" applyFill="1" applyAlignment="1">
      <alignment/>
    </xf>
    <xf numFmtId="4" fontId="0" fillId="0" borderId="15" xfId="38" applyNumberFormat="1" applyFont="1" applyBorder="1" applyAlignment="1">
      <alignment vertical="center"/>
    </xf>
    <xf numFmtId="4" fontId="0" fillId="0" borderId="24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 vertical="center"/>
    </xf>
    <xf numFmtId="4" fontId="0" fillId="0" borderId="20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26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38" xfId="0" applyNumberFormat="1" applyBorder="1" applyAlignment="1">
      <alignment/>
    </xf>
    <xf numFmtId="4" fontId="0" fillId="0" borderId="34" xfId="0" applyNumberFormat="1" applyBorder="1" applyAlignment="1">
      <alignment/>
    </xf>
    <xf numFmtId="3" fontId="0" fillId="0" borderId="14" xfId="0" applyBorder="1" applyAlignment="1">
      <alignment/>
    </xf>
    <xf numFmtId="3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4" fillId="0" borderId="40" xfId="38" applyNumberFormat="1" applyFont="1" applyBorder="1" applyAlignment="1">
      <alignment vertical="center"/>
    </xf>
    <xf numFmtId="4" fontId="0" fillId="0" borderId="21" xfId="0" applyNumberFormat="1" applyBorder="1" applyAlignment="1">
      <alignment/>
    </xf>
    <xf numFmtId="4" fontId="0" fillId="0" borderId="23" xfId="0" applyNumberFormat="1" applyBorder="1" applyAlignment="1">
      <alignment/>
    </xf>
    <xf numFmtId="176" fontId="0" fillId="0" borderId="27" xfId="38" applyNumberFormat="1" applyFont="1" applyFill="1" applyBorder="1" applyAlignment="1">
      <alignment/>
    </xf>
    <xf numFmtId="4" fontId="4" fillId="0" borderId="44" xfId="38" applyNumberFormat="1" applyFont="1" applyBorder="1" applyAlignment="1">
      <alignment/>
    </xf>
    <xf numFmtId="177" fontId="0" fillId="0" borderId="0" xfId="0" applyNumberFormat="1" applyAlignment="1">
      <alignment/>
    </xf>
    <xf numFmtId="4" fontId="0" fillId="0" borderId="14" xfId="0" applyNumberFormat="1" applyFont="1" applyFill="1" applyBorder="1" applyAlignment="1">
      <alignment/>
    </xf>
    <xf numFmtId="3" fontId="7" fillId="0" borderId="17" xfId="0" applyFont="1" applyBorder="1" applyAlignment="1">
      <alignment/>
    </xf>
    <xf numFmtId="3" fontId="7" fillId="0" borderId="26" xfId="0" applyFont="1" applyBorder="1" applyAlignment="1">
      <alignment horizontal="center"/>
    </xf>
    <xf numFmtId="176" fontId="0" fillId="0" borderId="26" xfId="38" applyNumberFormat="1" applyFont="1" applyBorder="1" applyAlignment="1">
      <alignment/>
    </xf>
    <xf numFmtId="176" fontId="0" fillId="0" borderId="22" xfId="38" applyNumberFormat="1" applyFont="1" applyBorder="1" applyAlignment="1">
      <alignment/>
    </xf>
    <xf numFmtId="176" fontId="0" fillId="0" borderId="33" xfId="38" applyNumberFormat="1" applyFont="1" applyBorder="1" applyAlignment="1">
      <alignment/>
    </xf>
    <xf numFmtId="176" fontId="0" fillId="0" borderId="17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35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26" xfId="38" applyNumberFormat="1" applyFont="1" applyFill="1" applyBorder="1" applyAlignment="1">
      <alignment/>
    </xf>
    <xf numFmtId="3" fontId="0" fillId="0" borderId="17" xfId="0" applyFont="1" applyBorder="1" applyAlignment="1">
      <alignment/>
    </xf>
    <xf numFmtId="4" fontId="0" fillId="0" borderId="26" xfId="38" applyNumberFormat="1" applyFont="1" applyBorder="1" applyAlignment="1">
      <alignment/>
    </xf>
    <xf numFmtId="1" fontId="7" fillId="0" borderId="26" xfId="0" applyNumberFormat="1" applyFont="1" applyBorder="1" applyAlignment="1">
      <alignment horizontal="center"/>
    </xf>
    <xf numFmtId="176" fontId="0" fillId="0" borderId="22" xfId="38" applyNumberFormat="1" applyFont="1" applyFill="1" applyBorder="1" applyAlignment="1">
      <alignment/>
    </xf>
    <xf numFmtId="176" fontId="0" fillId="0" borderId="33" xfId="38" applyNumberFormat="1" applyFont="1" applyFill="1" applyBorder="1" applyAlignment="1">
      <alignment/>
    </xf>
    <xf numFmtId="3" fontId="0" fillId="0" borderId="17" xfId="0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19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5"/>
  <sheetViews>
    <sheetView tabSelected="1" zoomScale="110" zoomScaleNormal="110" zoomScaleSheetLayoutView="69" zoomScalePageLayoutView="0" workbookViewId="0" topLeftCell="A1">
      <pane xSplit="1" ySplit="9" topLeftCell="C5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67" sqref="P67"/>
    </sheetView>
  </sheetViews>
  <sheetFormatPr defaultColWidth="9.00390625" defaultRowHeight="12.75"/>
  <cols>
    <col min="1" max="1" width="51.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3.75390625" style="0" hidden="1" customWidth="1"/>
    <col min="6" max="6" width="16.375" style="0" hidden="1" customWidth="1"/>
    <col min="7" max="7" width="13.125" style="0" hidden="1" customWidth="1"/>
    <col min="8" max="8" width="12.75390625" style="0" hidden="1" customWidth="1"/>
    <col min="9" max="9" width="16.125" style="0" hidden="1" customWidth="1"/>
    <col min="10" max="10" width="14.875" style="0" hidden="1" customWidth="1"/>
    <col min="11" max="11" width="13.00390625" style="0" hidden="1" customWidth="1"/>
    <col min="12" max="12" width="16.25390625" style="0" hidden="1" customWidth="1"/>
    <col min="13" max="13" width="14.25390625" style="0" hidden="1" customWidth="1"/>
    <col min="14" max="14" width="13.375" style="0" hidden="1" customWidth="1"/>
    <col min="15" max="15" width="16.25390625" style="0" customWidth="1"/>
    <col min="16" max="16" width="12.875" style="0" customWidth="1"/>
    <col min="17" max="17" width="16.625" style="0" customWidth="1"/>
    <col min="18" max="18" width="20.00390625" style="0" customWidth="1"/>
    <col min="19" max="19" width="16.625" style="0" customWidth="1"/>
  </cols>
  <sheetData>
    <row r="1" spans="3:17" ht="12.75">
      <c r="C1" s="1"/>
      <c r="D1" s="1"/>
      <c r="E1" s="1"/>
      <c r="F1" s="2"/>
      <c r="I1" s="2"/>
      <c r="L1" s="2"/>
      <c r="O1" s="2"/>
      <c r="Q1" s="2" t="s">
        <v>130</v>
      </c>
    </row>
    <row r="2" spans="3:6" ht="9.75" customHeight="1">
      <c r="C2" s="1"/>
      <c r="D2" s="1"/>
      <c r="E2" s="1"/>
      <c r="F2" s="2"/>
    </row>
    <row r="3" spans="1:17" ht="15.75">
      <c r="A3" s="326" t="s">
        <v>233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.75">
      <c r="A4" s="328" t="s">
        <v>303</v>
      </c>
      <c r="B4" s="32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5">
      <c r="A5" s="329" t="s">
        <v>0</v>
      </c>
      <c r="B5" s="329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12.75">
      <c r="A6" s="330" t="s">
        <v>1</v>
      </c>
      <c r="B6" s="33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6" ht="18" customHeight="1" thickBot="1">
      <c r="A7" s="3"/>
      <c r="B7" s="3"/>
      <c r="C7" s="4"/>
      <c r="D7" s="86"/>
      <c r="E7" s="4"/>
      <c r="F7" s="4"/>
      <c r="J7" s="42"/>
      <c r="M7" s="39"/>
      <c r="P7" s="42"/>
    </row>
    <row r="8" spans="1:17" ht="12.75">
      <c r="A8" s="331" t="s">
        <v>2</v>
      </c>
      <c r="B8" s="44" t="s">
        <v>221</v>
      </c>
      <c r="C8" s="103" t="s">
        <v>3</v>
      </c>
      <c r="D8" s="7" t="s">
        <v>4</v>
      </c>
      <c r="E8" s="120" t="s">
        <v>5</v>
      </c>
      <c r="F8" s="161" t="s">
        <v>6</v>
      </c>
      <c r="G8" s="6" t="s">
        <v>7</v>
      </c>
      <c r="H8" s="7" t="s">
        <v>5</v>
      </c>
      <c r="I8" s="8" t="s">
        <v>6</v>
      </c>
      <c r="J8" s="6" t="s">
        <v>8</v>
      </c>
      <c r="K8" s="249" t="s">
        <v>5</v>
      </c>
      <c r="L8" s="161" t="s">
        <v>6</v>
      </c>
      <c r="M8" s="103" t="s">
        <v>9</v>
      </c>
      <c r="N8" s="7" t="s">
        <v>5</v>
      </c>
      <c r="O8" s="8" t="s">
        <v>6</v>
      </c>
      <c r="P8" s="6" t="s">
        <v>154</v>
      </c>
      <c r="Q8" s="8" t="s">
        <v>6</v>
      </c>
    </row>
    <row r="9" spans="1:17" ht="13.5" thickBot="1">
      <c r="A9" s="332"/>
      <c r="B9" s="97" t="s">
        <v>168</v>
      </c>
      <c r="C9" s="104" t="s">
        <v>10</v>
      </c>
      <c r="D9" s="37" t="s">
        <v>11</v>
      </c>
      <c r="E9" s="121" t="s">
        <v>12</v>
      </c>
      <c r="F9" s="162" t="s">
        <v>13</v>
      </c>
      <c r="G9" s="36" t="s">
        <v>11</v>
      </c>
      <c r="H9" s="37" t="s">
        <v>12</v>
      </c>
      <c r="I9" s="38" t="s">
        <v>14</v>
      </c>
      <c r="J9" s="36" t="s">
        <v>11</v>
      </c>
      <c r="K9" s="250" t="s">
        <v>12</v>
      </c>
      <c r="L9" s="162" t="s">
        <v>15</v>
      </c>
      <c r="M9" s="104" t="s">
        <v>11</v>
      </c>
      <c r="N9" s="37" t="s">
        <v>12</v>
      </c>
      <c r="O9" s="38" t="s">
        <v>16</v>
      </c>
      <c r="P9" s="36" t="s">
        <v>11</v>
      </c>
      <c r="Q9" s="38" t="s">
        <v>155</v>
      </c>
    </row>
    <row r="10" spans="1:17" ht="15.75" customHeight="1">
      <c r="A10" s="34" t="s">
        <v>17</v>
      </c>
      <c r="B10" s="45"/>
      <c r="C10" s="105"/>
      <c r="D10" s="5"/>
      <c r="E10" s="122"/>
      <c r="F10" s="163"/>
      <c r="G10" s="9"/>
      <c r="H10" s="5"/>
      <c r="I10" s="35"/>
      <c r="J10" s="9"/>
      <c r="K10" s="251"/>
      <c r="L10" s="163"/>
      <c r="M10" s="105"/>
      <c r="N10" s="5"/>
      <c r="O10" s="35"/>
      <c r="P10" s="297"/>
      <c r="Q10" s="298"/>
    </row>
    <row r="11" spans="1:17" ht="12.75">
      <c r="A11" s="10" t="s">
        <v>211</v>
      </c>
      <c r="B11" s="46"/>
      <c r="C11" s="94">
        <f>C13+C14+C15+C16</f>
        <v>4500000</v>
      </c>
      <c r="D11" s="68">
        <f>D13+D14+D15+D16</f>
        <v>34675.19</v>
      </c>
      <c r="E11" s="95">
        <f>E13+E14+E15</f>
        <v>0</v>
      </c>
      <c r="F11" s="134">
        <f aca="true" t="shared" si="0" ref="F11:Q11">F13+F14+F15+F16</f>
        <v>4534675.19</v>
      </c>
      <c r="G11" s="167">
        <f t="shared" si="0"/>
        <v>55460.4</v>
      </c>
      <c r="H11" s="168">
        <f t="shared" si="0"/>
        <v>200</v>
      </c>
      <c r="I11" s="210">
        <f t="shared" si="0"/>
        <v>4590335.59</v>
      </c>
      <c r="J11" s="167">
        <f t="shared" si="0"/>
        <v>169033.30000000002</v>
      </c>
      <c r="K11" s="228">
        <f t="shared" si="0"/>
        <v>17792.32</v>
      </c>
      <c r="L11" s="260">
        <f t="shared" si="0"/>
        <v>4777161.21</v>
      </c>
      <c r="M11" s="228">
        <f t="shared" si="0"/>
        <v>100900</v>
      </c>
      <c r="N11" s="168">
        <f t="shared" si="0"/>
        <v>18470</v>
      </c>
      <c r="O11" s="210">
        <f t="shared" si="0"/>
        <v>4896531.21</v>
      </c>
      <c r="P11" s="167">
        <f t="shared" si="0"/>
        <v>0</v>
      </c>
      <c r="Q11" s="210">
        <f t="shared" si="0"/>
        <v>4896531.21</v>
      </c>
    </row>
    <row r="12" spans="1:17" ht="12.75">
      <c r="A12" s="11" t="s">
        <v>18</v>
      </c>
      <c r="B12" s="47"/>
      <c r="C12" s="94"/>
      <c r="D12" s="68"/>
      <c r="E12" s="95"/>
      <c r="F12" s="134"/>
      <c r="G12" s="167"/>
      <c r="H12" s="168"/>
      <c r="I12" s="210"/>
      <c r="J12" s="167"/>
      <c r="K12" s="252"/>
      <c r="L12" s="260"/>
      <c r="M12" s="241"/>
      <c r="N12" s="168"/>
      <c r="O12" s="210"/>
      <c r="P12" s="171"/>
      <c r="Q12" s="299"/>
    </row>
    <row r="13" spans="1:17" ht="12.75">
      <c r="A13" s="55" t="s">
        <v>218</v>
      </c>
      <c r="B13" s="47"/>
      <c r="C13" s="88">
        <v>4467580</v>
      </c>
      <c r="D13" s="69"/>
      <c r="E13" s="95"/>
      <c r="F13" s="135">
        <f>C13+D13+E13</f>
        <v>4467580</v>
      </c>
      <c r="G13" s="169">
        <f>4840+232+307+12000+4629.25+7800+24572+3000</f>
        <v>57380.25</v>
      </c>
      <c r="H13" s="170">
        <f>200</f>
        <v>200</v>
      </c>
      <c r="I13" s="211">
        <f>F13+G13+H13</f>
        <v>4525160.25</v>
      </c>
      <c r="J13" s="169">
        <f>3000+1000+55000+9000+13000+1960.7+15000+1200+23000+10000+6000+2800+5000+10000+10000+3000</f>
        <v>168960.7</v>
      </c>
      <c r="K13" s="229">
        <f>1000+2822+1400+11628.79+941.53</f>
        <v>17792.32</v>
      </c>
      <c r="L13" s="261">
        <f>I13+J13+K13</f>
        <v>4711913.2700000005</v>
      </c>
      <c r="M13" s="243">
        <f>25000+1900+1000+13000+40000+10000+10000</f>
        <v>100900</v>
      </c>
      <c r="N13" s="170">
        <f>11900+4250+2320</f>
        <v>18470</v>
      </c>
      <c r="O13" s="211">
        <f>L13+M13+N13</f>
        <v>4831283.2700000005</v>
      </c>
      <c r="P13" s="171"/>
      <c r="Q13" s="299">
        <f aca="true" t="shared" si="1" ref="Q13:Q81">O13+P13</f>
        <v>4831283.2700000005</v>
      </c>
    </row>
    <row r="14" spans="1:17" ht="12.75">
      <c r="A14" s="12" t="s">
        <v>19</v>
      </c>
      <c r="B14" s="48"/>
      <c r="C14" s="88"/>
      <c r="D14" s="76">
        <f>34675.19</f>
        <v>34675.19</v>
      </c>
      <c r="E14" s="89"/>
      <c r="F14" s="135">
        <f>C14+D14+E14</f>
        <v>34675.19</v>
      </c>
      <c r="G14" s="169">
        <f>-1919.85</f>
        <v>-1919.85</v>
      </c>
      <c r="H14" s="168"/>
      <c r="I14" s="211">
        <f>F14+G14+H14</f>
        <v>32755.340000000004</v>
      </c>
      <c r="J14" s="169"/>
      <c r="K14" s="228"/>
      <c r="L14" s="261">
        <f>I14+J14+K14</f>
        <v>32755.340000000004</v>
      </c>
      <c r="M14" s="243"/>
      <c r="N14" s="168"/>
      <c r="O14" s="211">
        <f>L14+M14+N14</f>
        <v>32755.340000000004</v>
      </c>
      <c r="P14" s="171"/>
      <c r="Q14" s="299">
        <f t="shared" si="1"/>
        <v>32755.340000000004</v>
      </c>
    </row>
    <row r="15" spans="1:17" ht="12.75">
      <c r="A15" s="55" t="s">
        <v>219</v>
      </c>
      <c r="B15" s="48"/>
      <c r="C15" s="88">
        <v>2420</v>
      </c>
      <c r="D15" s="76"/>
      <c r="E15" s="89"/>
      <c r="F15" s="135">
        <f>C15+D15+E15</f>
        <v>2420</v>
      </c>
      <c r="G15" s="169"/>
      <c r="H15" s="168"/>
      <c r="I15" s="211">
        <f>F15+G15+H15</f>
        <v>2420</v>
      </c>
      <c r="J15" s="169">
        <f>72.6</f>
        <v>72.6</v>
      </c>
      <c r="K15" s="228"/>
      <c r="L15" s="261">
        <f>I15+J15+K15</f>
        <v>2492.6</v>
      </c>
      <c r="M15" s="243"/>
      <c r="N15" s="168"/>
      <c r="O15" s="211">
        <f>L15+M15+N15</f>
        <v>2492.6</v>
      </c>
      <c r="P15" s="171"/>
      <c r="Q15" s="299">
        <f t="shared" si="1"/>
        <v>2492.6</v>
      </c>
    </row>
    <row r="16" spans="1:17" ht="12.75">
      <c r="A16" s="55" t="s">
        <v>279</v>
      </c>
      <c r="B16" s="48"/>
      <c r="C16" s="88">
        <v>30000</v>
      </c>
      <c r="D16" s="76"/>
      <c r="E16" s="89"/>
      <c r="F16" s="135">
        <f>C16+D16+E16</f>
        <v>30000</v>
      </c>
      <c r="G16" s="169"/>
      <c r="H16" s="168"/>
      <c r="I16" s="211">
        <f>F16+G16+H16</f>
        <v>30000</v>
      </c>
      <c r="J16" s="169"/>
      <c r="K16" s="228"/>
      <c r="L16" s="261">
        <f>I16+J16+K16</f>
        <v>30000</v>
      </c>
      <c r="M16" s="243"/>
      <c r="N16" s="168"/>
      <c r="O16" s="211">
        <f>L16+M16+N16</f>
        <v>30000</v>
      </c>
      <c r="P16" s="171"/>
      <c r="Q16" s="299">
        <f t="shared" si="1"/>
        <v>30000</v>
      </c>
    </row>
    <row r="17" spans="1:17" ht="12.75">
      <c r="A17" s="10" t="s">
        <v>212</v>
      </c>
      <c r="B17" s="46"/>
      <c r="C17" s="94">
        <f aca="true" t="shared" si="2" ref="C17:Q17">SUM(C19:C24)+C31</f>
        <v>240864.88</v>
      </c>
      <c r="D17" s="68">
        <f t="shared" si="2"/>
        <v>18107.46</v>
      </c>
      <c r="E17" s="95">
        <f t="shared" si="2"/>
        <v>0</v>
      </c>
      <c r="F17" s="134">
        <f t="shared" si="2"/>
        <v>258972.34000000003</v>
      </c>
      <c r="G17" s="167">
        <f t="shared" si="2"/>
        <v>44877.26</v>
      </c>
      <c r="H17" s="168">
        <f t="shared" si="2"/>
        <v>80839.93000000001</v>
      </c>
      <c r="I17" s="210">
        <f t="shared" si="2"/>
        <v>384689.52999999997</v>
      </c>
      <c r="J17" s="167">
        <f t="shared" si="2"/>
        <v>42476.63999999999</v>
      </c>
      <c r="K17" s="228">
        <f t="shared" si="2"/>
        <v>0</v>
      </c>
      <c r="L17" s="260">
        <f t="shared" si="2"/>
        <v>427166.17</v>
      </c>
      <c r="M17" s="228">
        <f t="shared" si="2"/>
        <v>15606.490000000002</v>
      </c>
      <c r="N17" s="168">
        <f t="shared" si="2"/>
        <v>19591.64</v>
      </c>
      <c r="O17" s="210">
        <f t="shared" si="2"/>
        <v>462364.29999999993</v>
      </c>
      <c r="P17" s="167">
        <f t="shared" si="2"/>
        <v>25650.039999999997</v>
      </c>
      <c r="Q17" s="210">
        <f t="shared" si="2"/>
        <v>488014.33999999997</v>
      </c>
    </row>
    <row r="18" spans="1:17" ht="10.5" customHeight="1">
      <c r="A18" s="11" t="s">
        <v>20</v>
      </c>
      <c r="B18" s="47"/>
      <c r="C18" s="94"/>
      <c r="D18" s="68"/>
      <c r="E18" s="95"/>
      <c r="F18" s="134"/>
      <c r="G18" s="167"/>
      <c r="H18" s="168"/>
      <c r="I18" s="210"/>
      <c r="J18" s="167"/>
      <c r="K18" s="228"/>
      <c r="L18" s="260"/>
      <c r="M18" s="241"/>
      <c r="N18" s="168"/>
      <c r="O18" s="210"/>
      <c r="P18" s="171"/>
      <c r="Q18" s="299"/>
    </row>
    <row r="19" spans="1:17" ht="12.75">
      <c r="A19" s="12" t="s">
        <v>21</v>
      </c>
      <c r="B19" s="48"/>
      <c r="C19" s="88">
        <v>6000</v>
      </c>
      <c r="D19" s="69"/>
      <c r="E19" s="89"/>
      <c r="F19" s="135">
        <f>C19+D19+E19</f>
        <v>6000</v>
      </c>
      <c r="G19" s="169">
        <f>34.92+1.62</f>
        <v>36.54</v>
      </c>
      <c r="H19" s="170"/>
      <c r="I19" s="211">
        <f>F19+G19+H19</f>
        <v>6036.54</v>
      </c>
      <c r="J19" s="169">
        <f>12.31+10.33</f>
        <v>22.64</v>
      </c>
      <c r="K19" s="229"/>
      <c r="L19" s="261">
        <f>I19+J19+K19</f>
        <v>6059.18</v>
      </c>
      <c r="M19" s="243">
        <f>15.73+13.3+52.35</f>
        <v>81.38</v>
      </c>
      <c r="N19" s="170"/>
      <c r="O19" s="211">
        <f>L19+M19+N19</f>
        <v>6140.56</v>
      </c>
      <c r="P19" s="171">
        <f>-52.34</f>
        <v>-52.34</v>
      </c>
      <c r="Q19" s="299">
        <f t="shared" si="1"/>
        <v>6088.22</v>
      </c>
    </row>
    <row r="20" spans="1:17" ht="12.75">
      <c r="A20" s="55" t="s">
        <v>246</v>
      </c>
      <c r="B20" s="48"/>
      <c r="C20" s="88"/>
      <c r="D20" s="69">
        <f>167.06</f>
        <v>167.06</v>
      </c>
      <c r="E20" s="89"/>
      <c r="F20" s="135">
        <f aca="true" t="shared" si="3" ref="F20:F31">C20+D20+E20</f>
        <v>167.06</v>
      </c>
      <c r="G20" s="169">
        <f>18.55+7114.8+4599.77+5071.73+4967.28+3401.93+6100.66+4039.43</f>
        <v>35314.149999999994</v>
      </c>
      <c r="H20" s="170">
        <f>78872.33</f>
        <v>78872.33</v>
      </c>
      <c r="I20" s="211">
        <f>F20+G20+H20</f>
        <v>114353.54</v>
      </c>
      <c r="J20" s="169">
        <f>958.69+2970.55+7618.15</f>
        <v>11547.39</v>
      </c>
      <c r="K20" s="229"/>
      <c r="L20" s="261">
        <f>I20+J20+K20</f>
        <v>125900.93</v>
      </c>
      <c r="M20" s="243">
        <f>16977.45+991.59</f>
        <v>17969.04</v>
      </c>
      <c r="N20" s="170">
        <f>1609.85+17981.79</f>
        <v>19591.64</v>
      </c>
      <c r="O20" s="211">
        <f>L20+M20+N20</f>
        <v>163461.61</v>
      </c>
      <c r="P20" s="171">
        <f>2558.63+3432.47+3329.64+5864.94+3000+6664+747</f>
        <v>25596.68</v>
      </c>
      <c r="Q20" s="299">
        <f t="shared" si="1"/>
        <v>189058.28999999998</v>
      </c>
    </row>
    <row r="21" spans="1:17" ht="12.75">
      <c r="A21" s="13" t="s">
        <v>247</v>
      </c>
      <c r="B21" s="49"/>
      <c r="C21" s="88">
        <v>122835.38</v>
      </c>
      <c r="D21" s="69"/>
      <c r="E21" s="89"/>
      <c r="F21" s="135">
        <f t="shared" si="3"/>
        <v>122835.38</v>
      </c>
      <c r="G21" s="169">
        <f>-48.56</f>
        <v>-48.56</v>
      </c>
      <c r="H21" s="170"/>
      <c r="I21" s="211">
        <f>F21+G21+H21</f>
        <v>122786.82</v>
      </c>
      <c r="J21" s="169"/>
      <c r="K21" s="229"/>
      <c r="L21" s="261">
        <f>I21+J21+K21</f>
        <v>122786.82</v>
      </c>
      <c r="M21" s="243">
        <f>-109.7</f>
        <v>-109.7</v>
      </c>
      <c r="N21" s="170"/>
      <c r="O21" s="211">
        <f>L21+M21+N21</f>
        <v>122677.12000000001</v>
      </c>
      <c r="P21" s="171"/>
      <c r="Q21" s="299">
        <f t="shared" si="1"/>
        <v>122677.12000000001</v>
      </c>
    </row>
    <row r="22" spans="1:17" ht="12.75" hidden="1">
      <c r="A22" s="13" t="s">
        <v>248</v>
      </c>
      <c r="B22" s="49"/>
      <c r="C22" s="88"/>
      <c r="D22" s="69"/>
      <c r="E22" s="89"/>
      <c r="F22" s="135">
        <f t="shared" si="3"/>
        <v>0</v>
      </c>
      <c r="G22" s="169"/>
      <c r="H22" s="170"/>
      <c r="I22" s="211">
        <f>F22+G22+H22</f>
        <v>0</v>
      </c>
      <c r="J22" s="169"/>
      <c r="K22" s="229"/>
      <c r="L22" s="261">
        <f>I22+J22+K22</f>
        <v>0</v>
      </c>
      <c r="M22" s="243"/>
      <c r="N22" s="170"/>
      <c r="O22" s="211">
        <f>L22+M22+N22</f>
        <v>0</v>
      </c>
      <c r="P22" s="171"/>
      <c r="Q22" s="299">
        <f t="shared" si="1"/>
        <v>0</v>
      </c>
    </row>
    <row r="23" spans="1:17" ht="12.75">
      <c r="A23" s="13" t="s">
        <v>249</v>
      </c>
      <c r="B23" s="49"/>
      <c r="C23" s="88"/>
      <c r="D23" s="69">
        <f>249.2+610+972.6+2636.68+401.69</f>
        <v>4870.169999999999</v>
      </c>
      <c r="E23" s="89"/>
      <c r="F23" s="135">
        <f t="shared" si="3"/>
        <v>4870.169999999999</v>
      </c>
      <c r="G23" s="169">
        <f>155+4553.82+136.73-15+471.68+53.89+102.5+413.07+42.76+87.95</f>
        <v>6002.4</v>
      </c>
      <c r="H23" s="170">
        <f>20.53</f>
        <v>20.53</v>
      </c>
      <c r="I23" s="211">
        <f>F23+G23+H23</f>
        <v>10893.1</v>
      </c>
      <c r="J23" s="169">
        <f>533+1800.57+80.38+220.7-72.6+1.6+100+20000+5343.92+1654.16+713.5</f>
        <v>30375.23</v>
      </c>
      <c r="K23" s="229"/>
      <c r="L23" s="261">
        <f>I23+J23+K23</f>
        <v>41268.33</v>
      </c>
      <c r="M23" s="276">
        <f>-20000-1371.33+127.5+2000+5572.35+2508.85+309.18+452+4490.77+654.8+468.11</f>
        <v>-4787.77</v>
      </c>
      <c r="N23" s="170"/>
      <c r="O23" s="211">
        <f>L23+M23+N23</f>
        <v>36480.56</v>
      </c>
      <c r="P23" s="171">
        <f>97.85</f>
        <v>97.85</v>
      </c>
      <c r="Q23" s="299">
        <f t="shared" si="1"/>
        <v>36578.409999999996</v>
      </c>
    </row>
    <row r="24" spans="1:17" ht="12.75">
      <c r="A24" s="12" t="s">
        <v>22</v>
      </c>
      <c r="B24" s="48"/>
      <c r="C24" s="88">
        <f>SUM(C25:C30)</f>
        <v>112029.5</v>
      </c>
      <c r="D24" s="69">
        <f>SUM(D25:D30)</f>
        <v>659.71</v>
      </c>
      <c r="E24" s="89">
        <f aca="true" t="shared" si="4" ref="E24:Q24">SUM(E25:E30)</f>
        <v>0</v>
      </c>
      <c r="F24" s="135">
        <f t="shared" si="4"/>
        <v>112689.21000000002</v>
      </c>
      <c r="G24" s="169">
        <f t="shared" si="4"/>
        <v>611.72</v>
      </c>
      <c r="H24" s="170">
        <f t="shared" si="4"/>
        <v>0</v>
      </c>
      <c r="I24" s="211">
        <f t="shared" si="4"/>
        <v>113300.93</v>
      </c>
      <c r="J24" s="169">
        <f t="shared" si="4"/>
        <v>531.38</v>
      </c>
      <c r="K24" s="229">
        <f t="shared" si="4"/>
        <v>0</v>
      </c>
      <c r="L24" s="261">
        <f t="shared" si="4"/>
        <v>113832.31</v>
      </c>
      <c r="M24" s="243">
        <f t="shared" si="4"/>
        <v>2453.5400000000004</v>
      </c>
      <c r="N24" s="170">
        <f t="shared" si="4"/>
        <v>0</v>
      </c>
      <c r="O24" s="211">
        <f t="shared" si="4"/>
        <v>116285.84999999998</v>
      </c>
      <c r="P24" s="169">
        <f t="shared" si="4"/>
        <v>7.85</v>
      </c>
      <c r="Q24" s="211">
        <f t="shared" si="4"/>
        <v>116293.69999999998</v>
      </c>
    </row>
    <row r="25" spans="1:17" ht="12.75">
      <c r="A25" s="12" t="s">
        <v>23</v>
      </c>
      <c r="B25" s="48"/>
      <c r="C25" s="88">
        <v>46111.3</v>
      </c>
      <c r="D25" s="69">
        <f>710.52</f>
        <v>710.52</v>
      </c>
      <c r="E25" s="89"/>
      <c r="F25" s="135">
        <f t="shared" si="3"/>
        <v>46821.82</v>
      </c>
      <c r="G25" s="169">
        <f>39.02</f>
        <v>39.02</v>
      </c>
      <c r="H25" s="170"/>
      <c r="I25" s="211">
        <f aca="true" t="shared" si="5" ref="I25:I31">F25+G25+H25</f>
        <v>46860.84</v>
      </c>
      <c r="J25" s="169">
        <f>531.38</f>
        <v>531.38</v>
      </c>
      <c r="K25" s="229"/>
      <c r="L25" s="261">
        <f aca="true" t="shared" si="6" ref="L25:L31">I25+J25+K25</f>
        <v>47392.219999999994</v>
      </c>
      <c r="M25" s="243">
        <f>270.46+1464.88+14.8</f>
        <v>1750.14</v>
      </c>
      <c r="N25" s="170"/>
      <c r="O25" s="211">
        <f aca="true" t="shared" si="7" ref="O25:O31">L25+M25+N25</f>
        <v>49142.35999999999</v>
      </c>
      <c r="P25" s="171">
        <f>7.85</f>
        <v>7.85</v>
      </c>
      <c r="Q25" s="299">
        <f t="shared" si="1"/>
        <v>49150.20999999999</v>
      </c>
    </row>
    <row r="26" spans="1:17" ht="12.75">
      <c r="A26" s="13" t="s">
        <v>141</v>
      </c>
      <c r="B26" s="49"/>
      <c r="C26" s="88">
        <v>912.69</v>
      </c>
      <c r="D26" s="69"/>
      <c r="E26" s="89"/>
      <c r="F26" s="135">
        <f t="shared" si="3"/>
        <v>912.69</v>
      </c>
      <c r="G26" s="169"/>
      <c r="H26" s="170"/>
      <c r="I26" s="211">
        <f t="shared" si="5"/>
        <v>912.69</v>
      </c>
      <c r="J26" s="169"/>
      <c r="K26" s="229"/>
      <c r="L26" s="261">
        <f t="shared" si="6"/>
        <v>912.69</v>
      </c>
      <c r="M26" s="243"/>
      <c r="N26" s="170"/>
      <c r="O26" s="211">
        <f t="shared" si="7"/>
        <v>912.69</v>
      </c>
      <c r="P26" s="171"/>
      <c r="Q26" s="299">
        <f t="shared" si="1"/>
        <v>912.69</v>
      </c>
    </row>
    <row r="27" spans="1:17" ht="12.75">
      <c r="A27" s="12" t="s">
        <v>24</v>
      </c>
      <c r="B27" s="48"/>
      <c r="C27" s="88">
        <v>24789</v>
      </c>
      <c r="D27" s="69"/>
      <c r="E27" s="89"/>
      <c r="F27" s="135">
        <f t="shared" si="3"/>
        <v>24789</v>
      </c>
      <c r="G27" s="169"/>
      <c r="H27" s="170"/>
      <c r="I27" s="211">
        <f t="shared" si="5"/>
        <v>24789</v>
      </c>
      <c r="J27" s="169"/>
      <c r="K27" s="229"/>
      <c r="L27" s="261">
        <f t="shared" si="6"/>
        <v>24789</v>
      </c>
      <c r="M27" s="243"/>
      <c r="N27" s="170"/>
      <c r="O27" s="211">
        <f t="shared" si="7"/>
        <v>24789</v>
      </c>
      <c r="P27" s="171"/>
      <c r="Q27" s="299">
        <f t="shared" si="1"/>
        <v>24789</v>
      </c>
    </row>
    <row r="28" spans="1:17" ht="12.75">
      <c r="A28" s="13" t="s">
        <v>142</v>
      </c>
      <c r="B28" s="49"/>
      <c r="C28" s="88">
        <v>9857.2</v>
      </c>
      <c r="D28" s="69"/>
      <c r="E28" s="89"/>
      <c r="F28" s="135">
        <f t="shared" si="3"/>
        <v>9857.2</v>
      </c>
      <c r="G28" s="169">
        <f>572.7</f>
        <v>572.7</v>
      </c>
      <c r="H28" s="170"/>
      <c r="I28" s="211">
        <f t="shared" si="5"/>
        <v>10429.900000000001</v>
      </c>
      <c r="J28" s="169"/>
      <c r="K28" s="229"/>
      <c r="L28" s="261">
        <f t="shared" si="6"/>
        <v>10429.900000000001</v>
      </c>
      <c r="M28" s="243">
        <f>725</f>
        <v>725</v>
      </c>
      <c r="N28" s="170"/>
      <c r="O28" s="211">
        <f t="shared" si="7"/>
        <v>11154.900000000001</v>
      </c>
      <c r="P28" s="171"/>
      <c r="Q28" s="299">
        <f t="shared" si="1"/>
        <v>11154.900000000001</v>
      </c>
    </row>
    <row r="29" spans="1:17" ht="12.75">
      <c r="A29" s="13" t="s">
        <v>234</v>
      </c>
      <c r="B29" s="49"/>
      <c r="C29" s="88">
        <v>420.41</v>
      </c>
      <c r="D29" s="69">
        <f>-50.81</f>
        <v>-50.81</v>
      </c>
      <c r="E29" s="89"/>
      <c r="F29" s="135">
        <f t="shared" si="3"/>
        <v>369.6</v>
      </c>
      <c r="G29" s="169"/>
      <c r="H29" s="170"/>
      <c r="I29" s="211">
        <f t="shared" si="5"/>
        <v>369.6</v>
      </c>
      <c r="J29" s="169"/>
      <c r="K29" s="229"/>
      <c r="L29" s="261">
        <f t="shared" si="6"/>
        <v>369.6</v>
      </c>
      <c r="M29" s="243">
        <f>-21.6</f>
        <v>-21.6</v>
      </c>
      <c r="N29" s="170"/>
      <c r="O29" s="211">
        <f t="shared" si="7"/>
        <v>348</v>
      </c>
      <c r="P29" s="171"/>
      <c r="Q29" s="299">
        <f t="shared" si="1"/>
        <v>348</v>
      </c>
    </row>
    <row r="30" spans="1:17" ht="12.75">
      <c r="A30" s="13" t="s">
        <v>143</v>
      </c>
      <c r="B30" s="49"/>
      <c r="C30" s="88">
        <v>29938.9</v>
      </c>
      <c r="D30" s="69"/>
      <c r="E30" s="89"/>
      <c r="F30" s="135">
        <f t="shared" si="3"/>
        <v>29938.9</v>
      </c>
      <c r="G30" s="169"/>
      <c r="H30" s="170"/>
      <c r="I30" s="211">
        <f t="shared" si="5"/>
        <v>29938.9</v>
      </c>
      <c r="J30" s="169"/>
      <c r="K30" s="229"/>
      <c r="L30" s="261">
        <f t="shared" si="6"/>
        <v>29938.9</v>
      </c>
      <c r="M30" s="243"/>
      <c r="N30" s="170"/>
      <c r="O30" s="211">
        <f t="shared" si="7"/>
        <v>29938.9</v>
      </c>
      <c r="P30" s="171"/>
      <c r="Q30" s="299">
        <f t="shared" si="1"/>
        <v>29938.9</v>
      </c>
    </row>
    <row r="31" spans="1:18" ht="12.75">
      <c r="A31" s="13" t="s">
        <v>181</v>
      </c>
      <c r="B31" s="49"/>
      <c r="C31" s="88"/>
      <c r="D31" s="87">
        <f>201.67+464.3+825.8+78.87+510+9329.88+1000</f>
        <v>12410.519999999999</v>
      </c>
      <c r="E31" s="89"/>
      <c r="F31" s="135">
        <f t="shared" si="3"/>
        <v>12410.519999999999</v>
      </c>
      <c r="G31" s="171">
        <f>1548.09+336.92+39.72+371.29+61.35+99.48+12.1+492.06</f>
        <v>2961.0099999999998</v>
      </c>
      <c r="H31" s="172">
        <f>1947.07</f>
        <v>1947.07</v>
      </c>
      <c r="I31" s="211">
        <f t="shared" si="5"/>
        <v>17318.6</v>
      </c>
      <c r="J31" s="171"/>
      <c r="K31" s="253"/>
      <c r="L31" s="261">
        <f t="shared" si="6"/>
        <v>17318.6</v>
      </c>
      <c r="M31" s="277"/>
      <c r="N31" s="172"/>
      <c r="O31" s="211">
        <f t="shared" si="7"/>
        <v>17318.6</v>
      </c>
      <c r="P31" s="171"/>
      <c r="Q31" s="299">
        <f t="shared" si="1"/>
        <v>17318.6</v>
      </c>
      <c r="R31" s="91"/>
    </row>
    <row r="32" spans="1:17" ht="12.75">
      <c r="A32" s="14" t="s">
        <v>213</v>
      </c>
      <c r="B32" s="50"/>
      <c r="C32" s="84">
        <f>SUM(C34:C38)</f>
        <v>5000</v>
      </c>
      <c r="D32" s="71">
        <f aca="true" t="shared" si="8" ref="D32:Q32">SUM(D34:D38)</f>
        <v>801</v>
      </c>
      <c r="E32" s="85">
        <f t="shared" si="8"/>
        <v>0</v>
      </c>
      <c r="F32" s="137">
        <f t="shared" si="8"/>
        <v>5801</v>
      </c>
      <c r="G32" s="173">
        <f t="shared" si="8"/>
        <v>38284.6</v>
      </c>
      <c r="H32" s="174">
        <f t="shared" si="8"/>
        <v>0</v>
      </c>
      <c r="I32" s="212">
        <f t="shared" si="8"/>
        <v>44085.6</v>
      </c>
      <c r="J32" s="173">
        <f t="shared" si="8"/>
        <v>0</v>
      </c>
      <c r="K32" s="230">
        <f t="shared" si="8"/>
        <v>0</v>
      </c>
      <c r="L32" s="262">
        <f t="shared" si="8"/>
        <v>44085.6</v>
      </c>
      <c r="M32" s="230">
        <f t="shared" si="8"/>
        <v>20894.88</v>
      </c>
      <c r="N32" s="174">
        <f t="shared" si="8"/>
        <v>0</v>
      </c>
      <c r="O32" s="212">
        <f t="shared" si="8"/>
        <v>64980.479999999996</v>
      </c>
      <c r="P32" s="173">
        <f t="shared" si="8"/>
        <v>0</v>
      </c>
      <c r="Q32" s="212">
        <f t="shared" si="8"/>
        <v>64980.479999999996</v>
      </c>
    </row>
    <row r="33" spans="1:17" ht="11.25" customHeight="1">
      <c r="A33" s="11" t="s">
        <v>20</v>
      </c>
      <c r="B33" s="47"/>
      <c r="C33" s="88"/>
      <c r="D33" s="69"/>
      <c r="E33" s="89"/>
      <c r="F33" s="135"/>
      <c r="G33" s="169"/>
      <c r="H33" s="170"/>
      <c r="I33" s="211"/>
      <c r="J33" s="169"/>
      <c r="K33" s="229"/>
      <c r="L33" s="261"/>
      <c r="M33" s="243"/>
      <c r="N33" s="170"/>
      <c r="O33" s="211"/>
      <c r="P33" s="171"/>
      <c r="Q33" s="299"/>
    </row>
    <row r="34" spans="1:17" ht="12.75">
      <c r="A34" s="55" t="s">
        <v>105</v>
      </c>
      <c r="B34" s="48"/>
      <c r="C34" s="88"/>
      <c r="D34" s="69">
        <f>801</f>
        <v>801</v>
      </c>
      <c r="E34" s="89"/>
      <c r="F34" s="135">
        <f>C34+D34+E34</f>
        <v>801</v>
      </c>
      <c r="G34" s="169"/>
      <c r="H34" s="170"/>
      <c r="I34" s="211">
        <f>F34+G34+H34</f>
        <v>801</v>
      </c>
      <c r="J34" s="169"/>
      <c r="K34" s="229"/>
      <c r="L34" s="261">
        <f>I34+J34+K34</f>
        <v>801</v>
      </c>
      <c r="M34" s="243"/>
      <c r="N34" s="170"/>
      <c r="O34" s="211">
        <f>L34+M34+N34</f>
        <v>801</v>
      </c>
      <c r="P34" s="171"/>
      <c r="Q34" s="299">
        <f t="shared" si="1"/>
        <v>801</v>
      </c>
    </row>
    <row r="35" spans="1:17" ht="12.75" hidden="1">
      <c r="A35" s="13" t="s">
        <v>100</v>
      </c>
      <c r="B35" s="49"/>
      <c r="C35" s="88"/>
      <c r="D35" s="69"/>
      <c r="E35" s="89"/>
      <c r="F35" s="135">
        <f>C35+D35+E35</f>
        <v>0</v>
      </c>
      <c r="G35" s="169"/>
      <c r="H35" s="170"/>
      <c r="I35" s="211">
        <f>F35+G35+H35</f>
        <v>0</v>
      </c>
      <c r="J35" s="184"/>
      <c r="K35" s="229"/>
      <c r="L35" s="261">
        <f>I35+J35+K35</f>
        <v>0</v>
      </c>
      <c r="M35" s="276"/>
      <c r="N35" s="170"/>
      <c r="O35" s="211">
        <f>L35+M35+N35</f>
        <v>0</v>
      </c>
      <c r="P35" s="171"/>
      <c r="Q35" s="299">
        <f t="shared" si="1"/>
        <v>0</v>
      </c>
    </row>
    <row r="36" spans="1:17" ht="12.75">
      <c r="A36" s="13" t="s">
        <v>103</v>
      </c>
      <c r="B36" s="49"/>
      <c r="C36" s="88"/>
      <c r="D36" s="69"/>
      <c r="E36" s="89"/>
      <c r="F36" s="135">
        <f>C36+D36+E36</f>
        <v>0</v>
      </c>
      <c r="G36" s="169"/>
      <c r="H36" s="170"/>
      <c r="I36" s="211">
        <f>F36+G36+H36</f>
        <v>0</v>
      </c>
      <c r="J36" s="184"/>
      <c r="K36" s="229"/>
      <c r="L36" s="261">
        <f>I36+J36+K36</f>
        <v>0</v>
      </c>
      <c r="M36" s="276">
        <f>894.88</f>
        <v>894.88</v>
      </c>
      <c r="N36" s="170"/>
      <c r="O36" s="211">
        <f>L36+M36+N36</f>
        <v>894.88</v>
      </c>
      <c r="P36" s="171"/>
      <c r="Q36" s="299">
        <f t="shared" si="1"/>
        <v>894.88</v>
      </c>
    </row>
    <row r="37" spans="1:17" ht="12.75" hidden="1">
      <c r="A37" s="13" t="s">
        <v>110</v>
      </c>
      <c r="B37" s="49"/>
      <c r="C37" s="88"/>
      <c r="D37" s="69"/>
      <c r="E37" s="89"/>
      <c r="F37" s="135">
        <f>C37+D37+E37</f>
        <v>0</v>
      </c>
      <c r="G37" s="169"/>
      <c r="H37" s="170"/>
      <c r="I37" s="211">
        <f>F37+G37+H37</f>
        <v>0</v>
      </c>
      <c r="J37" s="184"/>
      <c r="K37" s="229"/>
      <c r="L37" s="261">
        <f>I37+J37+K37</f>
        <v>0</v>
      </c>
      <c r="M37" s="276"/>
      <c r="N37" s="170"/>
      <c r="O37" s="211">
        <f>L37+M37+N37</f>
        <v>0</v>
      </c>
      <c r="P37" s="171"/>
      <c r="Q37" s="299">
        <f t="shared" si="1"/>
        <v>0</v>
      </c>
    </row>
    <row r="38" spans="1:17" ht="12.75">
      <c r="A38" s="55" t="s">
        <v>235</v>
      </c>
      <c r="B38" s="48"/>
      <c r="C38" s="88">
        <v>5000</v>
      </c>
      <c r="D38" s="69"/>
      <c r="E38" s="89"/>
      <c r="F38" s="135">
        <f>C38+D38+E38</f>
        <v>5000</v>
      </c>
      <c r="G38" s="169">
        <f>38284.6</f>
        <v>38284.6</v>
      </c>
      <c r="H38" s="170"/>
      <c r="I38" s="211">
        <f>F38+G38+H38</f>
        <v>43284.6</v>
      </c>
      <c r="J38" s="169"/>
      <c r="K38" s="229"/>
      <c r="L38" s="261">
        <f>I38+J38+K38</f>
        <v>43284.6</v>
      </c>
      <c r="M38" s="243">
        <f>20000</f>
        <v>20000</v>
      </c>
      <c r="N38" s="170"/>
      <c r="O38" s="211">
        <f>L38+M38+N38</f>
        <v>63284.6</v>
      </c>
      <c r="P38" s="171"/>
      <c r="Q38" s="299">
        <f t="shared" si="1"/>
        <v>63284.6</v>
      </c>
    </row>
    <row r="39" spans="1:17" ht="12.75">
      <c r="A39" s="14" t="s">
        <v>214</v>
      </c>
      <c r="B39" s="48"/>
      <c r="C39" s="88"/>
      <c r="D39" s="69"/>
      <c r="E39" s="89"/>
      <c r="F39" s="135"/>
      <c r="G39" s="169"/>
      <c r="H39" s="170"/>
      <c r="I39" s="211"/>
      <c r="J39" s="169"/>
      <c r="K39" s="229"/>
      <c r="L39" s="261"/>
      <c r="M39" s="243"/>
      <c r="N39" s="170"/>
      <c r="O39" s="211"/>
      <c r="P39" s="171"/>
      <c r="Q39" s="299"/>
    </row>
    <row r="40" spans="1:17" ht="12.75">
      <c r="A40" s="10" t="s">
        <v>25</v>
      </c>
      <c r="B40" s="46"/>
      <c r="C40" s="94">
        <f>SUM(C42:C63)</f>
        <v>113806.7</v>
      </c>
      <c r="D40" s="68">
        <f aca="true" t="shared" si="9" ref="D40:Q40">SUM(D42:D63)</f>
        <v>10263352.259999998</v>
      </c>
      <c r="E40" s="95">
        <f t="shared" si="9"/>
        <v>0</v>
      </c>
      <c r="F40" s="134">
        <f t="shared" si="9"/>
        <v>10377158.959999999</v>
      </c>
      <c r="G40" s="167">
        <f t="shared" si="9"/>
        <v>321866.93000000005</v>
      </c>
      <c r="H40" s="168">
        <f t="shared" si="9"/>
        <v>4257.73</v>
      </c>
      <c r="I40" s="210">
        <f t="shared" si="9"/>
        <v>10703283.62</v>
      </c>
      <c r="J40" s="167">
        <f t="shared" si="9"/>
        <v>651655.37</v>
      </c>
      <c r="K40" s="228">
        <f t="shared" si="9"/>
        <v>0</v>
      </c>
      <c r="L40" s="260">
        <f t="shared" si="9"/>
        <v>11354938.989999996</v>
      </c>
      <c r="M40" s="228">
        <f t="shared" si="9"/>
        <v>183093.36000000002</v>
      </c>
      <c r="N40" s="168">
        <f t="shared" si="9"/>
        <v>0</v>
      </c>
      <c r="O40" s="210">
        <f t="shared" si="9"/>
        <v>11538032.35</v>
      </c>
      <c r="P40" s="167">
        <f t="shared" si="9"/>
        <v>-15333.63000000001</v>
      </c>
      <c r="Q40" s="210">
        <f t="shared" si="9"/>
        <v>11522698.720000003</v>
      </c>
    </row>
    <row r="41" spans="1:17" ht="10.5" customHeight="1">
      <c r="A41" s="15" t="s">
        <v>26</v>
      </c>
      <c r="B41" s="51"/>
      <c r="C41" s="88"/>
      <c r="D41" s="69"/>
      <c r="E41" s="89"/>
      <c r="F41" s="135"/>
      <c r="G41" s="169"/>
      <c r="H41" s="170"/>
      <c r="I41" s="211"/>
      <c r="J41" s="169"/>
      <c r="K41" s="229"/>
      <c r="L41" s="261"/>
      <c r="M41" s="243"/>
      <c r="N41" s="170"/>
      <c r="O41" s="211"/>
      <c r="P41" s="171"/>
      <c r="Q41" s="299"/>
    </row>
    <row r="42" spans="1:17" ht="12.75">
      <c r="A42" s="13" t="s">
        <v>27</v>
      </c>
      <c r="B42" s="49"/>
      <c r="C42" s="88">
        <v>113556.7</v>
      </c>
      <c r="D42" s="69"/>
      <c r="E42" s="89"/>
      <c r="F42" s="135">
        <f aca="true" t="shared" si="10" ref="F42:F63">C42+D42+E42</f>
        <v>113556.7</v>
      </c>
      <c r="G42" s="169"/>
      <c r="H42" s="170"/>
      <c r="I42" s="211">
        <f>F42+G42+H42</f>
        <v>113556.7</v>
      </c>
      <c r="J42" s="169"/>
      <c r="K42" s="229"/>
      <c r="L42" s="261">
        <f>I42+J42+K42</f>
        <v>113556.7</v>
      </c>
      <c r="M42" s="243"/>
      <c r="N42" s="170"/>
      <c r="O42" s="211">
        <f>L42+M42+N42</f>
        <v>113556.7</v>
      </c>
      <c r="P42" s="171"/>
      <c r="Q42" s="299">
        <f t="shared" si="1"/>
        <v>113556.7</v>
      </c>
    </row>
    <row r="43" spans="1:17" ht="12.75">
      <c r="A43" s="13" t="s">
        <v>28</v>
      </c>
      <c r="B43" s="49"/>
      <c r="C43" s="88"/>
      <c r="D43" s="69">
        <f>35.9+18+64+99.5+12+15+36.07+83.5+6+15.5+6+50+15+6+6+10000+63.99+40.61+39.34+35.33+128.79+23.59</f>
        <v>10800.12</v>
      </c>
      <c r="E43" s="89"/>
      <c r="F43" s="135">
        <f t="shared" si="10"/>
        <v>10800.12</v>
      </c>
      <c r="G43" s="169">
        <f>14179.66+1481.98</f>
        <v>15661.64</v>
      </c>
      <c r="H43" s="170"/>
      <c r="I43" s="211">
        <f aca="true" t="shared" si="11" ref="I43:I63">F43+G43+H43</f>
        <v>26461.760000000002</v>
      </c>
      <c r="J43" s="169">
        <f>60.88+60+36.07+92.98+69.44+11.45+30.43+10.5+67.5+64.09+63.63+45.45+55420.18+15.44+17.16+12.53+126.16+75+41.8+11.9+68.64+1000+15</f>
        <v>57416.23000000001</v>
      </c>
      <c r="K43" s="229"/>
      <c r="L43" s="261">
        <f aca="true" t="shared" si="12" ref="L43:L63">I43+J43+K43</f>
        <v>83877.99000000002</v>
      </c>
      <c r="M43" s="243">
        <f>27.7+16.5+19.5+25.64+78+3051.27+12+34.62+6.53+6.36+6.66</f>
        <v>3284.78</v>
      </c>
      <c r="N43" s="170"/>
      <c r="O43" s="211">
        <f aca="true" t="shared" si="13" ref="O43:O63">L43+M43+N43</f>
        <v>87162.77000000002</v>
      </c>
      <c r="P43" s="171">
        <f>6.57+20.98+55.16+116.6+187.28+28.5+826.05+25.24+36.5+24+13.5</f>
        <v>1340.3799999999999</v>
      </c>
      <c r="Q43" s="299">
        <f t="shared" si="1"/>
        <v>88503.15000000002</v>
      </c>
    </row>
    <row r="44" spans="1:18" ht="12.75">
      <c r="A44" s="13" t="s">
        <v>29</v>
      </c>
      <c r="B44" s="49"/>
      <c r="C44" s="88"/>
      <c r="D44" s="69">
        <f>8955820.02+115949.1+1805+1443.45</f>
        <v>9075017.569999998</v>
      </c>
      <c r="E44" s="89"/>
      <c r="F44" s="135">
        <f t="shared" si="10"/>
        <v>9075017.569999998</v>
      </c>
      <c r="G44" s="169">
        <f>111324.54+1500+7600+96.9+5884.29</f>
        <v>126405.72999999998</v>
      </c>
      <c r="H44" s="170"/>
      <c r="I44" s="211">
        <f t="shared" si="11"/>
        <v>9201423.299999999</v>
      </c>
      <c r="J44" s="169">
        <f>638.03+2087.18+63681.24+1286.51+116717.2+12692.03+1301.72+301.89-59.89+696.2+195.75</f>
        <v>199537.86</v>
      </c>
      <c r="K44" s="229"/>
      <c r="L44" s="261">
        <f t="shared" si="12"/>
        <v>9400961.159999998</v>
      </c>
      <c r="M44" s="243">
        <f>313.83+1600+3910+318.46+622.8-329.9+34693.2+249.94+127660.1+90.6+257.14+1525.08</f>
        <v>170911.25</v>
      </c>
      <c r="N44" s="170"/>
      <c r="O44" s="211">
        <f t="shared" si="13"/>
        <v>9571872.409999998</v>
      </c>
      <c r="P44" s="171">
        <f>1902.82-7412.3+261.24-162.81-20536.47-13.5-75.61-19.99-222.74-8.5-152.09</f>
        <v>-26439.950000000008</v>
      </c>
      <c r="Q44" s="299">
        <f t="shared" si="1"/>
        <v>9545432.459999999</v>
      </c>
      <c r="R44" s="286"/>
    </row>
    <row r="45" spans="1:17" ht="12.75">
      <c r="A45" s="13" t="s">
        <v>30</v>
      </c>
      <c r="B45" s="49"/>
      <c r="C45" s="88"/>
      <c r="D45" s="69">
        <f>7000+1100267.08+463.21+614.77+380</f>
        <v>1108725.06</v>
      </c>
      <c r="E45" s="89"/>
      <c r="F45" s="135">
        <f t="shared" si="10"/>
        <v>1108725.06</v>
      </c>
      <c r="G45" s="169">
        <f>7377.27+2528.99+88.03+1074.6+1340.02+4424.26+2831.68+217.5+98768.08+1851.11+180.63+9203.05</f>
        <v>129885.22000000002</v>
      </c>
      <c r="H45" s="170">
        <f>664.86+3592.87</f>
        <v>4257.73</v>
      </c>
      <c r="I45" s="211">
        <f t="shared" si="11"/>
        <v>1242868.01</v>
      </c>
      <c r="J45" s="169">
        <f>664.86+80.28+59055.51+2949.51+24975.66+736.1+40414.14</f>
        <v>128876.06000000001</v>
      </c>
      <c r="K45" s="229"/>
      <c r="L45" s="261">
        <f t="shared" si="12"/>
        <v>1371744.07</v>
      </c>
      <c r="M45" s="243">
        <f>1600+246.09-664.86+2856.56+1300.81+105.37</f>
        <v>5443.97</v>
      </c>
      <c r="N45" s="170"/>
      <c r="O45" s="211">
        <f t="shared" si="13"/>
        <v>1377188.04</v>
      </c>
      <c r="P45" s="171">
        <f>2676.17+8740.3+588.56-39.95+916.33-153.54-3592.87</f>
        <v>9134.999999999996</v>
      </c>
      <c r="Q45" s="299">
        <f t="shared" si="1"/>
        <v>1386323.04</v>
      </c>
    </row>
    <row r="46" spans="1:17" ht="12.75">
      <c r="A46" s="13" t="s">
        <v>31</v>
      </c>
      <c r="B46" s="49"/>
      <c r="C46" s="88"/>
      <c r="D46" s="69">
        <f>115.35</f>
        <v>115.35</v>
      </c>
      <c r="E46" s="89"/>
      <c r="F46" s="135">
        <f t="shared" si="10"/>
        <v>115.35</v>
      </c>
      <c r="G46" s="169">
        <f>6.07+20.27+20.1+958.69+2821.82+15.83</f>
        <v>3842.78</v>
      </c>
      <c r="H46" s="170"/>
      <c r="I46" s="211">
        <f t="shared" si="11"/>
        <v>3958.13</v>
      </c>
      <c r="J46" s="169">
        <f>3.02+17.31+17.32+131+17.5+1119.76</f>
        <v>1305.91</v>
      </c>
      <c r="K46" s="229"/>
      <c r="L46" s="261">
        <f t="shared" si="12"/>
        <v>5264.04</v>
      </c>
      <c r="M46" s="243">
        <f>13.05+35.64+26.27+28.2+991.59</f>
        <v>1094.75</v>
      </c>
      <c r="N46" s="170"/>
      <c r="O46" s="211">
        <f t="shared" si="13"/>
        <v>6358.79</v>
      </c>
      <c r="P46" s="171">
        <f>184.09+4.36</f>
        <v>188.45000000000002</v>
      </c>
      <c r="Q46" s="299">
        <f t="shared" si="1"/>
        <v>6547.24</v>
      </c>
    </row>
    <row r="47" spans="1:17" ht="12.75">
      <c r="A47" s="13" t="s">
        <v>361</v>
      </c>
      <c r="B47" s="49"/>
      <c r="C47" s="88"/>
      <c r="D47" s="69"/>
      <c r="E47" s="89"/>
      <c r="F47" s="135"/>
      <c r="G47" s="169"/>
      <c r="H47" s="170"/>
      <c r="I47" s="211">
        <f t="shared" si="11"/>
        <v>0</v>
      </c>
      <c r="J47" s="169">
        <f>600</f>
        <v>600</v>
      </c>
      <c r="K47" s="229"/>
      <c r="L47" s="261">
        <f t="shared" si="12"/>
        <v>600</v>
      </c>
      <c r="M47" s="243"/>
      <c r="N47" s="170"/>
      <c r="O47" s="211">
        <f t="shared" si="13"/>
        <v>600</v>
      </c>
      <c r="P47" s="171"/>
      <c r="Q47" s="299">
        <f t="shared" si="1"/>
        <v>600</v>
      </c>
    </row>
    <row r="48" spans="1:17" ht="12.75">
      <c r="A48" s="13" t="s">
        <v>32</v>
      </c>
      <c r="B48" s="49"/>
      <c r="C48" s="88"/>
      <c r="D48" s="69"/>
      <c r="E48" s="89"/>
      <c r="F48" s="135">
        <f t="shared" si="10"/>
        <v>0</v>
      </c>
      <c r="G48" s="206">
        <f>41.13+400+334+860+122+137+31.29</f>
        <v>1925.42</v>
      </c>
      <c r="H48" s="170"/>
      <c r="I48" s="211">
        <f t="shared" si="11"/>
        <v>1925.42</v>
      </c>
      <c r="J48" s="169">
        <f>25+213.86+110+345+160+124+121+99+93+59+160</f>
        <v>1509.8600000000001</v>
      </c>
      <c r="K48" s="229"/>
      <c r="L48" s="261">
        <f t="shared" si="12"/>
        <v>3435.28</v>
      </c>
      <c r="M48" s="243">
        <f>72+222+17-38.25-50.05-28</f>
        <v>194.7</v>
      </c>
      <c r="N48" s="170"/>
      <c r="O48" s="211">
        <f t="shared" si="13"/>
        <v>3629.98</v>
      </c>
      <c r="P48" s="171">
        <f>-17+12-0.3-23.77-15.45</f>
        <v>-44.519999999999996</v>
      </c>
      <c r="Q48" s="299">
        <f t="shared" si="1"/>
        <v>3585.46</v>
      </c>
    </row>
    <row r="49" spans="1:17" ht="12.75">
      <c r="A49" s="13" t="s">
        <v>33</v>
      </c>
      <c r="B49" s="49"/>
      <c r="C49" s="88"/>
      <c r="D49" s="69">
        <f>6112.93+648.32+2000</f>
        <v>8761.25</v>
      </c>
      <c r="E49" s="89"/>
      <c r="F49" s="135">
        <f t="shared" si="10"/>
        <v>8761.25</v>
      </c>
      <c r="G49" s="169">
        <f>21481.06+3508.03-151.44</f>
        <v>24837.65</v>
      </c>
      <c r="H49" s="170"/>
      <c r="I49" s="211">
        <f t="shared" si="11"/>
        <v>33598.9</v>
      </c>
      <c r="J49" s="169">
        <f>24+280+448</f>
        <v>752</v>
      </c>
      <c r="K49" s="229"/>
      <c r="L49" s="261">
        <f t="shared" si="12"/>
        <v>34350.9</v>
      </c>
      <c r="M49" s="243"/>
      <c r="N49" s="170"/>
      <c r="O49" s="211">
        <f t="shared" si="13"/>
        <v>34350.9</v>
      </c>
      <c r="P49" s="171"/>
      <c r="Q49" s="299">
        <f t="shared" si="1"/>
        <v>34350.9</v>
      </c>
    </row>
    <row r="50" spans="1:17" ht="12.75">
      <c r="A50" s="13" t="s">
        <v>34</v>
      </c>
      <c r="B50" s="49"/>
      <c r="C50" s="88"/>
      <c r="D50" s="69">
        <f>1835</f>
        <v>1835</v>
      </c>
      <c r="E50" s="89"/>
      <c r="F50" s="135">
        <f t="shared" si="10"/>
        <v>1835</v>
      </c>
      <c r="G50" s="169">
        <f>192</f>
        <v>192</v>
      </c>
      <c r="H50" s="170"/>
      <c r="I50" s="211">
        <f t="shared" si="11"/>
        <v>2027</v>
      </c>
      <c r="J50" s="169"/>
      <c r="K50" s="229"/>
      <c r="L50" s="261">
        <f t="shared" si="12"/>
        <v>2027</v>
      </c>
      <c r="M50" s="243"/>
      <c r="N50" s="170"/>
      <c r="O50" s="211">
        <f t="shared" si="13"/>
        <v>2027</v>
      </c>
      <c r="P50" s="171">
        <f>-812.93</f>
        <v>-812.93</v>
      </c>
      <c r="Q50" s="299">
        <f t="shared" si="1"/>
        <v>1214.0700000000002</v>
      </c>
    </row>
    <row r="51" spans="1:17" ht="12.75">
      <c r="A51" s="13" t="s">
        <v>135</v>
      </c>
      <c r="B51" s="49"/>
      <c r="C51" s="88"/>
      <c r="D51" s="69"/>
      <c r="E51" s="89"/>
      <c r="F51" s="135">
        <f t="shared" si="10"/>
        <v>0</v>
      </c>
      <c r="G51" s="169"/>
      <c r="H51" s="170"/>
      <c r="I51" s="211">
        <f t="shared" si="11"/>
        <v>0</v>
      </c>
      <c r="J51" s="169">
        <f>225997.46</f>
        <v>225997.46</v>
      </c>
      <c r="K51" s="229"/>
      <c r="L51" s="261">
        <f t="shared" si="12"/>
        <v>225997.46</v>
      </c>
      <c r="M51" s="243"/>
      <c r="N51" s="170"/>
      <c r="O51" s="211">
        <f t="shared" si="13"/>
        <v>225997.46</v>
      </c>
      <c r="P51" s="171"/>
      <c r="Q51" s="299">
        <f t="shared" si="1"/>
        <v>225997.46</v>
      </c>
    </row>
    <row r="52" spans="1:17" ht="12.75">
      <c r="A52" s="13" t="s">
        <v>147</v>
      </c>
      <c r="B52" s="49"/>
      <c r="C52" s="88"/>
      <c r="D52" s="69"/>
      <c r="E52" s="89"/>
      <c r="F52" s="135">
        <f t="shared" si="10"/>
        <v>0</v>
      </c>
      <c r="G52" s="169">
        <f>185.49</f>
        <v>185.49</v>
      </c>
      <c r="H52" s="170"/>
      <c r="I52" s="211">
        <f t="shared" si="11"/>
        <v>185.49</v>
      </c>
      <c r="J52" s="169">
        <f>-34.1</f>
        <v>-34.1</v>
      </c>
      <c r="K52" s="229"/>
      <c r="L52" s="261">
        <f t="shared" si="12"/>
        <v>151.39000000000001</v>
      </c>
      <c r="M52" s="243"/>
      <c r="N52" s="170"/>
      <c r="O52" s="211">
        <f t="shared" si="13"/>
        <v>151.39000000000001</v>
      </c>
      <c r="P52" s="171"/>
      <c r="Q52" s="299">
        <f t="shared" si="1"/>
        <v>151.39000000000001</v>
      </c>
    </row>
    <row r="53" spans="1:17" ht="12.75">
      <c r="A53" s="13" t="s">
        <v>382</v>
      </c>
      <c r="B53" s="49"/>
      <c r="C53" s="88"/>
      <c r="D53" s="69"/>
      <c r="E53" s="89"/>
      <c r="F53" s="135"/>
      <c r="G53" s="169"/>
      <c r="H53" s="170"/>
      <c r="I53" s="211"/>
      <c r="J53" s="169"/>
      <c r="K53" s="229"/>
      <c r="L53" s="261">
        <f t="shared" si="12"/>
        <v>0</v>
      </c>
      <c r="M53" s="243"/>
      <c r="N53" s="170"/>
      <c r="O53" s="211">
        <f t="shared" si="13"/>
        <v>0</v>
      </c>
      <c r="P53" s="171">
        <v>741.66</v>
      </c>
      <c r="Q53" s="299">
        <f t="shared" si="1"/>
        <v>741.66</v>
      </c>
    </row>
    <row r="54" spans="1:17" ht="12.75">
      <c r="A54" s="13" t="s">
        <v>35</v>
      </c>
      <c r="B54" s="49"/>
      <c r="C54" s="88"/>
      <c r="D54" s="69"/>
      <c r="E54" s="89"/>
      <c r="F54" s="135">
        <f t="shared" si="10"/>
        <v>0</v>
      </c>
      <c r="G54" s="169">
        <f>165.15+269.02+242.53</f>
        <v>676.6999999999999</v>
      </c>
      <c r="H54" s="170"/>
      <c r="I54" s="211">
        <f t="shared" si="11"/>
        <v>676.6999999999999</v>
      </c>
      <c r="J54" s="169">
        <f>22.22+3400+297.58</f>
        <v>3719.7999999999997</v>
      </c>
      <c r="K54" s="229"/>
      <c r="L54" s="261">
        <f t="shared" si="12"/>
        <v>4396.5</v>
      </c>
      <c r="M54" s="243"/>
      <c r="N54" s="170"/>
      <c r="O54" s="211">
        <f t="shared" si="13"/>
        <v>4396.5</v>
      </c>
      <c r="P54" s="300"/>
      <c r="Q54" s="299">
        <f t="shared" si="1"/>
        <v>4396.5</v>
      </c>
    </row>
    <row r="55" spans="1:17" ht="12.75">
      <c r="A55" s="13" t="s">
        <v>36</v>
      </c>
      <c r="B55" s="49"/>
      <c r="C55" s="88"/>
      <c r="D55" s="69"/>
      <c r="E55" s="89"/>
      <c r="F55" s="135">
        <f t="shared" si="10"/>
        <v>0</v>
      </c>
      <c r="G55" s="169">
        <f>500</f>
        <v>500</v>
      </c>
      <c r="H55" s="170"/>
      <c r="I55" s="211">
        <f t="shared" si="11"/>
        <v>500</v>
      </c>
      <c r="J55" s="184"/>
      <c r="K55" s="229"/>
      <c r="L55" s="261">
        <f t="shared" si="12"/>
        <v>500</v>
      </c>
      <c r="M55" s="243"/>
      <c r="N55" s="170"/>
      <c r="O55" s="211">
        <f t="shared" si="13"/>
        <v>500</v>
      </c>
      <c r="P55" s="171"/>
      <c r="Q55" s="299">
        <f t="shared" si="1"/>
        <v>500</v>
      </c>
    </row>
    <row r="56" spans="1:17" ht="12.75" hidden="1">
      <c r="A56" s="13" t="s">
        <v>190</v>
      </c>
      <c r="B56" s="49"/>
      <c r="C56" s="88"/>
      <c r="D56" s="69"/>
      <c r="E56" s="89"/>
      <c r="F56" s="135">
        <f t="shared" si="10"/>
        <v>0</v>
      </c>
      <c r="G56" s="169"/>
      <c r="H56" s="170"/>
      <c r="I56" s="211">
        <f t="shared" si="11"/>
        <v>0</v>
      </c>
      <c r="J56" s="184"/>
      <c r="K56" s="229"/>
      <c r="L56" s="261">
        <f t="shared" si="12"/>
        <v>0</v>
      </c>
      <c r="M56" s="243"/>
      <c r="N56" s="170"/>
      <c r="O56" s="211">
        <f t="shared" si="13"/>
        <v>0</v>
      </c>
      <c r="P56" s="171"/>
      <c r="Q56" s="299">
        <f t="shared" si="1"/>
        <v>0</v>
      </c>
    </row>
    <row r="57" spans="1:17" ht="12.75" hidden="1">
      <c r="A57" s="13" t="s">
        <v>148</v>
      </c>
      <c r="B57" s="49"/>
      <c r="C57" s="88"/>
      <c r="D57" s="69"/>
      <c r="E57" s="89"/>
      <c r="F57" s="135">
        <f t="shared" si="10"/>
        <v>0</v>
      </c>
      <c r="G57" s="169"/>
      <c r="H57" s="170"/>
      <c r="I57" s="211">
        <f t="shared" si="11"/>
        <v>0</v>
      </c>
      <c r="J57" s="184"/>
      <c r="K57" s="229"/>
      <c r="L57" s="261">
        <f t="shared" si="12"/>
        <v>0</v>
      </c>
      <c r="M57" s="243"/>
      <c r="N57" s="170"/>
      <c r="O57" s="211">
        <f t="shared" si="13"/>
        <v>0</v>
      </c>
      <c r="P57" s="171"/>
      <c r="Q57" s="299">
        <f t="shared" si="1"/>
        <v>0</v>
      </c>
    </row>
    <row r="58" spans="1:17" ht="12.75" hidden="1">
      <c r="A58" s="13" t="s">
        <v>37</v>
      </c>
      <c r="B58" s="49"/>
      <c r="C58" s="88"/>
      <c r="D58" s="69"/>
      <c r="E58" s="89"/>
      <c r="F58" s="135">
        <f t="shared" si="10"/>
        <v>0</v>
      </c>
      <c r="G58" s="169"/>
      <c r="H58" s="170"/>
      <c r="I58" s="211">
        <f t="shared" si="11"/>
        <v>0</v>
      </c>
      <c r="J58" s="169"/>
      <c r="K58" s="229"/>
      <c r="L58" s="261">
        <f t="shared" si="12"/>
        <v>0</v>
      </c>
      <c r="M58" s="243"/>
      <c r="N58" s="170"/>
      <c r="O58" s="211">
        <f t="shared" si="13"/>
        <v>0</v>
      </c>
      <c r="P58" s="171"/>
      <c r="Q58" s="299">
        <f t="shared" si="1"/>
        <v>0</v>
      </c>
    </row>
    <row r="59" spans="1:17" ht="12.75" hidden="1">
      <c r="A59" s="13" t="s">
        <v>43</v>
      </c>
      <c r="B59" s="49"/>
      <c r="C59" s="88"/>
      <c r="D59" s="69"/>
      <c r="E59" s="89"/>
      <c r="F59" s="135">
        <f t="shared" si="10"/>
        <v>0</v>
      </c>
      <c r="G59" s="169"/>
      <c r="H59" s="170"/>
      <c r="I59" s="211">
        <f t="shared" si="11"/>
        <v>0</v>
      </c>
      <c r="J59" s="169"/>
      <c r="K59" s="229"/>
      <c r="L59" s="261">
        <f t="shared" si="12"/>
        <v>0</v>
      </c>
      <c r="M59" s="243"/>
      <c r="N59" s="170"/>
      <c r="O59" s="211">
        <f t="shared" si="13"/>
        <v>0</v>
      </c>
      <c r="P59" s="171"/>
      <c r="Q59" s="299">
        <f t="shared" si="1"/>
        <v>0</v>
      </c>
    </row>
    <row r="60" spans="1:17" ht="12.75">
      <c r="A60" s="13" t="s">
        <v>38</v>
      </c>
      <c r="B60" s="49"/>
      <c r="C60" s="88"/>
      <c r="D60" s="69">
        <f>20000</f>
        <v>20000</v>
      </c>
      <c r="E60" s="89"/>
      <c r="F60" s="135">
        <f t="shared" si="10"/>
        <v>20000</v>
      </c>
      <c r="G60" s="169">
        <f>17735.87</f>
        <v>17735.87</v>
      </c>
      <c r="H60" s="170"/>
      <c r="I60" s="211">
        <f t="shared" si="11"/>
        <v>37735.869999999995</v>
      </c>
      <c r="J60" s="169">
        <f>28130</f>
        <v>28130</v>
      </c>
      <c r="K60" s="229"/>
      <c r="L60" s="261">
        <f t="shared" si="12"/>
        <v>65865.87</v>
      </c>
      <c r="M60" s="243">
        <f>2004.09</f>
        <v>2004.09</v>
      </c>
      <c r="N60" s="170"/>
      <c r="O60" s="211">
        <f t="shared" si="13"/>
        <v>67869.95999999999</v>
      </c>
      <c r="P60" s="171"/>
      <c r="Q60" s="299">
        <f t="shared" si="1"/>
        <v>67869.95999999999</v>
      </c>
    </row>
    <row r="61" spans="1:17" ht="12.75">
      <c r="A61" s="13" t="s">
        <v>39</v>
      </c>
      <c r="B61" s="49"/>
      <c r="C61" s="88"/>
      <c r="D61" s="69">
        <f>1960.91</f>
        <v>1960.91</v>
      </c>
      <c r="E61" s="89"/>
      <c r="F61" s="135">
        <f t="shared" si="10"/>
        <v>1960.91</v>
      </c>
      <c r="G61" s="169"/>
      <c r="H61" s="170"/>
      <c r="I61" s="211">
        <f t="shared" si="11"/>
        <v>1960.91</v>
      </c>
      <c r="J61" s="169">
        <f>294.23+51.26</f>
        <v>345.49</v>
      </c>
      <c r="K61" s="229"/>
      <c r="L61" s="261">
        <f t="shared" si="12"/>
        <v>2306.4</v>
      </c>
      <c r="M61" s="243"/>
      <c r="N61" s="170"/>
      <c r="O61" s="211">
        <f t="shared" si="13"/>
        <v>2306.4</v>
      </c>
      <c r="P61" s="171">
        <f>468.87+74.14</f>
        <v>543.01</v>
      </c>
      <c r="Q61" s="299">
        <f t="shared" si="1"/>
        <v>2849.41</v>
      </c>
    </row>
    <row r="62" spans="1:17" ht="12.75">
      <c r="A62" s="13" t="s">
        <v>388</v>
      </c>
      <c r="B62" s="49"/>
      <c r="C62" s="88">
        <v>250</v>
      </c>
      <c r="D62" s="69"/>
      <c r="E62" s="89"/>
      <c r="F62" s="135">
        <f t="shared" si="10"/>
        <v>250</v>
      </c>
      <c r="G62" s="169">
        <f>18.43</f>
        <v>18.43</v>
      </c>
      <c r="H62" s="170"/>
      <c r="I62" s="211">
        <f t="shared" si="11"/>
        <v>268.43</v>
      </c>
      <c r="J62" s="169">
        <f>2026.94</f>
        <v>2026.94</v>
      </c>
      <c r="K62" s="229"/>
      <c r="L62" s="261">
        <f t="shared" si="12"/>
        <v>2295.37</v>
      </c>
      <c r="M62" s="243">
        <f>159.82</f>
        <v>159.82</v>
      </c>
      <c r="N62" s="170"/>
      <c r="O62" s="211">
        <f t="shared" si="13"/>
        <v>2455.19</v>
      </c>
      <c r="P62" s="171">
        <f>15.27</f>
        <v>15.27</v>
      </c>
      <c r="Q62" s="299">
        <f t="shared" si="1"/>
        <v>2470.46</v>
      </c>
    </row>
    <row r="63" spans="1:17" ht="12.75">
      <c r="A63" s="13" t="s">
        <v>152</v>
      </c>
      <c r="B63" s="49"/>
      <c r="C63" s="88"/>
      <c r="D63" s="69">
        <f>36137</f>
        <v>36137</v>
      </c>
      <c r="E63" s="89"/>
      <c r="F63" s="135">
        <f t="shared" si="10"/>
        <v>36137</v>
      </c>
      <c r="G63" s="169"/>
      <c r="H63" s="170"/>
      <c r="I63" s="211">
        <f t="shared" si="11"/>
        <v>36137</v>
      </c>
      <c r="J63" s="169">
        <f>1471.86</f>
        <v>1471.86</v>
      </c>
      <c r="K63" s="229"/>
      <c r="L63" s="261">
        <f t="shared" si="12"/>
        <v>37608.86</v>
      </c>
      <c r="M63" s="243"/>
      <c r="N63" s="170"/>
      <c r="O63" s="211">
        <f t="shared" si="13"/>
        <v>37608.86</v>
      </c>
      <c r="P63" s="171"/>
      <c r="Q63" s="299">
        <f t="shared" si="1"/>
        <v>37608.86</v>
      </c>
    </row>
    <row r="64" spans="1:17" ht="12.75">
      <c r="A64" s="10" t="s">
        <v>40</v>
      </c>
      <c r="B64" s="46"/>
      <c r="C64" s="94">
        <f>SUM(C66:C81)</f>
        <v>0</v>
      </c>
      <c r="D64" s="68">
        <f aca="true" t="shared" si="14" ref="D64:Q64">SUM(D66:D81)</f>
        <v>558670.37</v>
      </c>
      <c r="E64" s="95">
        <f t="shared" si="14"/>
        <v>0</v>
      </c>
      <c r="F64" s="134">
        <f t="shared" si="14"/>
        <v>558670.37</v>
      </c>
      <c r="G64" s="167">
        <f t="shared" si="14"/>
        <v>295416.23</v>
      </c>
      <c r="H64" s="168">
        <f t="shared" si="14"/>
        <v>3014.38</v>
      </c>
      <c r="I64" s="210">
        <f t="shared" si="14"/>
        <v>857100.98</v>
      </c>
      <c r="J64" s="167">
        <f t="shared" si="14"/>
        <v>182594.66999999998</v>
      </c>
      <c r="K64" s="228">
        <f t="shared" si="14"/>
        <v>0</v>
      </c>
      <c r="L64" s="260">
        <f t="shared" si="14"/>
        <v>1039695.6500000001</v>
      </c>
      <c r="M64" s="241">
        <f t="shared" si="14"/>
        <v>120268.89000000001</v>
      </c>
      <c r="N64" s="168">
        <f t="shared" si="14"/>
        <v>10099.39</v>
      </c>
      <c r="O64" s="210">
        <f t="shared" si="14"/>
        <v>1170063.93</v>
      </c>
      <c r="P64" s="167">
        <f t="shared" si="14"/>
        <v>-12297.37000000001</v>
      </c>
      <c r="Q64" s="210">
        <f t="shared" si="14"/>
        <v>1157766.56</v>
      </c>
    </row>
    <row r="65" spans="1:19" ht="12.75">
      <c r="A65" s="15" t="s">
        <v>26</v>
      </c>
      <c r="B65" s="51"/>
      <c r="C65" s="88"/>
      <c r="D65" s="69"/>
      <c r="E65" s="89"/>
      <c r="F65" s="135"/>
      <c r="G65" s="169"/>
      <c r="H65" s="170"/>
      <c r="I65" s="211"/>
      <c r="J65" s="169"/>
      <c r="K65" s="229"/>
      <c r="L65" s="261"/>
      <c r="M65" s="243"/>
      <c r="N65" s="170"/>
      <c r="O65" s="211"/>
      <c r="P65" s="171"/>
      <c r="Q65" s="299"/>
      <c r="S65" s="91"/>
    </row>
    <row r="66" spans="1:19" ht="12.75">
      <c r="A66" s="13" t="s">
        <v>29</v>
      </c>
      <c r="B66" s="49"/>
      <c r="C66" s="88"/>
      <c r="D66" s="69"/>
      <c r="E66" s="89"/>
      <c r="F66" s="135">
        <f aca="true" t="shared" si="15" ref="F66:F81">C66+D66+E66</f>
        <v>0</v>
      </c>
      <c r="G66" s="169">
        <f>79.99</f>
        <v>79.99</v>
      </c>
      <c r="H66" s="170"/>
      <c r="I66" s="211">
        <f>F66+G66+H66</f>
        <v>79.99</v>
      </c>
      <c r="J66" s="169">
        <f>7969.24</f>
        <v>7969.24</v>
      </c>
      <c r="K66" s="229"/>
      <c r="L66" s="261">
        <f>I66+J66+K66</f>
        <v>8049.23</v>
      </c>
      <c r="M66" s="243"/>
      <c r="N66" s="170"/>
      <c r="O66" s="211">
        <f>L66+M66+N66</f>
        <v>8049.23</v>
      </c>
      <c r="P66" s="171">
        <f>90</f>
        <v>90</v>
      </c>
      <c r="Q66" s="299">
        <f t="shared" si="1"/>
        <v>8139.23</v>
      </c>
      <c r="S66" s="91"/>
    </row>
    <row r="67" spans="1:19" ht="12.75">
      <c r="A67" s="17" t="s">
        <v>30</v>
      </c>
      <c r="B67" s="52"/>
      <c r="C67" s="88"/>
      <c r="D67" s="69"/>
      <c r="E67" s="89"/>
      <c r="F67" s="135">
        <f t="shared" si="15"/>
        <v>0</v>
      </c>
      <c r="G67" s="169">
        <f>334.69+17906.13+3730.65</f>
        <v>21971.47</v>
      </c>
      <c r="H67" s="170">
        <f>3014.38</f>
        <v>3014.38</v>
      </c>
      <c r="I67" s="211">
        <f aca="true" t="shared" si="16" ref="I67:I81">F67+G67+H67</f>
        <v>24985.850000000002</v>
      </c>
      <c r="J67" s="169">
        <f>10888.44+5748.14</f>
        <v>16636.58</v>
      </c>
      <c r="K67" s="229"/>
      <c r="L67" s="261">
        <f aca="true" t="shared" si="17" ref="L67:L81">I67+J67+K67</f>
        <v>41622.43000000001</v>
      </c>
      <c r="M67" s="243">
        <f>8868.63+7015.46</f>
        <v>15884.09</v>
      </c>
      <c r="N67" s="170"/>
      <c r="O67" s="211">
        <f aca="true" t="shared" si="18" ref="O67:O81">L67+M67+N67</f>
        <v>57506.520000000004</v>
      </c>
      <c r="P67" s="171">
        <f>13606.43+16170.82-3014.38</f>
        <v>26762.87</v>
      </c>
      <c r="Q67" s="299">
        <f t="shared" si="1"/>
        <v>84269.39</v>
      </c>
      <c r="S67" s="91"/>
    </row>
    <row r="68" spans="1:19" ht="12.75">
      <c r="A68" s="17" t="s">
        <v>28</v>
      </c>
      <c r="B68" s="52"/>
      <c r="C68" s="88"/>
      <c r="D68" s="69"/>
      <c r="E68" s="89"/>
      <c r="F68" s="135">
        <f t="shared" si="15"/>
        <v>0</v>
      </c>
      <c r="G68" s="169"/>
      <c r="H68" s="170"/>
      <c r="I68" s="211">
        <f t="shared" si="16"/>
        <v>0</v>
      </c>
      <c r="J68" s="169"/>
      <c r="K68" s="229"/>
      <c r="L68" s="261">
        <f t="shared" si="17"/>
        <v>0</v>
      </c>
      <c r="M68" s="243">
        <f>2332.79</f>
        <v>2332.79</v>
      </c>
      <c r="N68" s="170"/>
      <c r="O68" s="211">
        <f t="shared" si="18"/>
        <v>2332.79</v>
      </c>
      <c r="P68" s="171"/>
      <c r="Q68" s="299">
        <f t="shared" si="1"/>
        <v>2332.79</v>
      </c>
      <c r="S68" s="91"/>
    </row>
    <row r="69" spans="1:19" ht="12.75">
      <c r="A69" s="17" t="s">
        <v>41</v>
      </c>
      <c r="B69" s="52"/>
      <c r="C69" s="88"/>
      <c r="D69" s="69"/>
      <c r="E69" s="89"/>
      <c r="F69" s="135">
        <f t="shared" si="15"/>
        <v>0</v>
      </c>
      <c r="G69" s="169"/>
      <c r="H69" s="170"/>
      <c r="I69" s="211">
        <f t="shared" si="16"/>
        <v>0</v>
      </c>
      <c r="J69" s="169"/>
      <c r="K69" s="229"/>
      <c r="L69" s="261">
        <f t="shared" si="17"/>
        <v>0</v>
      </c>
      <c r="M69" s="243">
        <f>97634.38</f>
        <v>97634.38</v>
      </c>
      <c r="N69" s="170">
        <f>1687.79</f>
        <v>1687.79</v>
      </c>
      <c r="O69" s="211">
        <f t="shared" si="18"/>
        <v>99322.17</v>
      </c>
      <c r="P69" s="171">
        <f>-1438.2</f>
        <v>-1438.2</v>
      </c>
      <c r="Q69" s="299">
        <f t="shared" si="1"/>
        <v>97883.97</v>
      </c>
      <c r="S69" s="91"/>
    </row>
    <row r="70" spans="1:19" ht="12.75">
      <c r="A70" s="13" t="s">
        <v>31</v>
      </c>
      <c r="B70" s="49"/>
      <c r="C70" s="88"/>
      <c r="D70" s="69">
        <f>411.59+11950.2+7646.42+5229.18</f>
        <v>25237.39</v>
      </c>
      <c r="E70" s="89"/>
      <c r="F70" s="135">
        <f t="shared" si="15"/>
        <v>25237.39</v>
      </c>
      <c r="G70" s="169">
        <f>1164.22+2496.78+3572.4+45726.99+5291.83+4469.65+1777.95+5071.73+228.4+48615.18+16983.93+4152.71</f>
        <v>139551.77</v>
      </c>
      <c r="H70" s="170"/>
      <c r="I70" s="211">
        <f t="shared" si="16"/>
        <v>164789.15999999997</v>
      </c>
      <c r="J70" s="169">
        <f>3979.69+2762.01+2970.55+44205.52+10841.31+42930.51+926.7</f>
        <v>108616.29</v>
      </c>
      <c r="K70" s="229"/>
      <c r="L70" s="261">
        <f t="shared" si="17"/>
        <v>273405.44999999995</v>
      </c>
      <c r="M70" s="243">
        <f>14881.6+11401.55+5728.96+6808.51+4787.44+1500.76+62209.51+88295.88</f>
        <v>195614.21000000002</v>
      </c>
      <c r="N70" s="170">
        <f>4681.59+3730.01</f>
        <v>8411.6</v>
      </c>
      <c r="O70" s="211">
        <f t="shared" si="18"/>
        <v>477431.25999999995</v>
      </c>
      <c r="P70" s="171">
        <f>3737.32+17368.17+25853.97+4925.08+26750.79</f>
        <v>78635.33</v>
      </c>
      <c r="Q70" s="299">
        <f t="shared" si="1"/>
        <v>556066.59</v>
      </c>
      <c r="S70" s="91"/>
    </row>
    <row r="71" spans="1:19" ht="12.75">
      <c r="A71" s="13" t="s">
        <v>32</v>
      </c>
      <c r="B71" s="49"/>
      <c r="C71" s="88"/>
      <c r="D71" s="69"/>
      <c r="E71" s="89"/>
      <c r="F71" s="135">
        <f t="shared" si="15"/>
        <v>0</v>
      </c>
      <c r="G71" s="169">
        <f>79</f>
        <v>79</v>
      </c>
      <c r="H71" s="170"/>
      <c r="I71" s="211">
        <f t="shared" si="16"/>
        <v>79</v>
      </c>
      <c r="J71" s="169">
        <f>75+412.34+144</f>
        <v>631.3399999999999</v>
      </c>
      <c r="K71" s="229"/>
      <c r="L71" s="261">
        <f t="shared" si="17"/>
        <v>710.3399999999999</v>
      </c>
      <c r="M71" s="243">
        <f>38+864+137</f>
        <v>1039</v>
      </c>
      <c r="N71" s="170"/>
      <c r="O71" s="211">
        <f t="shared" si="18"/>
        <v>1749.34</v>
      </c>
      <c r="P71" s="171">
        <f>-38+43+3263.4+489-45.31</f>
        <v>3712.09</v>
      </c>
      <c r="Q71" s="299">
        <f t="shared" si="1"/>
        <v>5461.43</v>
      </c>
      <c r="S71" s="91"/>
    </row>
    <row r="72" spans="1:19" ht="12.75" hidden="1">
      <c r="A72" s="13" t="s">
        <v>206</v>
      </c>
      <c r="B72" s="49"/>
      <c r="C72" s="88"/>
      <c r="D72" s="69"/>
      <c r="E72" s="89"/>
      <c r="F72" s="135">
        <f t="shared" si="15"/>
        <v>0</v>
      </c>
      <c r="G72" s="169"/>
      <c r="H72" s="170"/>
      <c r="I72" s="211">
        <f t="shared" si="16"/>
        <v>0</v>
      </c>
      <c r="J72" s="169"/>
      <c r="K72" s="229"/>
      <c r="L72" s="261">
        <f t="shared" si="17"/>
        <v>0</v>
      </c>
      <c r="M72" s="243"/>
      <c r="N72" s="170"/>
      <c r="O72" s="211">
        <f t="shared" si="18"/>
        <v>0</v>
      </c>
      <c r="P72" s="171"/>
      <c r="Q72" s="299">
        <f t="shared" si="1"/>
        <v>0</v>
      </c>
      <c r="S72" s="91"/>
    </row>
    <row r="73" spans="1:19" ht="12.75">
      <c r="A73" s="13" t="s">
        <v>147</v>
      </c>
      <c r="B73" s="49"/>
      <c r="C73" s="88"/>
      <c r="D73" s="69"/>
      <c r="E73" s="89"/>
      <c r="F73" s="135">
        <f t="shared" si="15"/>
        <v>0</v>
      </c>
      <c r="G73" s="169">
        <f>3826.81+56769.09</f>
        <v>60595.899999999994</v>
      </c>
      <c r="H73" s="170"/>
      <c r="I73" s="211">
        <f t="shared" si="16"/>
        <v>60595.899999999994</v>
      </c>
      <c r="J73" s="169">
        <f>22306.19+3021.93+34.1+3080</f>
        <v>28442.219999999998</v>
      </c>
      <c r="K73" s="229"/>
      <c r="L73" s="261">
        <f t="shared" si="17"/>
        <v>89038.12</v>
      </c>
      <c r="M73" s="243">
        <f>3806+1458.42</f>
        <v>5264.42</v>
      </c>
      <c r="N73" s="170"/>
      <c r="O73" s="211">
        <f t="shared" si="18"/>
        <v>94302.54</v>
      </c>
      <c r="P73" s="171">
        <f>189.88+477.16</f>
        <v>667.04</v>
      </c>
      <c r="Q73" s="299">
        <f t="shared" si="1"/>
        <v>94969.57999999999</v>
      </c>
      <c r="S73" s="91"/>
    </row>
    <row r="74" spans="1:19" ht="12.75">
      <c r="A74" s="13" t="s">
        <v>384</v>
      </c>
      <c r="B74" s="49"/>
      <c r="C74" s="88"/>
      <c r="D74" s="69"/>
      <c r="E74" s="89"/>
      <c r="F74" s="135"/>
      <c r="G74" s="169"/>
      <c r="H74" s="170"/>
      <c r="I74" s="211"/>
      <c r="J74" s="169"/>
      <c r="K74" s="229"/>
      <c r="L74" s="261">
        <f t="shared" si="17"/>
        <v>0</v>
      </c>
      <c r="M74" s="243"/>
      <c r="N74" s="170"/>
      <c r="O74" s="211">
        <f t="shared" si="18"/>
        <v>0</v>
      </c>
      <c r="P74" s="171">
        <f>6384.09</f>
        <v>6384.09</v>
      </c>
      <c r="Q74" s="299">
        <f t="shared" si="1"/>
        <v>6384.09</v>
      </c>
      <c r="S74" s="91"/>
    </row>
    <row r="75" spans="1:19" ht="12.75">
      <c r="A75" s="13" t="s">
        <v>148</v>
      </c>
      <c r="B75" s="49"/>
      <c r="C75" s="88"/>
      <c r="D75" s="69"/>
      <c r="E75" s="89"/>
      <c r="F75" s="135">
        <f t="shared" si="15"/>
        <v>0</v>
      </c>
      <c r="G75" s="169">
        <f>780.76</f>
        <v>780.76</v>
      </c>
      <c r="H75" s="170"/>
      <c r="I75" s="211">
        <f t="shared" si="16"/>
        <v>780.76</v>
      </c>
      <c r="J75" s="169"/>
      <c r="K75" s="229"/>
      <c r="L75" s="261">
        <f t="shared" si="17"/>
        <v>780.76</v>
      </c>
      <c r="M75" s="243"/>
      <c r="N75" s="170"/>
      <c r="O75" s="211">
        <f t="shared" si="18"/>
        <v>780.76</v>
      </c>
      <c r="P75" s="171"/>
      <c r="Q75" s="299">
        <f t="shared" si="1"/>
        <v>780.76</v>
      </c>
      <c r="S75" s="91"/>
    </row>
    <row r="76" spans="1:19" ht="12.75">
      <c r="A76" s="13" t="s">
        <v>42</v>
      </c>
      <c r="B76" s="49"/>
      <c r="C76" s="88"/>
      <c r="D76" s="69">
        <f>308400+218036</f>
        <v>526436</v>
      </c>
      <c r="E76" s="89"/>
      <c r="F76" s="135">
        <f t="shared" si="15"/>
        <v>526436</v>
      </c>
      <c r="G76" s="169">
        <f>14093.81+34600</f>
        <v>48693.81</v>
      </c>
      <c r="H76" s="170"/>
      <c r="I76" s="211">
        <f t="shared" si="16"/>
        <v>575129.81</v>
      </c>
      <c r="J76" s="169">
        <f>48429-28130</f>
        <v>20299</v>
      </c>
      <c r="K76" s="229"/>
      <c r="L76" s="261">
        <f t="shared" si="17"/>
        <v>595428.81</v>
      </c>
      <c r="M76" s="243">
        <f>-2500-195000</f>
        <v>-197500</v>
      </c>
      <c r="N76" s="170"/>
      <c r="O76" s="211">
        <f t="shared" si="18"/>
        <v>397928.81000000006</v>
      </c>
      <c r="P76" s="171">
        <f>-29678.61-97431.98</f>
        <v>-127110.59</v>
      </c>
      <c r="Q76" s="299">
        <f t="shared" si="1"/>
        <v>270818.2200000001</v>
      </c>
      <c r="S76" s="91"/>
    </row>
    <row r="77" spans="1:19" ht="12.75" hidden="1">
      <c r="A77" s="13" t="s">
        <v>43</v>
      </c>
      <c r="B77" s="49"/>
      <c r="C77" s="88"/>
      <c r="D77" s="69"/>
      <c r="E77" s="89"/>
      <c r="F77" s="135">
        <f t="shared" si="15"/>
        <v>0</v>
      </c>
      <c r="G77" s="169"/>
      <c r="H77" s="170"/>
      <c r="I77" s="211">
        <f t="shared" si="16"/>
        <v>0</v>
      </c>
      <c r="J77" s="169"/>
      <c r="K77" s="229"/>
      <c r="L77" s="261">
        <f t="shared" si="17"/>
        <v>0</v>
      </c>
      <c r="M77" s="243"/>
      <c r="N77" s="170"/>
      <c r="O77" s="211">
        <f t="shared" si="18"/>
        <v>0</v>
      </c>
      <c r="P77" s="171"/>
      <c r="Q77" s="299">
        <f t="shared" si="1"/>
        <v>0</v>
      </c>
      <c r="S77" s="91"/>
    </row>
    <row r="78" spans="1:19" ht="12.75" hidden="1">
      <c r="A78" s="13" t="s">
        <v>44</v>
      </c>
      <c r="B78" s="49"/>
      <c r="C78" s="88"/>
      <c r="D78" s="69"/>
      <c r="E78" s="89"/>
      <c r="F78" s="135">
        <f t="shared" si="15"/>
        <v>0</v>
      </c>
      <c r="G78" s="169"/>
      <c r="H78" s="170"/>
      <c r="I78" s="211">
        <f t="shared" si="16"/>
        <v>0</v>
      </c>
      <c r="J78" s="169"/>
      <c r="K78" s="229"/>
      <c r="L78" s="261">
        <f t="shared" si="17"/>
        <v>0</v>
      </c>
      <c r="M78" s="243"/>
      <c r="N78" s="170"/>
      <c r="O78" s="211">
        <f t="shared" si="18"/>
        <v>0</v>
      </c>
      <c r="P78" s="171"/>
      <c r="Q78" s="299">
        <f t="shared" si="1"/>
        <v>0</v>
      </c>
      <c r="S78" s="91"/>
    </row>
    <row r="79" spans="1:19" ht="12.75">
      <c r="A79" s="13" t="s">
        <v>35</v>
      </c>
      <c r="B79" s="49"/>
      <c r="C79" s="88"/>
      <c r="D79" s="69"/>
      <c r="E79" s="89"/>
      <c r="F79" s="135">
        <f t="shared" si="15"/>
        <v>0</v>
      </c>
      <c r="G79" s="169">
        <f>23663.53</f>
        <v>23663.53</v>
      </c>
      <c r="H79" s="170"/>
      <c r="I79" s="211">
        <f t="shared" si="16"/>
        <v>23663.53</v>
      </c>
      <c r="J79" s="169"/>
      <c r="K79" s="229"/>
      <c r="L79" s="261">
        <f t="shared" si="17"/>
        <v>23663.53</v>
      </c>
      <c r="M79" s="243"/>
      <c r="N79" s="170"/>
      <c r="O79" s="211">
        <f t="shared" si="18"/>
        <v>23663.53</v>
      </c>
      <c r="P79" s="300"/>
      <c r="Q79" s="299">
        <f t="shared" si="1"/>
        <v>23663.53</v>
      </c>
      <c r="S79" s="91"/>
    </row>
    <row r="80" spans="1:17" ht="12.75">
      <c r="A80" s="13" t="s">
        <v>39</v>
      </c>
      <c r="B80" s="49"/>
      <c r="C80" s="88"/>
      <c r="D80" s="69">
        <f>6996.98</f>
        <v>6996.98</v>
      </c>
      <c r="E80" s="89"/>
      <c r="F80" s="135">
        <f t="shared" si="15"/>
        <v>6996.98</v>
      </c>
      <c r="G80" s="169"/>
      <c r="H80" s="170"/>
      <c r="I80" s="211">
        <f t="shared" si="16"/>
        <v>6996.98</v>
      </c>
      <c r="J80" s="169"/>
      <c r="K80" s="229"/>
      <c r="L80" s="261">
        <f t="shared" si="17"/>
        <v>6996.98</v>
      </c>
      <c r="M80" s="243"/>
      <c r="N80" s="170"/>
      <c r="O80" s="211">
        <f t="shared" si="18"/>
        <v>6996.98</v>
      </c>
      <c r="P80" s="300"/>
      <c r="Q80" s="299">
        <f t="shared" si="1"/>
        <v>6996.98</v>
      </c>
    </row>
    <row r="81" spans="1:17" ht="12.75" hidden="1">
      <c r="A81" s="13" t="s">
        <v>152</v>
      </c>
      <c r="B81" s="49"/>
      <c r="C81" s="88"/>
      <c r="D81" s="69"/>
      <c r="E81" s="89"/>
      <c r="F81" s="135">
        <f t="shared" si="15"/>
        <v>0</v>
      </c>
      <c r="G81" s="169"/>
      <c r="H81" s="170"/>
      <c r="I81" s="211">
        <f t="shared" si="16"/>
        <v>0</v>
      </c>
      <c r="J81" s="169"/>
      <c r="K81" s="229"/>
      <c r="L81" s="261">
        <f t="shared" si="17"/>
        <v>0</v>
      </c>
      <c r="M81" s="243"/>
      <c r="N81" s="170"/>
      <c r="O81" s="211">
        <f t="shared" si="18"/>
        <v>0</v>
      </c>
      <c r="P81" s="171"/>
      <c r="Q81" s="299">
        <f t="shared" si="1"/>
        <v>0</v>
      </c>
    </row>
    <row r="82" spans="1:17" ht="16.5" thickBot="1">
      <c r="A82" s="18" t="s">
        <v>45</v>
      </c>
      <c r="B82" s="53"/>
      <c r="C82" s="106">
        <f aca="true" t="shared" si="19" ref="C82:N82">C11+C17+C40+C64+C32</f>
        <v>4859671.58</v>
      </c>
      <c r="D82" s="72">
        <f t="shared" si="19"/>
        <v>10875606.279999997</v>
      </c>
      <c r="E82" s="154">
        <f t="shared" si="19"/>
        <v>0</v>
      </c>
      <c r="F82" s="138">
        <f t="shared" si="19"/>
        <v>15735277.859999998</v>
      </c>
      <c r="G82" s="175">
        <f t="shared" si="19"/>
        <v>755905.42</v>
      </c>
      <c r="H82" s="176">
        <f t="shared" si="19"/>
        <v>88312.04000000001</v>
      </c>
      <c r="I82" s="213">
        <f t="shared" si="19"/>
        <v>16579495.319999998</v>
      </c>
      <c r="J82" s="175">
        <f t="shared" si="19"/>
        <v>1045759.98</v>
      </c>
      <c r="K82" s="231">
        <f t="shared" si="19"/>
        <v>17792.32</v>
      </c>
      <c r="L82" s="263">
        <f t="shared" si="19"/>
        <v>17643047.619999997</v>
      </c>
      <c r="M82" s="231">
        <f t="shared" si="19"/>
        <v>440763.62000000005</v>
      </c>
      <c r="N82" s="176">
        <f t="shared" si="19"/>
        <v>48161.03</v>
      </c>
      <c r="O82" s="213">
        <f>O11+O17+O40+O64+O32</f>
        <v>18131972.27</v>
      </c>
      <c r="P82" s="175">
        <f>P11+P17+P40+P64+P32</f>
        <v>-1980.9600000000228</v>
      </c>
      <c r="Q82" s="213">
        <f>Q11+Q17+Q40+Q64+Q32</f>
        <v>18129991.310000002</v>
      </c>
    </row>
    <row r="83" spans="1:17" ht="12.75">
      <c r="A83" s="10" t="s">
        <v>46</v>
      </c>
      <c r="B83" s="46"/>
      <c r="C83" s="94"/>
      <c r="D83" s="69"/>
      <c r="E83" s="89"/>
      <c r="F83" s="135"/>
      <c r="G83" s="169"/>
      <c r="H83" s="170"/>
      <c r="I83" s="211"/>
      <c r="J83" s="169"/>
      <c r="K83" s="229"/>
      <c r="L83" s="261"/>
      <c r="M83" s="243"/>
      <c r="N83" s="170"/>
      <c r="O83" s="211"/>
      <c r="P83" s="171"/>
      <c r="Q83" s="299"/>
    </row>
    <row r="84" spans="1:17" ht="12.75">
      <c r="A84" s="10" t="s">
        <v>62</v>
      </c>
      <c r="B84" s="58"/>
      <c r="C84" s="94">
        <f>C85+C94</f>
        <v>121438</v>
      </c>
      <c r="D84" s="68">
        <f aca="true" t="shared" si="20" ref="D84:O84">D85+D94</f>
        <v>40384.18</v>
      </c>
      <c r="E84" s="95">
        <f t="shared" si="20"/>
        <v>0</v>
      </c>
      <c r="F84" s="134">
        <f t="shared" si="20"/>
        <v>161822.18</v>
      </c>
      <c r="G84" s="167">
        <f t="shared" si="20"/>
        <v>1291.98</v>
      </c>
      <c r="H84" s="168">
        <f t="shared" si="20"/>
        <v>8618.75</v>
      </c>
      <c r="I84" s="210">
        <f t="shared" si="20"/>
        <v>171732.91</v>
      </c>
      <c r="J84" s="167">
        <f t="shared" si="20"/>
        <v>981.05</v>
      </c>
      <c r="K84" s="228">
        <f t="shared" si="20"/>
        <v>0</v>
      </c>
      <c r="L84" s="260">
        <f t="shared" si="20"/>
        <v>172713.96</v>
      </c>
      <c r="M84" s="228">
        <f t="shared" si="20"/>
        <v>233.51000000000002</v>
      </c>
      <c r="N84" s="168">
        <f t="shared" si="20"/>
        <v>0</v>
      </c>
      <c r="O84" s="210">
        <f t="shared" si="20"/>
        <v>172947.47</v>
      </c>
      <c r="P84" s="167">
        <f>P85+P94</f>
        <v>1326.8799999999999</v>
      </c>
      <c r="Q84" s="210">
        <f>Q85+Q94</f>
        <v>174274.35</v>
      </c>
    </row>
    <row r="85" spans="1:17" ht="12.75">
      <c r="A85" s="19" t="s">
        <v>48</v>
      </c>
      <c r="B85" s="58"/>
      <c r="C85" s="107">
        <f>SUM(C87:C92)</f>
        <v>69438</v>
      </c>
      <c r="D85" s="73">
        <f aca="true" t="shared" si="21" ref="D85:O85">SUM(D87:D92)</f>
        <v>6974.0599999999995</v>
      </c>
      <c r="E85" s="123">
        <f t="shared" si="21"/>
        <v>0</v>
      </c>
      <c r="F85" s="139">
        <f t="shared" si="21"/>
        <v>76412.06</v>
      </c>
      <c r="G85" s="177">
        <f t="shared" si="21"/>
        <v>1291.98</v>
      </c>
      <c r="H85" s="178">
        <f t="shared" si="21"/>
        <v>0</v>
      </c>
      <c r="I85" s="214">
        <f t="shared" si="21"/>
        <v>77704.04000000001</v>
      </c>
      <c r="J85" s="177">
        <f t="shared" si="21"/>
        <v>981.05</v>
      </c>
      <c r="K85" s="218">
        <f t="shared" si="21"/>
        <v>0</v>
      </c>
      <c r="L85" s="264">
        <f t="shared" si="21"/>
        <v>78685.09</v>
      </c>
      <c r="M85" s="218">
        <f t="shared" si="21"/>
        <v>233.51000000000002</v>
      </c>
      <c r="N85" s="178">
        <f t="shared" si="21"/>
        <v>0</v>
      </c>
      <c r="O85" s="214">
        <f t="shared" si="21"/>
        <v>78918.6</v>
      </c>
      <c r="P85" s="177">
        <f>SUM(P87:P92)</f>
        <v>1326.8799999999999</v>
      </c>
      <c r="Q85" s="214">
        <f>SUM(Q87:Q92)</f>
        <v>80245.48000000001</v>
      </c>
    </row>
    <row r="86" spans="1:17" ht="12.75">
      <c r="A86" s="15" t="s">
        <v>26</v>
      </c>
      <c r="B86" s="54"/>
      <c r="C86" s="88"/>
      <c r="D86" s="69"/>
      <c r="E86" s="89"/>
      <c r="F86" s="134"/>
      <c r="G86" s="169"/>
      <c r="H86" s="170"/>
      <c r="I86" s="210"/>
      <c r="J86" s="169"/>
      <c r="K86" s="229"/>
      <c r="L86" s="260"/>
      <c r="M86" s="243"/>
      <c r="N86" s="170"/>
      <c r="O86" s="210"/>
      <c r="P86" s="171"/>
      <c r="Q86" s="299"/>
    </row>
    <row r="87" spans="1:17" ht="12.75">
      <c r="A87" s="13" t="s">
        <v>50</v>
      </c>
      <c r="B87" s="54"/>
      <c r="C87" s="88">
        <v>8050</v>
      </c>
      <c r="D87" s="69"/>
      <c r="E87" s="89"/>
      <c r="F87" s="135">
        <f aca="true" t="shared" si="22" ref="F87:F93">C87+D87+E87</f>
        <v>8050</v>
      </c>
      <c r="G87" s="169">
        <f>-190</f>
        <v>-190</v>
      </c>
      <c r="H87" s="170"/>
      <c r="I87" s="211">
        <f aca="true" t="shared" si="23" ref="I87:I93">F87+G87+H87</f>
        <v>7860</v>
      </c>
      <c r="J87" s="169"/>
      <c r="K87" s="229"/>
      <c r="L87" s="261">
        <f aca="true" t="shared" si="24" ref="L87:L93">I87+J87+K87</f>
        <v>7860</v>
      </c>
      <c r="M87" s="243"/>
      <c r="N87" s="170"/>
      <c r="O87" s="211">
        <f aca="true" t="shared" si="25" ref="O87:O93">L87+M87+N87</f>
        <v>7860</v>
      </c>
      <c r="P87" s="171"/>
      <c r="Q87" s="299">
        <f aca="true" t="shared" si="26" ref="Q87:Q137">O87+P87</f>
        <v>7860</v>
      </c>
    </row>
    <row r="88" spans="1:17" ht="12.75" hidden="1">
      <c r="A88" s="13" t="s">
        <v>64</v>
      </c>
      <c r="B88" s="54"/>
      <c r="C88" s="88"/>
      <c r="D88" s="69"/>
      <c r="E88" s="89"/>
      <c r="F88" s="135">
        <f t="shared" si="22"/>
        <v>0</v>
      </c>
      <c r="G88" s="169"/>
      <c r="H88" s="170"/>
      <c r="I88" s="211">
        <f t="shared" si="23"/>
        <v>0</v>
      </c>
      <c r="J88" s="169"/>
      <c r="K88" s="229"/>
      <c r="L88" s="261">
        <f t="shared" si="24"/>
        <v>0</v>
      </c>
      <c r="M88" s="243"/>
      <c r="N88" s="170"/>
      <c r="O88" s="211">
        <f t="shared" si="25"/>
        <v>0</v>
      </c>
      <c r="P88" s="171"/>
      <c r="Q88" s="299">
        <f t="shared" si="26"/>
        <v>0</v>
      </c>
    </row>
    <row r="89" spans="1:17" ht="12.75">
      <c r="A89" s="17" t="s">
        <v>196</v>
      </c>
      <c r="B89" s="54"/>
      <c r="C89" s="88">
        <v>61388</v>
      </c>
      <c r="D89" s="69"/>
      <c r="E89" s="89"/>
      <c r="F89" s="135">
        <f t="shared" si="22"/>
        <v>61388</v>
      </c>
      <c r="G89" s="169"/>
      <c r="H89" s="170"/>
      <c r="I89" s="211">
        <f t="shared" si="23"/>
        <v>61388</v>
      </c>
      <c r="J89" s="169"/>
      <c r="K89" s="229"/>
      <c r="L89" s="261">
        <f t="shared" si="24"/>
        <v>61388</v>
      </c>
      <c r="M89" s="243"/>
      <c r="N89" s="170"/>
      <c r="O89" s="211">
        <f t="shared" si="25"/>
        <v>61388</v>
      </c>
      <c r="P89" s="171"/>
      <c r="Q89" s="299">
        <f t="shared" si="26"/>
        <v>61388</v>
      </c>
    </row>
    <row r="90" spans="1:17" ht="12.75">
      <c r="A90" s="13" t="s">
        <v>65</v>
      </c>
      <c r="B90" s="54">
        <v>98278</v>
      </c>
      <c r="C90" s="88"/>
      <c r="D90" s="69">
        <f>35.9+18+64+99.5+12+15+36.07+83.5+6+15.5+6+50+15+6+6+63.99+40.61+39.34+35.33+128.79+23.59</f>
        <v>800.1200000000001</v>
      </c>
      <c r="E90" s="89"/>
      <c r="F90" s="135">
        <f t="shared" si="22"/>
        <v>800.1200000000001</v>
      </c>
      <c r="G90" s="169">
        <f>1481.98</f>
        <v>1481.98</v>
      </c>
      <c r="H90" s="170"/>
      <c r="I90" s="211">
        <f t="shared" si="23"/>
        <v>2282.1000000000004</v>
      </c>
      <c r="J90" s="169">
        <f>60.88+60+36.07+92.98+69.44+11.45+30.43+10.5+67.5+64.09+63.63+45.45+15.44+17.16+12.53+126.16+75+41.8+11.9+68.64</f>
        <v>981.05</v>
      </c>
      <c r="K90" s="229"/>
      <c r="L90" s="261">
        <f t="shared" si="24"/>
        <v>3263.1500000000005</v>
      </c>
      <c r="M90" s="243">
        <f>27.7+16.5+19.5+25.64+78+12+34.62+6.53+6.36+6.66</f>
        <v>233.51000000000002</v>
      </c>
      <c r="N90" s="170"/>
      <c r="O90" s="211">
        <f t="shared" si="25"/>
        <v>3496.6600000000008</v>
      </c>
      <c r="P90" s="171">
        <f>6.57+20.98+55.16+116.6+187.28+28.5+826.05+25.24+36.5+24</f>
        <v>1326.8799999999999</v>
      </c>
      <c r="Q90" s="299">
        <f t="shared" si="26"/>
        <v>4823.540000000001</v>
      </c>
    </row>
    <row r="91" spans="1:17" ht="12.75" hidden="1">
      <c r="A91" s="13" t="s">
        <v>74</v>
      </c>
      <c r="B91" s="54"/>
      <c r="C91" s="88"/>
      <c r="D91" s="69"/>
      <c r="E91" s="89"/>
      <c r="F91" s="135">
        <f t="shared" si="22"/>
        <v>0</v>
      </c>
      <c r="G91" s="169"/>
      <c r="H91" s="170"/>
      <c r="I91" s="211">
        <f t="shared" si="23"/>
        <v>0</v>
      </c>
      <c r="J91" s="169"/>
      <c r="K91" s="229"/>
      <c r="L91" s="261">
        <f t="shared" si="24"/>
        <v>0</v>
      </c>
      <c r="M91" s="243"/>
      <c r="N91" s="170"/>
      <c r="O91" s="211">
        <f t="shared" si="25"/>
        <v>0</v>
      </c>
      <c r="P91" s="171"/>
      <c r="Q91" s="299">
        <f t="shared" si="26"/>
        <v>0</v>
      </c>
    </row>
    <row r="92" spans="1:17" ht="12.75">
      <c r="A92" s="12" t="s">
        <v>66</v>
      </c>
      <c r="B92" s="54"/>
      <c r="C92" s="88"/>
      <c r="D92" s="69">
        <f>6173.94</f>
        <v>6173.94</v>
      </c>
      <c r="E92" s="89"/>
      <c r="F92" s="135">
        <f t="shared" si="22"/>
        <v>6173.94</v>
      </c>
      <c r="G92" s="169"/>
      <c r="H92" s="170"/>
      <c r="I92" s="211">
        <f t="shared" si="23"/>
        <v>6173.94</v>
      </c>
      <c r="J92" s="169"/>
      <c r="K92" s="229"/>
      <c r="L92" s="261">
        <f t="shared" si="24"/>
        <v>6173.94</v>
      </c>
      <c r="M92" s="243"/>
      <c r="N92" s="170"/>
      <c r="O92" s="211">
        <f t="shared" si="25"/>
        <v>6173.94</v>
      </c>
      <c r="P92" s="171"/>
      <c r="Q92" s="299">
        <f t="shared" si="26"/>
        <v>6173.94</v>
      </c>
    </row>
    <row r="93" spans="1:17" ht="12.75">
      <c r="A93" s="12" t="s">
        <v>67</v>
      </c>
      <c r="B93" s="54"/>
      <c r="C93" s="88"/>
      <c r="D93" s="69">
        <f>3124.33+1733.68</f>
        <v>4858.01</v>
      </c>
      <c r="E93" s="89"/>
      <c r="F93" s="135">
        <f t="shared" si="22"/>
        <v>4858.01</v>
      </c>
      <c r="G93" s="169"/>
      <c r="H93" s="170"/>
      <c r="I93" s="211">
        <f t="shared" si="23"/>
        <v>4858.01</v>
      </c>
      <c r="J93" s="169"/>
      <c r="K93" s="229"/>
      <c r="L93" s="261">
        <f t="shared" si="24"/>
        <v>4858.01</v>
      </c>
      <c r="M93" s="243"/>
      <c r="N93" s="170"/>
      <c r="O93" s="211">
        <f t="shared" si="25"/>
        <v>4858.01</v>
      </c>
      <c r="P93" s="171"/>
      <c r="Q93" s="299">
        <f t="shared" si="26"/>
        <v>4858.01</v>
      </c>
    </row>
    <row r="94" spans="1:17" ht="12.75">
      <c r="A94" s="20" t="s">
        <v>53</v>
      </c>
      <c r="B94" s="58"/>
      <c r="C94" s="109">
        <f>SUM(C96:C102)</f>
        <v>52000</v>
      </c>
      <c r="D94" s="75">
        <f aca="true" t="shared" si="27" ref="D94:Q94">SUM(D96:D102)</f>
        <v>33410.12</v>
      </c>
      <c r="E94" s="124">
        <f t="shared" si="27"/>
        <v>0</v>
      </c>
      <c r="F94" s="140">
        <f t="shared" si="27"/>
        <v>85410.12</v>
      </c>
      <c r="G94" s="179">
        <f t="shared" si="27"/>
        <v>0</v>
      </c>
      <c r="H94" s="180">
        <f t="shared" si="27"/>
        <v>8618.75</v>
      </c>
      <c r="I94" s="215">
        <f t="shared" si="27"/>
        <v>94028.87</v>
      </c>
      <c r="J94" s="179">
        <f t="shared" si="27"/>
        <v>0</v>
      </c>
      <c r="K94" s="232">
        <f t="shared" si="27"/>
        <v>0</v>
      </c>
      <c r="L94" s="265">
        <f t="shared" si="27"/>
        <v>94028.87</v>
      </c>
      <c r="M94" s="232">
        <f t="shared" si="27"/>
        <v>0</v>
      </c>
      <c r="N94" s="180">
        <f t="shared" si="27"/>
        <v>0</v>
      </c>
      <c r="O94" s="215">
        <f t="shared" si="27"/>
        <v>94028.87</v>
      </c>
      <c r="P94" s="179">
        <f t="shared" si="27"/>
        <v>0</v>
      </c>
      <c r="Q94" s="215">
        <f t="shared" si="27"/>
        <v>94028.87</v>
      </c>
    </row>
    <row r="95" spans="1:17" ht="12.75">
      <c r="A95" s="11" t="s">
        <v>26</v>
      </c>
      <c r="B95" s="54"/>
      <c r="C95" s="84"/>
      <c r="D95" s="71"/>
      <c r="E95" s="85"/>
      <c r="F95" s="137"/>
      <c r="G95" s="173"/>
      <c r="H95" s="174"/>
      <c r="I95" s="212"/>
      <c r="J95" s="173"/>
      <c r="K95" s="230"/>
      <c r="L95" s="262"/>
      <c r="M95" s="278"/>
      <c r="N95" s="174"/>
      <c r="O95" s="212"/>
      <c r="P95" s="171"/>
      <c r="Q95" s="299"/>
    </row>
    <row r="96" spans="1:17" ht="12.75">
      <c r="A96" s="55" t="s">
        <v>280</v>
      </c>
      <c r="B96" s="54"/>
      <c r="C96" s="88"/>
      <c r="D96" s="69">
        <f>18209.7</f>
        <v>18209.7</v>
      </c>
      <c r="E96" s="89"/>
      <c r="F96" s="135">
        <f aca="true" t="shared" si="28" ref="F96:F102">C96+D96+E96</f>
        <v>18209.7</v>
      </c>
      <c r="G96" s="169"/>
      <c r="H96" s="170">
        <f>8618.75</f>
        <v>8618.75</v>
      </c>
      <c r="I96" s="211">
        <f aca="true" t="shared" si="29" ref="I96:I102">F96+G96+H96</f>
        <v>26828.45</v>
      </c>
      <c r="J96" s="169"/>
      <c r="K96" s="229"/>
      <c r="L96" s="261">
        <f aca="true" t="shared" si="30" ref="L96:L102">I96+J96+K96</f>
        <v>26828.45</v>
      </c>
      <c r="M96" s="243"/>
      <c r="N96" s="170"/>
      <c r="O96" s="211">
        <f>L96+M96+N96</f>
        <v>26828.45</v>
      </c>
      <c r="P96" s="171"/>
      <c r="Q96" s="299">
        <f t="shared" si="26"/>
        <v>26828.45</v>
      </c>
    </row>
    <row r="97" spans="1:17" ht="12.75">
      <c r="A97" s="17" t="s">
        <v>230</v>
      </c>
      <c r="B97" s="54"/>
      <c r="C97" s="88">
        <v>20000</v>
      </c>
      <c r="D97" s="69"/>
      <c r="E97" s="89"/>
      <c r="F97" s="135">
        <f t="shared" si="28"/>
        <v>20000</v>
      </c>
      <c r="G97" s="169"/>
      <c r="H97" s="170"/>
      <c r="I97" s="211">
        <f t="shared" si="29"/>
        <v>20000</v>
      </c>
      <c r="J97" s="169"/>
      <c r="K97" s="229"/>
      <c r="L97" s="261">
        <f t="shared" si="30"/>
        <v>20000</v>
      </c>
      <c r="M97" s="243"/>
      <c r="N97" s="170"/>
      <c r="O97" s="211">
        <f aca="true" t="shared" si="31" ref="O97:O102">L97+M97+N97</f>
        <v>20000</v>
      </c>
      <c r="P97" s="171"/>
      <c r="Q97" s="299">
        <f t="shared" si="26"/>
        <v>20000</v>
      </c>
    </row>
    <row r="98" spans="1:17" ht="12.75" hidden="1">
      <c r="A98" s="12" t="s">
        <v>54</v>
      </c>
      <c r="B98" s="54"/>
      <c r="C98" s="88"/>
      <c r="D98" s="69"/>
      <c r="E98" s="89"/>
      <c r="F98" s="135">
        <f t="shared" si="28"/>
        <v>0</v>
      </c>
      <c r="G98" s="169"/>
      <c r="H98" s="170"/>
      <c r="I98" s="211">
        <f t="shared" si="29"/>
        <v>0</v>
      </c>
      <c r="J98" s="169"/>
      <c r="K98" s="229"/>
      <c r="L98" s="261">
        <f t="shared" si="30"/>
        <v>0</v>
      </c>
      <c r="M98" s="243"/>
      <c r="N98" s="170"/>
      <c r="O98" s="211">
        <f t="shared" si="31"/>
        <v>0</v>
      </c>
      <c r="P98" s="171"/>
      <c r="Q98" s="299">
        <f t="shared" si="26"/>
        <v>0</v>
      </c>
    </row>
    <row r="99" spans="1:17" ht="12.75" hidden="1">
      <c r="A99" s="13" t="s">
        <v>194</v>
      </c>
      <c r="B99" s="54"/>
      <c r="C99" s="88"/>
      <c r="D99" s="69"/>
      <c r="E99" s="89"/>
      <c r="F99" s="135">
        <f t="shared" si="28"/>
        <v>0</v>
      </c>
      <c r="G99" s="169"/>
      <c r="H99" s="170"/>
      <c r="I99" s="211">
        <f t="shared" si="29"/>
        <v>0</v>
      </c>
      <c r="J99" s="169"/>
      <c r="K99" s="229"/>
      <c r="L99" s="261">
        <f t="shared" si="30"/>
        <v>0</v>
      </c>
      <c r="M99" s="243"/>
      <c r="N99" s="170"/>
      <c r="O99" s="211">
        <f t="shared" si="31"/>
        <v>0</v>
      </c>
      <c r="P99" s="171"/>
      <c r="Q99" s="299">
        <f t="shared" si="26"/>
        <v>0</v>
      </c>
    </row>
    <row r="100" spans="1:17" ht="12.75" hidden="1">
      <c r="A100" s="13" t="s">
        <v>74</v>
      </c>
      <c r="B100" s="54"/>
      <c r="C100" s="88"/>
      <c r="D100" s="69"/>
      <c r="E100" s="89"/>
      <c r="F100" s="135">
        <f t="shared" si="28"/>
        <v>0</v>
      </c>
      <c r="G100" s="169"/>
      <c r="H100" s="170"/>
      <c r="I100" s="211">
        <f t="shared" si="29"/>
        <v>0</v>
      </c>
      <c r="J100" s="169"/>
      <c r="K100" s="229"/>
      <c r="L100" s="261">
        <f t="shared" si="30"/>
        <v>0</v>
      </c>
      <c r="M100" s="243"/>
      <c r="N100" s="170"/>
      <c r="O100" s="211">
        <f t="shared" si="31"/>
        <v>0</v>
      </c>
      <c r="P100" s="171"/>
      <c r="Q100" s="299">
        <f t="shared" si="26"/>
        <v>0</v>
      </c>
    </row>
    <row r="101" spans="1:17" ht="12.75">
      <c r="A101" s="13" t="s">
        <v>236</v>
      </c>
      <c r="B101" s="54"/>
      <c r="C101" s="88">
        <v>2000</v>
      </c>
      <c r="D101" s="69"/>
      <c r="E101" s="89"/>
      <c r="F101" s="135">
        <f t="shared" si="28"/>
        <v>2000</v>
      </c>
      <c r="G101" s="169"/>
      <c r="H101" s="170"/>
      <c r="I101" s="211">
        <f t="shared" si="29"/>
        <v>2000</v>
      </c>
      <c r="J101" s="169"/>
      <c r="K101" s="229"/>
      <c r="L101" s="261">
        <f t="shared" si="30"/>
        <v>2000</v>
      </c>
      <c r="M101" s="243"/>
      <c r="N101" s="170"/>
      <c r="O101" s="211">
        <f t="shared" si="31"/>
        <v>2000</v>
      </c>
      <c r="P101" s="171"/>
      <c r="Q101" s="299">
        <f t="shared" si="26"/>
        <v>2000</v>
      </c>
    </row>
    <row r="102" spans="1:17" ht="12.75">
      <c r="A102" s="21" t="s">
        <v>66</v>
      </c>
      <c r="B102" s="57"/>
      <c r="C102" s="108">
        <v>30000</v>
      </c>
      <c r="D102" s="74">
        <f>15200.42</f>
        <v>15200.42</v>
      </c>
      <c r="E102" s="155"/>
      <c r="F102" s="164">
        <f t="shared" si="28"/>
        <v>45200.42</v>
      </c>
      <c r="G102" s="181"/>
      <c r="H102" s="182"/>
      <c r="I102" s="216">
        <f t="shared" si="29"/>
        <v>45200.42</v>
      </c>
      <c r="J102" s="181"/>
      <c r="K102" s="254"/>
      <c r="L102" s="266">
        <f t="shared" si="30"/>
        <v>45200.42</v>
      </c>
      <c r="M102" s="240"/>
      <c r="N102" s="182"/>
      <c r="O102" s="216">
        <f t="shared" si="31"/>
        <v>45200.42</v>
      </c>
      <c r="P102" s="296"/>
      <c r="Q102" s="295">
        <f t="shared" si="26"/>
        <v>45200.42</v>
      </c>
    </row>
    <row r="103" spans="1:17" ht="12.75">
      <c r="A103" s="14" t="s">
        <v>69</v>
      </c>
      <c r="B103" s="58"/>
      <c r="C103" s="84">
        <f>C104+C111</f>
        <v>17757</v>
      </c>
      <c r="D103" s="71">
        <f aca="true" t="shared" si="32" ref="D103:Q103">D104+D111</f>
        <v>376</v>
      </c>
      <c r="E103" s="85">
        <f t="shared" si="32"/>
        <v>0</v>
      </c>
      <c r="F103" s="137">
        <f t="shared" si="32"/>
        <v>18133</v>
      </c>
      <c r="G103" s="173">
        <f t="shared" si="32"/>
        <v>0</v>
      </c>
      <c r="H103" s="174">
        <f t="shared" si="32"/>
        <v>0</v>
      </c>
      <c r="I103" s="212">
        <f t="shared" si="32"/>
        <v>18133</v>
      </c>
      <c r="J103" s="173">
        <f t="shared" si="32"/>
        <v>638.03</v>
      </c>
      <c r="K103" s="230">
        <f t="shared" si="32"/>
        <v>0</v>
      </c>
      <c r="L103" s="262">
        <f t="shared" si="32"/>
        <v>18771.03</v>
      </c>
      <c r="M103" s="230">
        <f t="shared" si="32"/>
        <v>-329.9</v>
      </c>
      <c r="N103" s="174">
        <f t="shared" si="32"/>
        <v>0</v>
      </c>
      <c r="O103" s="212">
        <f t="shared" si="32"/>
        <v>18441.13</v>
      </c>
      <c r="P103" s="173">
        <f t="shared" si="32"/>
        <v>98.43</v>
      </c>
      <c r="Q103" s="212">
        <f t="shared" si="32"/>
        <v>18539.56</v>
      </c>
    </row>
    <row r="104" spans="1:17" ht="12.75">
      <c r="A104" s="19" t="s">
        <v>48</v>
      </c>
      <c r="B104" s="58"/>
      <c r="C104" s="107">
        <f>SUM(C106:C110)</f>
        <v>17757</v>
      </c>
      <c r="D104" s="73">
        <f aca="true" t="shared" si="33" ref="D104:Q104">SUM(D106:D110)</f>
        <v>376</v>
      </c>
      <c r="E104" s="123">
        <f t="shared" si="33"/>
        <v>0</v>
      </c>
      <c r="F104" s="139">
        <f t="shared" si="33"/>
        <v>18133</v>
      </c>
      <c r="G104" s="177">
        <f t="shared" si="33"/>
        <v>0</v>
      </c>
      <c r="H104" s="178">
        <f t="shared" si="33"/>
        <v>0</v>
      </c>
      <c r="I104" s="214">
        <f t="shared" si="33"/>
        <v>18133</v>
      </c>
      <c r="J104" s="177">
        <f t="shared" si="33"/>
        <v>638.03</v>
      </c>
      <c r="K104" s="218">
        <f t="shared" si="33"/>
        <v>0</v>
      </c>
      <c r="L104" s="264">
        <f t="shared" si="33"/>
        <v>18771.03</v>
      </c>
      <c r="M104" s="218">
        <f t="shared" si="33"/>
        <v>-329.9</v>
      </c>
      <c r="N104" s="178">
        <f t="shared" si="33"/>
        <v>0</v>
      </c>
      <c r="O104" s="214">
        <f t="shared" si="33"/>
        <v>18441.13</v>
      </c>
      <c r="P104" s="177">
        <f t="shared" si="33"/>
        <v>98.43</v>
      </c>
      <c r="Q104" s="214">
        <f t="shared" si="33"/>
        <v>18539.56</v>
      </c>
    </row>
    <row r="105" spans="1:17" ht="12.75">
      <c r="A105" s="15" t="s">
        <v>26</v>
      </c>
      <c r="B105" s="54"/>
      <c r="C105" s="88"/>
      <c r="D105" s="69"/>
      <c r="E105" s="89"/>
      <c r="F105" s="134"/>
      <c r="G105" s="169"/>
      <c r="H105" s="170"/>
      <c r="I105" s="210"/>
      <c r="J105" s="169"/>
      <c r="K105" s="229"/>
      <c r="L105" s="260"/>
      <c r="M105" s="243"/>
      <c r="N105" s="170"/>
      <c r="O105" s="210"/>
      <c r="P105" s="171"/>
      <c r="Q105" s="299"/>
    </row>
    <row r="106" spans="1:17" ht="12.75">
      <c r="A106" s="13" t="s">
        <v>50</v>
      </c>
      <c r="B106" s="54"/>
      <c r="C106" s="88">
        <v>17757</v>
      </c>
      <c r="D106" s="69">
        <f>376</f>
        <v>376</v>
      </c>
      <c r="E106" s="89"/>
      <c r="F106" s="135">
        <f>C106+D106+E106</f>
        <v>18133</v>
      </c>
      <c r="G106" s="169"/>
      <c r="H106" s="170"/>
      <c r="I106" s="211">
        <f>SUM(F106:H106)</f>
        <v>18133</v>
      </c>
      <c r="J106" s="169"/>
      <c r="K106" s="229"/>
      <c r="L106" s="261">
        <f>I106+J106+K106</f>
        <v>18133</v>
      </c>
      <c r="M106" s="243"/>
      <c r="N106" s="170"/>
      <c r="O106" s="211">
        <f>L106+M106+N106</f>
        <v>18133</v>
      </c>
      <c r="P106" s="171"/>
      <c r="Q106" s="299">
        <f t="shared" si="26"/>
        <v>18133</v>
      </c>
    </row>
    <row r="107" spans="1:17" ht="12.75" hidden="1">
      <c r="A107" s="153" t="s">
        <v>75</v>
      </c>
      <c r="B107" s="54">
        <v>1245</v>
      </c>
      <c r="C107" s="88"/>
      <c r="D107" s="69"/>
      <c r="E107" s="89"/>
      <c r="F107" s="135">
        <f>C107+D107+E107</f>
        <v>0</v>
      </c>
      <c r="G107" s="169"/>
      <c r="H107" s="170"/>
      <c r="I107" s="211">
        <f>SUM(F107:H107)</f>
        <v>0</v>
      </c>
      <c r="J107" s="169"/>
      <c r="K107" s="229"/>
      <c r="L107" s="261">
        <f>I107+J107+K107</f>
        <v>0</v>
      </c>
      <c r="M107" s="243"/>
      <c r="N107" s="170"/>
      <c r="O107" s="211">
        <f>L107+M107+N107</f>
        <v>0</v>
      </c>
      <c r="P107" s="171"/>
      <c r="Q107" s="299"/>
    </row>
    <row r="108" spans="1:17" ht="12.75">
      <c r="A108" s="23" t="s">
        <v>70</v>
      </c>
      <c r="B108" s="57">
        <v>33166</v>
      </c>
      <c r="C108" s="108"/>
      <c r="D108" s="74"/>
      <c r="E108" s="155"/>
      <c r="F108" s="164">
        <f>C108+D108+E108</f>
        <v>0</v>
      </c>
      <c r="G108" s="181"/>
      <c r="H108" s="182"/>
      <c r="I108" s="216">
        <f>SUM(F108:H108)</f>
        <v>0</v>
      </c>
      <c r="J108" s="181">
        <f>638.03</f>
        <v>638.03</v>
      </c>
      <c r="K108" s="254"/>
      <c r="L108" s="266">
        <f>I108+J108+K108</f>
        <v>638.03</v>
      </c>
      <c r="M108" s="240">
        <f>-329.9</f>
        <v>-329.9</v>
      </c>
      <c r="N108" s="182"/>
      <c r="O108" s="216">
        <f>L108+M108+N108</f>
        <v>308.13</v>
      </c>
      <c r="P108" s="296">
        <f>261.24-162.81</f>
        <v>98.43</v>
      </c>
      <c r="Q108" s="295">
        <f t="shared" si="26"/>
        <v>406.56</v>
      </c>
    </row>
    <row r="109" spans="1:17" ht="12.75" hidden="1">
      <c r="A109" s="23" t="s">
        <v>264</v>
      </c>
      <c r="B109" s="57">
        <v>33064</v>
      </c>
      <c r="C109" s="108"/>
      <c r="D109" s="74"/>
      <c r="E109" s="155"/>
      <c r="F109" s="164">
        <f>C109+D109+E109</f>
        <v>0</v>
      </c>
      <c r="G109" s="169"/>
      <c r="H109" s="170"/>
      <c r="I109" s="216">
        <f>SUM(F109:H109)</f>
        <v>0</v>
      </c>
      <c r="J109" s="169"/>
      <c r="K109" s="229"/>
      <c r="L109" s="266">
        <f>I109+J109+K109</f>
        <v>0</v>
      </c>
      <c r="M109" s="243"/>
      <c r="N109" s="170"/>
      <c r="O109" s="211">
        <f>L109+M109+N109</f>
        <v>0</v>
      </c>
      <c r="P109" s="171"/>
      <c r="Q109" s="299"/>
    </row>
    <row r="110" spans="1:17" ht="12.75" hidden="1">
      <c r="A110" s="17" t="s">
        <v>64</v>
      </c>
      <c r="B110" s="54"/>
      <c r="C110" s="88"/>
      <c r="D110" s="69"/>
      <c r="E110" s="89"/>
      <c r="F110" s="135">
        <f>C110+D110+E110</f>
        <v>0</v>
      </c>
      <c r="G110" s="169"/>
      <c r="H110" s="170"/>
      <c r="I110" s="216">
        <f>SUM(F110:H110)</f>
        <v>0</v>
      </c>
      <c r="J110" s="169"/>
      <c r="K110" s="229"/>
      <c r="L110" s="266">
        <f>I110+J110+K110</f>
        <v>0</v>
      </c>
      <c r="M110" s="243"/>
      <c r="N110" s="170"/>
      <c r="O110" s="211">
        <f>L110+M110+N110</f>
        <v>0</v>
      </c>
      <c r="P110" s="171"/>
      <c r="Q110" s="299">
        <f t="shared" si="26"/>
        <v>0</v>
      </c>
    </row>
    <row r="111" spans="1:17" ht="12.75" hidden="1">
      <c r="A111" s="19" t="s">
        <v>53</v>
      </c>
      <c r="B111" s="58"/>
      <c r="C111" s="107">
        <f>C113</f>
        <v>0</v>
      </c>
      <c r="D111" s="73">
        <f aca="true" t="shared" si="34" ref="D111:Q111">D113</f>
        <v>0</v>
      </c>
      <c r="E111" s="123">
        <f t="shared" si="34"/>
        <v>0</v>
      </c>
      <c r="F111" s="139">
        <f t="shared" si="34"/>
        <v>0</v>
      </c>
      <c r="G111" s="177">
        <f t="shared" si="34"/>
        <v>0</v>
      </c>
      <c r="H111" s="178">
        <f t="shared" si="34"/>
        <v>0</v>
      </c>
      <c r="I111" s="214">
        <f t="shared" si="34"/>
        <v>0</v>
      </c>
      <c r="J111" s="177">
        <f t="shared" si="34"/>
        <v>0</v>
      </c>
      <c r="K111" s="218">
        <f t="shared" si="34"/>
        <v>0</v>
      </c>
      <c r="L111" s="264">
        <f t="shared" si="34"/>
        <v>0</v>
      </c>
      <c r="M111" s="218">
        <f t="shared" si="34"/>
        <v>0</v>
      </c>
      <c r="N111" s="178">
        <f t="shared" si="34"/>
        <v>0</v>
      </c>
      <c r="O111" s="214">
        <f t="shared" si="34"/>
        <v>0</v>
      </c>
      <c r="P111" s="177">
        <f t="shared" si="34"/>
        <v>0</v>
      </c>
      <c r="Q111" s="214">
        <f t="shared" si="34"/>
        <v>0</v>
      </c>
    </row>
    <row r="112" spans="1:17" ht="12.75" hidden="1">
      <c r="A112" s="15" t="s">
        <v>26</v>
      </c>
      <c r="B112" s="54"/>
      <c r="C112" s="88"/>
      <c r="D112" s="69"/>
      <c r="E112" s="89"/>
      <c r="F112" s="134"/>
      <c r="G112" s="169"/>
      <c r="H112" s="170"/>
      <c r="I112" s="210"/>
      <c r="J112" s="169"/>
      <c r="K112" s="229"/>
      <c r="L112" s="260"/>
      <c r="M112" s="243"/>
      <c r="N112" s="170"/>
      <c r="O112" s="210"/>
      <c r="P112" s="171"/>
      <c r="Q112" s="299"/>
    </row>
    <row r="113" spans="1:17" ht="12.75" hidden="1">
      <c r="A113" s="16" t="s">
        <v>157</v>
      </c>
      <c r="B113" s="57"/>
      <c r="C113" s="108"/>
      <c r="D113" s="74"/>
      <c r="E113" s="155"/>
      <c r="F113" s="164">
        <f>C113+D113+E113</f>
        <v>0</v>
      </c>
      <c r="G113" s="181"/>
      <c r="H113" s="182"/>
      <c r="I113" s="217"/>
      <c r="J113" s="181"/>
      <c r="K113" s="254"/>
      <c r="L113" s="266">
        <f>I113+J113+K113</f>
        <v>0</v>
      </c>
      <c r="M113" s="240"/>
      <c r="N113" s="182"/>
      <c r="O113" s="216">
        <f>L113+M113+N113</f>
        <v>0</v>
      </c>
      <c r="P113" s="296"/>
      <c r="Q113" s="295">
        <f t="shared" si="26"/>
        <v>0</v>
      </c>
    </row>
    <row r="114" spans="1:17" ht="12.75">
      <c r="A114" s="10" t="s">
        <v>71</v>
      </c>
      <c r="B114" s="58"/>
      <c r="C114" s="94">
        <f>C115+C128</f>
        <v>1502319</v>
      </c>
      <c r="D114" s="68">
        <f aca="true" t="shared" si="35" ref="D114:O114">D115+D128</f>
        <v>92620.94</v>
      </c>
      <c r="E114" s="95">
        <f t="shared" si="35"/>
        <v>0</v>
      </c>
      <c r="F114" s="134">
        <f t="shared" si="35"/>
        <v>1594939.94</v>
      </c>
      <c r="G114" s="167">
        <f t="shared" si="35"/>
        <v>23264.87</v>
      </c>
      <c r="H114" s="168">
        <f t="shared" si="35"/>
        <v>0</v>
      </c>
      <c r="I114" s="210">
        <f t="shared" si="35"/>
        <v>1618204.81</v>
      </c>
      <c r="J114" s="167">
        <f t="shared" si="35"/>
        <v>324260.91</v>
      </c>
      <c r="K114" s="228">
        <f t="shared" si="35"/>
        <v>0</v>
      </c>
      <c r="L114" s="260">
        <f t="shared" si="35"/>
        <v>1942465.7199999997</v>
      </c>
      <c r="M114" s="228">
        <f t="shared" si="35"/>
        <v>51553.759999999995</v>
      </c>
      <c r="N114" s="168">
        <f t="shared" si="35"/>
        <v>0</v>
      </c>
      <c r="O114" s="210">
        <f t="shared" si="35"/>
        <v>1994019.4800000002</v>
      </c>
      <c r="P114" s="167">
        <f>P115+P128</f>
        <v>113.11999999999999</v>
      </c>
      <c r="Q114" s="210">
        <f>Q115+Q128</f>
        <v>1994132.6</v>
      </c>
    </row>
    <row r="115" spans="1:17" ht="12.75">
      <c r="A115" s="19" t="s">
        <v>48</v>
      </c>
      <c r="B115" s="58"/>
      <c r="C115" s="107">
        <f>SUM(C118:C127)</f>
        <v>1492319</v>
      </c>
      <c r="D115" s="73">
        <f aca="true" t="shared" si="36" ref="D115:O115">SUM(D118:D127)</f>
        <v>92620.94</v>
      </c>
      <c r="E115" s="123">
        <f t="shared" si="36"/>
        <v>0</v>
      </c>
      <c r="F115" s="139">
        <f t="shared" si="36"/>
        <v>1584939.94</v>
      </c>
      <c r="G115" s="177">
        <f t="shared" si="36"/>
        <v>23264.87</v>
      </c>
      <c r="H115" s="178">
        <f t="shared" si="36"/>
        <v>0</v>
      </c>
      <c r="I115" s="214">
        <f t="shared" si="36"/>
        <v>1608204.81</v>
      </c>
      <c r="J115" s="177">
        <f t="shared" si="36"/>
        <v>324260.91</v>
      </c>
      <c r="K115" s="218">
        <f t="shared" si="36"/>
        <v>0</v>
      </c>
      <c r="L115" s="264">
        <f t="shared" si="36"/>
        <v>1932465.7199999997</v>
      </c>
      <c r="M115" s="218">
        <f t="shared" si="36"/>
        <v>51553.759999999995</v>
      </c>
      <c r="N115" s="178">
        <f t="shared" si="36"/>
        <v>0</v>
      </c>
      <c r="O115" s="214">
        <f t="shared" si="36"/>
        <v>1984019.4800000002</v>
      </c>
      <c r="P115" s="177">
        <f>SUM(P118:P127)</f>
        <v>113.11999999999999</v>
      </c>
      <c r="Q115" s="214">
        <f>SUM(Q118:Q127)</f>
        <v>1984132.6</v>
      </c>
    </row>
    <row r="116" spans="1:17" ht="12.75">
      <c r="A116" s="15" t="s">
        <v>26</v>
      </c>
      <c r="B116" s="54"/>
      <c r="C116" s="88"/>
      <c r="D116" s="69"/>
      <c r="E116" s="89"/>
      <c r="F116" s="134"/>
      <c r="G116" s="169"/>
      <c r="H116" s="170"/>
      <c r="I116" s="210"/>
      <c r="J116" s="169"/>
      <c r="K116" s="229"/>
      <c r="L116" s="260"/>
      <c r="M116" s="228"/>
      <c r="N116" s="168"/>
      <c r="O116" s="210"/>
      <c r="P116" s="171"/>
      <c r="Q116" s="299"/>
    </row>
    <row r="117" spans="1:17" ht="12.75">
      <c r="A117" s="17" t="s">
        <v>295</v>
      </c>
      <c r="B117" s="54"/>
      <c r="C117" s="88">
        <f>C118+C119</f>
        <v>934819</v>
      </c>
      <c r="D117" s="69">
        <f>D118+D119</f>
        <v>72371.74</v>
      </c>
      <c r="E117" s="89">
        <f>E118+E119</f>
        <v>0</v>
      </c>
      <c r="F117" s="135">
        <f>F118+F119</f>
        <v>1007190.74</v>
      </c>
      <c r="G117" s="169">
        <f>G118+G119</f>
        <v>-1807.64</v>
      </c>
      <c r="H117" s="170"/>
      <c r="I117" s="211">
        <f aca="true" t="shared" si="37" ref="I117:Q117">I118+I119</f>
        <v>1005383.1000000001</v>
      </c>
      <c r="J117" s="169">
        <f t="shared" si="37"/>
        <v>60600.45</v>
      </c>
      <c r="K117" s="229">
        <f t="shared" si="37"/>
        <v>0</v>
      </c>
      <c r="L117" s="261">
        <f t="shared" si="37"/>
        <v>1065983.55</v>
      </c>
      <c r="M117" s="229">
        <f t="shared" si="37"/>
        <v>39240.49</v>
      </c>
      <c r="N117" s="170">
        <f t="shared" si="37"/>
        <v>0</v>
      </c>
      <c r="O117" s="211">
        <f t="shared" si="37"/>
        <v>1105224.04</v>
      </c>
      <c r="P117" s="169">
        <f t="shared" si="37"/>
        <v>15.27</v>
      </c>
      <c r="Q117" s="211">
        <f t="shared" si="37"/>
        <v>1105239.31</v>
      </c>
    </row>
    <row r="118" spans="1:18" ht="12.75">
      <c r="A118" s="17" t="s">
        <v>296</v>
      </c>
      <c r="B118" s="54"/>
      <c r="C118" s="88">
        <v>447000</v>
      </c>
      <c r="D118" s="76">
        <f>20672.61+972.6+78.87</f>
        <v>21724.079999999998</v>
      </c>
      <c r="E118" s="89"/>
      <c r="F118" s="135">
        <f aca="true" t="shared" si="38" ref="F118:F127">C118+D118+E118</f>
        <v>468724.08</v>
      </c>
      <c r="G118" s="169">
        <f>18.43+53.89-1864.96</f>
        <v>-1792.64</v>
      </c>
      <c r="H118" s="183"/>
      <c r="I118" s="211">
        <f aca="true" t="shared" si="39" ref="I118:I127">F118+G118+H118</f>
        <v>466931.44</v>
      </c>
      <c r="J118" s="169">
        <f>1800.57+80.38+2026.94+220.7+55000</f>
        <v>59128.59</v>
      </c>
      <c r="K118" s="229"/>
      <c r="L118" s="261">
        <f aca="true" t="shared" si="40" ref="L118:L127">I118+J118+K118</f>
        <v>526060.03</v>
      </c>
      <c r="M118" s="276">
        <f>-1371.33+40000+159.82</f>
        <v>38788.49</v>
      </c>
      <c r="N118" s="170"/>
      <c r="O118" s="211">
        <f aca="true" t="shared" si="41" ref="O118:O127">L118+M118+N118</f>
        <v>564848.52</v>
      </c>
      <c r="P118" s="171">
        <f>15.27</f>
        <v>15.27</v>
      </c>
      <c r="Q118" s="299">
        <f t="shared" si="26"/>
        <v>564863.79</v>
      </c>
      <c r="R118" s="286"/>
    </row>
    <row r="119" spans="1:17" ht="12.75">
      <c r="A119" s="13" t="s">
        <v>297</v>
      </c>
      <c r="B119" s="54"/>
      <c r="C119" s="88">
        <v>487819</v>
      </c>
      <c r="D119" s="69">
        <f>13900.66+36137+610</f>
        <v>50647.66</v>
      </c>
      <c r="E119" s="89"/>
      <c r="F119" s="135">
        <f t="shared" si="38"/>
        <v>538466.66</v>
      </c>
      <c r="G119" s="169">
        <f>-15</f>
        <v>-15</v>
      </c>
      <c r="H119" s="183"/>
      <c r="I119" s="211">
        <f t="shared" si="39"/>
        <v>538451.66</v>
      </c>
      <c r="J119" s="169">
        <f>1471.86</f>
        <v>1471.86</v>
      </c>
      <c r="K119" s="229"/>
      <c r="L119" s="261">
        <f t="shared" si="40"/>
        <v>539923.52</v>
      </c>
      <c r="M119" s="243">
        <f>452</f>
        <v>452</v>
      </c>
      <c r="N119" s="170"/>
      <c r="O119" s="211">
        <f t="shared" si="41"/>
        <v>540375.52</v>
      </c>
      <c r="P119" s="171"/>
      <c r="Q119" s="299">
        <f t="shared" si="26"/>
        <v>540375.52</v>
      </c>
    </row>
    <row r="120" spans="1:17" ht="12.75">
      <c r="A120" s="17" t="s">
        <v>72</v>
      </c>
      <c r="B120" s="54"/>
      <c r="C120" s="88">
        <v>28000</v>
      </c>
      <c r="D120" s="69"/>
      <c r="E120" s="89"/>
      <c r="F120" s="135">
        <f t="shared" si="38"/>
        <v>28000</v>
      </c>
      <c r="G120" s="169"/>
      <c r="H120" s="170"/>
      <c r="I120" s="211">
        <f t="shared" si="39"/>
        <v>28000</v>
      </c>
      <c r="J120" s="169"/>
      <c r="K120" s="229"/>
      <c r="L120" s="261">
        <f t="shared" si="40"/>
        <v>28000</v>
      </c>
      <c r="M120" s="243">
        <f>-2500</f>
        <v>-2500</v>
      </c>
      <c r="N120" s="170"/>
      <c r="O120" s="211">
        <f t="shared" si="41"/>
        <v>25500</v>
      </c>
      <c r="P120" s="171"/>
      <c r="Q120" s="299">
        <f t="shared" si="26"/>
        <v>25500</v>
      </c>
    </row>
    <row r="121" spans="1:17" ht="12.75" hidden="1">
      <c r="A121" s="13" t="s">
        <v>73</v>
      </c>
      <c r="B121" s="54"/>
      <c r="C121" s="88"/>
      <c r="D121" s="69"/>
      <c r="E121" s="89"/>
      <c r="F121" s="135">
        <f t="shared" si="38"/>
        <v>0</v>
      </c>
      <c r="G121" s="169"/>
      <c r="H121" s="170"/>
      <c r="I121" s="211">
        <f t="shared" si="39"/>
        <v>0</v>
      </c>
      <c r="J121" s="169"/>
      <c r="K121" s="229"/>
      <c r="L121" s="261">
        <f t="shared" si="40"/>
        <v>0</v>
      </c>
      <c r="M121" s="243"/>
      <c r="N121" s="170"/>
      <c r="O121" s="211">
        <f t="shared" si="41"/>
        <v>0</v>
      </c>
      <c r="P121" s="171"/>
      <c r="Q121" s="299">
        <f t="shared" si="26"/>
        <v>0</v>
      </c>
    </row>
    <row r="122" spans="1:17" ht="12.75">
      <c r="A122" s="13" t="s">
        <v>64</v>
      </c>
      <c r="B122" s="54"/>
      <c r="C122" s="88"/>
      <c r="D122" s="69"/>
      <c r="E122" s="89"/>
      <c r="F122" s="135">
        <f t="shared" si="38"/>
        <v>0</v>
      </c>
      <c r="G122" s="169">
        <f>1864.96</f>
        <v>1864.96</v>
      </c>
      <c r="H122" s="170"/>
      <c r="I122" s="211">
        <f t="shared" si="39"/>
        <v>1864.96</v>
      </c>
      <c r="J122" s="169"/>
      <c r="K122" s="229"/>
      <c r="L122" s="261">
        <f t="shared" si="40"/>
        <v>1864.96</v>
      </c>
      <c r="M122" s="243"/>
      <c r="N122" s="170"/>
      <c r="O122" s="211">
        <f t="shared" si="41"/>
        <v>1864.96</v>
      </c>
      <c r="P122" s="171"/>
      <c r="Q122" s="299">
        <f t="shared" si="26"/>
        <v>1864.96</v>
      </c>
    </row>
    <row r="123" spans="1:17" ht="12.75">
      <c r="A123" s="17" t="s">
        <v>320</v>
      </c>
      <c r="B123" s="54">
        <v>91252</v>
      </c>
      <c r="C123" s="88"/>
      <c r="D123" s="69">
        <f>20000</f>
        <v>20000</v>
      </c>
      <c r="E123" s="89"/>
      <c r="F123" s="135">
        <f t="shared" si="38"/>
        <v>20000</v>
      </c>
      <c r="G123" s="169">
        <f>17735.87</f>
        <v>17735.87</v>
      </c>
      <c r="H123" s="170"/>
      <c r="I123" s="211">
        <f t="shared" si="39"/>
        <v>37735.869999999995</v>
      </c>
      <c r="J123" s="169">
        <f>28130</f>
        <v>28130</v>
      </c>
      <c r="K123" s="229"/>
      <c r="L123" s="261">
        <f t="shared" si="40"/>
        <v>65865.87</v>
      </c>
      <c r="M123" s="243"/>
      <c r="N123" s="170"/>
      <c r="O123" s="211">
        <f t="shared" si="41"/>
        <v>65865.87</v>
      </c>
      <c r="P123" s="171"/>
      <c r="Q123" s="299">
        <f t="shared" si="26"/>
        <v>65865.87</v>
      </c>
    </row>
    <row r="124" spans="1:17" ht="12.75">
      <c r="A124" s="17" t="s">
        <v>377</v>
      </c>
      <c r="B124" s="54">
        <v>91252</v>
      </c>
      <c r="C124" s="88"/>
      <c r="D124" s="69"/>
      <c r="E124" s="89"/>
      <c r="F124" s="135"/>
      <c r="G124" s="169"/>
      <c r="H124" s="170"/>
      <c r="I124" s="211"/>
      <c r="J124" s="169"/>
      <c r="K124" s="229"/>
      <c r="L124" s="261">
        <f t="shared" si="40"/>
        <v>0</v>
      </c>
      <c r="M124" s="243">
        <f>2004.09</f>
        <v>2004.09</v>
      </c>
      <c r="N124" s="170"/>
      <c r="O124" s="211">
        <f t="shared" si="41"/>
        <v>2004.09</v>
      </c>
      <c r="P124" s="171"/>
      <c r="Q124" s="299">
        <f t="shared" si="26"/>
        <v>2004.09</v>
      </c>
    </row>
    <row r="125" spans="1:17" ht="12.75">
      <c r="A125" s="13" t="s">
        <v>136</v>
      </c>
      <c r="B125" s="54">
        <v>27355</v>
      </c>
      <c r="C125" s="88"/>
      <c r="D125" s="69"/>
      <c r="E125" s="89"/>
      <c r="F125" s="135">
        <f t="shared" si="38"/>
        <v>0</v>
      </c>
      <c r="G125" s="169"/>
      <c r="H125" s="170"/>
      <c r="I125" s="211">
        <f t="shared" si="39"/>
        <v>0</v>
      </c>
      <c r="J125" s="169">
        <f>225997.46</f>
        <v>225997.46</v>
      </c>
      <c r="K125" s="229"/>
      <c r="L125" s="261">
        <f t="shared" si="40"/>
        <v>225997.46</v>
      </c>
      <c r="M125" s="243"/>
      <c r="N125" s="170"/>
      <c r="O125" s="211">
        <f t="shared" si="41"/>
        <v>225997.46</v>
      </c>
      <c r="P125" s="171"/>
      <c r="Q125" s="299">
        <f t="shared" si="26"/>
        <v>225997.46</v>
      </c>
    </row>
    <row r="126" spans="1:17" ht="12.75">
      <c r="A126" s="13" t="s">
        <v>50</v>
      </c>
      <c r="B126" s="54"/>
      <c r="C126" s="88">
        <v>529500</v>
      </c>
      <c r="D126" s="69">
        <f>249.2</f>
        <v>249.2</v>
      </c>
      <c r="E126" s="89"/>
      <c r="F126" s="135">
        <f t="shared" si="38"/>
        <v>529749.2</v>
      </c>
      <c r="G126" s="169">
        <f>471.68+5000</f>
        <v>5471.68</v>
      </c>
      <c r="H126" s="170"/>
      <c r="I126" s="211">
        <f t="shared" si="39"/>
        <v>535220.88</v>
      </c>
      <c r="J126" s="169">
        <f>533+9000</f>
        <v>9533</v>
      </c>
      <c r="K126" s="229"/>
      <c r="L126" s="261">
        <f t="shared" si="40"/>
        <v>544753.88</v>
      </c>
      <c r="M126" s="243">
        <f>10000+309.18+2500</f>
        <v>12809.18</v>
      </c>
      <c r="N126" s="170"/>
      <c r="O126" s="211">
        <f t="shared" si="41"/>
        <v>557563.06</v>
      </c>
      <c r="P126" s="171">
        <f>97.85</f>
        <v>97.85</v>
      </c>
      <c r="Q126" s="299">
        <f t="shared" si="26"/>
        <v>557660.91</v>
      </c>
    </row>
    <row r="127" spans="1:17" ht="12" customHeight="1" hidden="1">
      <c r="A127" s="13" t="s">
        <v>74</v>
      </c>
      <c r="B127" s="54"/>
      <c r="C127" s="88"/>
      <c r="D127" s="69"/>
      <c r="E127" s="89"/>
      <c r="F127" s="135">
        <f t="shared" si="38"/>
        <v>0</v>
      </c>
      <c r="G127" s="169"/>
      <c r="H127" s="170"/>
      <c r="I127" s="211">
        <f t="shared" si="39"/>
        <v>0</v>
      </c>
      <c r="J127" s="169"/>
      <c r="K127" s="229"/>
      <c r="L127" s="261">
        <f t="shared" si="40"/>
        <v>0</v>
      </c>
      <c r="M127" s="243"/>
      <c r="N127" s="170"/>
      <c r="O127" s="211">
        <f t="shared" si="41"/>
        <v>0</v>
      </c>
      <c r="P127" s="171"/>
      <c r="Q127" s="299">
        <f t="shared" si="26"/>
        <v>0</v>
      </c>
    </row>
    <row r="128" spans="1:17" ht="12.75">
      <c r="A128" s="20" t="s">
        <v>53</v>
      </c>
      <c r="B128" s="58"/>
      <c r="C128" s="109">
        <f>SUM(C130:C132)</f>
        <v>10000</v>
      </c>
      <c r="D128" s="75">
        <f aca="true" t="shared" si="42" ref="D128:Q128">SUM(D130:D132)</f>
        <v>0</v>
      </c>
      <c r="E128" s="124">
        <f t="shared" si="42"/>
        <v>0</v>
      </c>
      <c r="F128" s="140">
        <f t="shared" si="42"/>
        <v>10000</v>
      </c>
      <c r="G128" s="179">
        <f t="shared" si="42"/>
        <v>0</v>
      </c>
      <c r="H128" s="180">
        <f t="shared" si="42"/>
        <v>0</v>
      </c>
      <c r="I128" s="215">
        <f t="shared" si="42"/>
        <v>10000</v>
      </c>
      <c r="J128" s="179">
        <f t="shared" si="42"/>
        <v>0</v>
      </c>
      <c r="K128" s="232">
        <f t="shared" si="42"/>
        <v>0</v>
      </c>
      <c r="L128" s="265">
        <f t="shared" si="42"/>
        <v>10000</v>
      </c>
      <c r="M128" s="232">
        <f t="shared" si="42"/>
        <v>0</v>
      </c>
      <c r="N128" s="180">
        <f t="shared" si="42"/>
        <v>0</v>
      </c>
      <c r="O128" s="215">
        <f t="shared" si="42"/>
        <v>10000</v>
      </c>
      <c r="P128" s="179">
        <f t="shared" si="42"/>
        <v>0</v>
      </c>
      <c r="Q128" s="215">
        <f t="shared" si="42"/>
        <v>10000</v>
      </c>
    </row>
    <row r="129" spans="1:17" ht="12.75">
      <c r="A129" s="11" t="s">
        <v>26</v>
      </c>
      <c r="B129" s="54"/>
      <c r="C129" s="84"/>
      <c r="D129" s="71"/>
      <c r="E129" s="85"/>
      <c r="F129" s="137"/>
      <c r="G129" s="173"/>
      <c r="H129" s="174"/>
      <c r="I129" s="212"/>
      <c r="J129" s="173"/>
      <c r="K129" s="230"/>
      <c r="L129" s="262"/>
      <c r="M129" s="278"/>
      <c r="N129" s="174"/>
      <c r="O129" s="212"/>
      <c r="P129" s="171"/>
      <c r="Q129" s="299"/>
    </row>
    <row r="130" spans="1:17" ht="12.75" hidden="1">
      <c r="A130" s="12" t="s">
        <v>54</v>
      </c>
      <c r="B130" s="57"/>
      <c r="C130" s="108"/>
      <c r="D130" s="74"/>
      <c r="E130" s="155"/>
      <c r="F130" s="164">
        <f>C130+D130+E130</f>
        <v>0</v>
      </c>
      <c r="G130" s="169"/>
      <c r="H130" s="170"/>
      <c r="I130" s="211">
        <f>F130+G130+H130</f>
        <v>0</v>
      </c>
      <c r="J130" s="169"/>
      <c r="K130" s="229"/>
      <c r="L130" s="261">
        <f>I130+J130+K130</f>
        <v>0</v>
      </c>
      <c r="M130" s="243"/>
      <c r="N130" s="170"/>
      <c r="O130" s="211">
        <f>L130+M130+N130</f>
        <v>0</v>
      </c>
      <c r="P130" s="171"/>
      <c r="Q130" s="299">
        <f t="shared" si="26"/>
        <v>0</v>
      </c>
    </row>
    <row r="131" spans="1:17" ht="12.75">
      <c r="A131" s="16" t="s">
        <v>82</v>
      </c>
      <c r="B131" s="57"/>
      <c r="C131" s="108">
        <v>10000</v>
      </c>
      <c r="D131" s="74"/>
      <c r="E131" s="155"/>
      <c r="F131" s="164">
        <f>C131+D131+E131</f>
        <v>10000</v>
      </c>
      <c r="G131" s="181"/>
      <c r="H131" s="182"/>
      <c r="I131" s="216">
        <f>F131+G131+H131</f>
        <v>10000</v>
      </c>
      <c r="J131" s="181"/>
      <c r="K131" s="254"/>
      <c r="L131" s="266">
        <f>I131+J131+K131</f>
        <v>10000</v>
      </c>
      <c r="M131" s="240"/>
      <c r="N131" s="182"/>
      <c r="O131" s="216">
        <f>L131+M131+N131</f>
        <v>10000</v>
      </c>
      <c r="P131" s="296"/>
      <c r="Q131" s="295">
        <f t="shared" si="26"/>
        <v>10000</v>
      </c>
    </row>
    <row r="132" spans="1:17" ht="12.75" hidden="1">
      <c r="A132" s="16" t="s">
        <v>75</v>
      </c>
      <c r="B132" s="57"/>
      <c r="C132" s="108"/>
      <c r="D132" s="74"/>
      <c r="E132" s="155"/>
      <c r="F132" s="164">
        <f>C132+D132+E132</f>
        <v>0</v>
      </c>
      <c r="G132" s="181"/>
      <c r="H132" s="182"/>
      <c r="I132" s="216">
        <f>F132+G132+H132</f>
        <v>0</v>
      </c>
      <c r="J132" s="181"/>
      <c r="K132" s="254"/>
      <c r="L132" s="266">
        <f>I132+J132+K132</f>
        <v>0</v>
      </c>
      <c r="M132" s="240"/>
      <c r="N132" s="182"/>
      <c r="O132" s="216">
        <f>L132+M132+N132</f>
        <v>0</v>
      </c>
      <c r="P132" s="296"/>
      <c r="Q132" s="295">
        <f t="shared" si="26"/>
        <v>0</v>
      </c>
    </row>
    <row r="133" spans="1:17" ht="12.75">
      <c r="A133" s="14" t="s">
        <v>76</v>
      </c>
      <c r="B133" s="58"/>
      <c r="C133" s="84">
        <f>C134+C139</f>
        <v>64210</v>
      </c>
      <c r="D133" s="71">
        <f aca="true" t="shared" si="43" ref="D133:O133">D134+D139</f>
        <v>9301</v>
      </c>
      <c r="E133" s="85">
        <f t="shared" si="43"/>
        <v>0</v>
      </c>
      <c r="F133" s="137">
        <f t="shared" si="43"/>
        <v>73511</v>
      </c>
      <c r="G133" s="173">
        <f t="shared" si="43"/>
        <v>29161.44</v>
      </c>
      <c r="H133" s="174">
        <f t="shared" si="43"/>
        <v>0</v>
      </c>
      <c r="I133" s="212">
        <f t="shared" si="43"/>
        <v>102672.44</v>
      </c>
      <c r="J133" s="173">
        <f t="shared" si="43"/>
        <v>16654.16</v>
      </c>
      <c r="K133" s="230">
        <f t="shared" si="43"/>
        <v>0</v>
      </c>
      <c r="L133" s="262">
        <f t="shared" si="43"/>
        <v>119326.6</v>
      </c>
      <c r="M133" s="230">
        <f t="shared" si="43"/>
        <v>17731.940000000002</v>
      </c>
      <c r="N133" s="174">
        <f t="shared" si="43"/>
        <v>0</v>
      </c>
      <c r="O133" s="212">
        <f t="shared" si="43"/>
        <v>137058.54</v>
      </c>
      <c r="P133" s="173">
        <f>P134+P139</f>
        <v>0</v>
      </c>
      <c r="Q133" s="212">
        <f>Q134+Q139</f>
        <v>137058.54</v>
      </c>
    </row>
    <row r="134" spans="1:17" ht="12.75">
      <c r="A134" s="19" t="s">
        <v>48</v>
      </c>
      <c r="B134" s="58"/>
      <c r="C134" s="107">
        <f>SUM(C136:C138)</f>
        <v>46210</v>
      </c>
      <c r="D134" s="73">
        <f aca="true" t="shared" si="44" ref="D134:O134">SUM(D136:D138)</f>
        <v>2000</v>
      </c>
      <c r="E134" s="123">
        <f t="shared" si="44"/>
        <v>0</v>
      </c>
      <c r="F134" s="139">
        <f t="shared" si="44"/>
        <v>48210</v>
      </c>
      <c r="G134" s="177">
        <f t="shared" si="44"/>
        <v>20161.44</v>
      </c>
      <c r="H134" s="178">
        <f t="shared" si="44"/>
        <v>0</v>
      </c>
      <c r="I134" s="214">
        <f t="shared" si="44"/>
        <v>68371.44</v>
      </c>
      <c r="J134" s="177">
        <f t="shared" si="44"/>
        <v>1654.16</v>
      </c>
      <c r="K134" s="218">
        <f t="shared" si="44"/>
        <v>0</v>
      </c>
      <c r="L134" s="264">
        <f t="shared" si="44"/>
        <v>70025.6</v>
      </c>
      <c r="M134" s="218">
        <f t="shared" si="44"/>
        <v>6474.780000000001</v>
      </c>
      <c r="N134" s="178">
        <f t="shared" si="44"/>
        <v>0</v>
      </c>
      <c r="O134" s="214">
        <f t="shared" si="44"/>
        <v>76500.38</v>
      </c>
      <c r="P134" s="177">
        <f>SUM(P136:P138)</f>
        <v>0</v>
      </c>
      <c r="Q134" s="214">
        <f>SUM(Q136:Q138)</f>
        <v>76500.38</v>
      </c>
    </row>
    <row r="135" spans="1:17" ht="12.75">
      <c r="A135" s="15" t="s">
        <v>26</v>
      </c>
      <c r="B135" s="54"/>
      <c r="C135" s="88"/>
      <c r="D135" s="69"/>
      <c r="E135" s="89"/>
      <c r="F135" s="134"/>
      <c r="G135" s="169"/>
      <c r="H135" s="170"/>
      <c r="I135" s="210"/>
      <c r="J135" s="169"/>
      <c r="K135" s="229"/>
      <c r="L135" s="260"/>
      <c r="M135" s="243"/>
      <c r="N135" s="170"/>
      <c r="O135" s="210"/>
      <c r="P135" s="171"/>
      <c r="Q135" s="299"/>
    </row>
    <row r="136" spans="1:17" ht="12.75">
      <c r="A136" s="13" t="s">
        <v>50</v>
      </c>
      <c r="B136" s="54"/>
      <c r="C136" s="88">
        <v>22210</v>
      </c>
      <c r="D136" s="69">
        <f>1000</f>
        <v>1000</v>
      </c>
      <c r="E136" s="89"/>
      <c r="F136" s="135">
        <f>C136+D136+E136</f>
        <v>23210</v>
      </c>
      <c r="G136" s="169">
        <f>-48.56+20210</f>
        <v>20161.44</v>
      </c>
      <c r="H136" s="170"/>
      <c r="I136" s="211">
        <f>F136+G136+H136</f>
        <v>43371.44</v>
      </c>
      <c r="J136" s="169">
        <f>1654.16</f>
        <v>1654.16</v>
      </c>
      <c r="K136" s="229"/>
      <c r="L136" s="261">
        <f>I136+J136+K136</f>
        <v>45025.600000000006</v>
      </c>
      <c r="M136" s="243">
        <f>971.14+4075.63</f>
        <v>5046.77</v>
      </c>
      <c r="N136" s="170"/>
      <c r="O136" s="211">
        <f>L136+M136+N136</f>
        <v>50072.37000000001</v>
      </c>
      <c r="P136" s="171"/>
      <c r="Q136" s="299">
        <f t="shared" si="26"/>
        <v>50072.37000000001</v>
      </c>
    </row>
    <row r="137" spans="1:17" ht="12.75" hidden="1">
      <c r="A137" s="13" t="s">
        <v>75</v>
      </c>
      <c r="B137" s="54"/>
      <c r="C137" s="88"/>
      <c r="D137" s="69"/>
      <c r="E137" s="89"/>
      <c r="F137" s="135">
        <f>C137+D137+E137</f>
        <v>0</v>
      </c>
      <c r="G137" s="169"/>
      <c r="H137" s="170"/>
      <c r="I137" s="211">
        <f>F137+G137+H137</f>
        <v>0</v>
      </c>
      <c r="J137" s="169"/>
      <c r="K137" s="229"/>
      <c r="L137" s="261">
        <f>I137+J137+K137</f>
        <v>0</v>
      </c>
      <c r="M137" s="243"/>
      <c r="N137" s="170"/>
      <c r="O137" s="211">
        <f>L137+M137+N137</f>
        <v>0</v>
      </c>
      <c r="P137" s="171"/>
      <c r="Q137" s="299">
        <f t="shared" si="26"/>
        <v>0</v>
      </c>
    </row>
    <row r="138" spans="1:17" ht="12.75">
      <c r="A138" s="13" t="s">
        <v>77</v>
      </c>
      <c r="B138" s="54"/>
      <c r="C138" s="88">
        <v>24000</v>
      </c>
      <c r="D138" s="69">
        <f>1000</f>
        <v>1000</v>
      </c>
      <c r="E138" s="89"/>
      <c r="F138" s="135">
        <f>C138+D138+E138</f>
        <v>25000</v>
      </c>
      <c r="G138" s="169"/>
      <c r="H138" s="170"/>
      <c r="I138" s="211">
        <f>F138+G138+H138</f>
        <v>25000</v>
      </c>
      <c r="J138" s="169"/>
      <c r="K138" s="229"/>
      <c r="L138" s="261">
        <f>I138+J138+K138</f>
        <v>25000</v>
      </c>
      <c r="M138" s="243">
        <f>1428.01</f>
        <v>1428.01</v>
      </c>
      <c r="N138" s="170"/>
      <c r="O138" s="211">
        <f>L138+M138+N138</f>
        <v>26428.01</v>
      </c>
      <c r="P138" s="171"/>
      <c r="Q138" s="299">
        <f>O138+P138</f>
        <v>26428.01</v>
      </c>
    </row>
    <row r="139" spans="1:17" ht="12.75">
      <c r="A139" s="20" t="s">
        <v>53</v>
      </c>
      <c r="B139" s="58"/>
      <c r="C139" s="109">
        <f>SUM(C141:C144)</f>
        <v>18000</v>
      </c>
      <c r="D139" s="75">
        <f aca="true" t="shared" si="45" ref="D139:Q139">SUM(D141:D144)</f>
        <v>7301</v>
      </c>
      <c r="E139" s="124">
        <f t="shared" si="45"/>
        <v>0</v>
      </c>
      <c r="F139" s="140">
        <f t="shared" si="45"/>
        <v>25301</v>
      </c>
      <c r="G139" s="179">
        <f t="shared" si="45"/>
        <v>9000</v>
      </c>
      <c r="H139" s="180">
        <f t="shared" si="45"/>
        <v>0</v>
      </c>
      <c r="I139" s="215">
        <f t="shared" si="45"/>
        <v>34301</v>
      </c>
      <c r="J139" s="179">
        <f t="shared" si="45"/>
        <v>15000</v>
      </c>
      <c r="K139" s="232">
        <f t="shared" si="45"/>
        <v>0</v>
      </c>
      <c r="L139" s="265">
        <f t="shared" si="45"/>
        <v>49301</v>
      </c>
      <c r="M139" s="232">
        <f t="shared" si="45"/>
        <v>11257.16</v>
      </c>
      <c r="N139" s="180">
        <f t="shared" si="45"/>
        <v>0</v>
      </c>
      <c r="O139" s="215">
        <f t="shared" si="45"/>
        <v>60558.159999999996</v>
      </c>
      <c r="P139" s="179">
        <f t="shared" si="45"/>
        <v>0</v>
      </c>
      <c r="Q139" s="215">
        <f t="shared" si="45"/>
        <v>60558.159999999996</v>
      </c>
    </row>
    <row r="140" spans="1:17" ht="12.75">
      <c r="A140" s="11" t="s">
        <v>26</v>
      </c>
      <c r="B140" s="54"/>
      <c r="C140" s="84"/>
      <c r="D140" s="71"/>
      <c r="E140" s="85"/>
      <c r="F140" s="137"/>
      <c r="G140" s="173"/>
      <c r="H140" s="174"/>
      <c r="I140" s="212"/>
      <c r="J140" s="173"/>
      <c r="K140" s="230"/>
      <c r="L140" s="262"/>
      <c r="M140" s="278"/>
      <c r="N140" s="174"/>
      <c r="O140" s="212"/>
      <c r="P140" s="171"/>
      <c r="Q140" s="299"/>
    </row>
    <row r="141" spans="1:17" ht="12.75">
      <c r="A141" s="13" t="s">
        <v>386</v>
      </c>
      <c r="B141" s="54">
        <v>98861</v>
      </c>
      <c r="C141" s="88"/>
      <c r="D141" s="69"/>
      <c r="E141" s="89"/>
      <c r="F141" s="135">
        <f>C141+D141+E141</f>
        <v>0</v>
      </c>
      <c r="G141" s="173"/>
      <c r="H141" s="174"/>
      <c r="I141" s="211"/>
      <c r="J141" s="173"/>
      <c r="K141" s="230"/>
      <c r="L141" s="261"/>
      <c r="M141" s="243">
        <f>2332.79</f>
        <v>2332.79</v>
      </c>
      <c r="N141" s="174"/>
      <c r="O141" s="211">
        <f>L141+M141+N141</f>
        <v>2332.79</v>
      </c>
      <c r="P141" s="171"/>
      <c r="Q141" s="299">
        <f>O141+P141</f>
        <v>2332.79</v>
      </c>
    </row>
    <row r="142" spans="1:17" ht="12.75" hidden="1">
      <c r="A142" s="13" t="s">
        <v>207</v>
      </c>
      <c r="B142" s="54">
        <v>7938</v>
      </c>
      <c r="C142" s="88"/>
      <c r="D142" s="69"/>
      <c r="E142" s="89"/>
      <c r="F142" s="135">
        <f>C142+D142+E142</f>
        <v>0</v>
      </c>
      <c r="G142" s="173"/>
      <c r="H142" s="174"/>
      <c r="I142" s="211"/>
      <c r="J142" s="173"/>
      <c r="K142" s="230"/>
      <c r="L142" s="261"/>
      <c r="M142" s="278"/>
      <c r="N142" s="174"/>
      <c r="O142" s="211"/>
      <c r="P142" s="171"/>
      <c r="Q142" s="299"/>
    </row>
    <row r="143" spans="1:17" ht="12.75" hidden="1">
      <c r="A143" s="13" t="s">
        <v>232</v>
      </c>
      <c r="B143" s="54"/>
      <c r="C143" s="88"/>
      <c r="D143" s="69"/>
      <c r="E143" s="89"/>
      <c r="F143" s="135">
        <f>C143+D143+E143</f>
        <v>0</v>
      </c>
      <c r="G143" s="173"/>
      <c r="H143" s="174"/>
      <c r="I143" s="211"/>
      <c r="J143" s="173"/>
      <c r="K143" s="230"/>
      <c r="L143" s="261"/>
      <c r="M143" s="278"/>
      <c r="N143" s="174"/>
      <c r="O143" s="211"/>
      <c r="P143" s="171"/>
      <c r="Q143" s="299"/>
    </row>
    <row r="144" spans="1:17" ht="12.75">
      <c r="A144" s="23" t="s">
        <v>54</v>
      </c>
      <c r="B144" s="57"/>
      <c r="C144" s="108">
        <v>18000</v>
      </c>
      <c r="D144" s="74">
        <f>5000+801+1500</f>
        <v>7301</v>
      </c>
      <c r="E144" s="155"/>
      <c r="F144" s="164">
        <f>C144+D144+E144</f>
        <v>25301</v>
      </c>
      <c r="G144" s="181">
        <f>9000</f>
        <v>9000</v>
      </c>
      <c r="H144" s="182"/>
      <c r="I144" s="216">
        <f>F144+G144+H144</f>
        <v>34301</v>
      </c>
      <c r="J144" s="181">
        <f>15000</f>
        <v>15000</v>
      </c>
      <c r="K144" s="254"/>
      <c r="L144" s="266">
        <f>I144+J144+K144</f>
        <v>49301</v>
      </c>
      <c r="M144" s="240">
        <f>13000-4075.63</f>
        <v>8924.369999999999</v>
      </c>
      <c r="N144" s="182"/>
      <c r="O144" s="216">
        <f>L144+M144+N144</f>
        <v>58225.369999999995</v>
      </c>
      <c r="P144" s="296"/>
      <c r="Q144" s="295">
        <f>O144+P144</f>
        <v>58225.369999999995</v>
      </c>
    </row>
    <row r="145" spans="1:17" ht="12.75">
      <c r="A145" s="10" t="s">
        <v>251</v>
      </c>
      <c r="B145" s="58"/>
      <c r="C145" s="94">
        <f aca="true" t="shared" si="46" ref="C145:L145">C146+C169</f>
        <v>4400.7</v>
      </c>
      <c r="D145" s="68">
        <f t="shared" si="46"/>
        <v>79010.25</v>
      </c>
      <c r="E145" s="95">
        <f t="shared" si="46"/>
        <v>0</v>
      </c>
      <c r="F145" s="134">
        <f t="shared" si="46"/>
        <v>83410.95</v>
      </c>
      <c r="G145" s="167">
        <f t="shared" si="46"/>
        <v>70027.97</v>
      </c>
      <c r="H145" s="168">
        <f t="shared" si="46"/>
        <v>0</v>
      </c>
      <c r="I145" s="210">
        <f t="shared" si="46"/>
        <v>153438.92</v>
      </c>
      <c r="J145" s="167">
        <f t="shared" si="46"/>
        <v>23955.449999999997</v>
      </c>
      <c r="K145" s="228">
        <f t="shared" si="46"/>
        <v>0</v>
      </c>
      <c r="L145" s="260">
        <f t="shared" si="46"/>
        <v>177394.37</v>
      </c>
      <c r="M145" s="228">
        <f>M146+M169</f>
        <v>10157.3</v>
      </c>
      <c r="N145" s="168">
        <f>N146+N169</f>
        <v>0</v>
      </c>
      <c r="O145" s="210">
        <f>O146+O169</f>
        <v>187551.67</v>
      </c>
      <c r="P145" s="167">
        <f>P146+P169</f>
        <v>78.5</v>
      </c>
      <c r="Q145" s="210">
        <f>Q146+Q169</f>
        <v>187630.17</v>
      </c>
    </row>
    <row r="146" spans="1:17" ht="12.75">
      <c r="A146" s="19" t="s">
        <v>48</v>
      </c>
      <c r="B146" s="58"/>
      <c r="C146" s="107">
        <f aca="true" t="shared" si="47" ref="C146:L146">SUM(C148:C168)</f>
        <v>4400.7</v>
      </c>
      <c r="D146" s="73">
        <f t="shared" si="47"/>
        <v>18161.93</v>
      </c>
      <c r="E146" s="123">
        <f t="shared" si="47"/>
        <v>0</v>
      </c>
      <c r="F146" s="139">
        <f t="shared" si="47"/>
        <v>22562.629999999997</v>
      </c>
      <c r="G146" s="177">
        <f t="shared" si="47"/>
        <v>9332.07</v>
      </c>
      <c r="H146" s="178">
        <f t="shared" si="47"/>
        <v>0</v>
      </c>
      <c r="I146" s="214">
        <f t="shared" si="47"/>
        <v>31894.700000000008</v>
      </c>
      <c r="J146" s="177">
        <f t="shared" si="47"/>
        <v>1604.83</v>
      </c>
      <c r="K146" s="218">
        <f t="shared" si="47"/>
        <v>0</v>
      </c>
      <c r="L146" s="264">
        <f t="shared" si="47"/>
        <v>33499.530000000006</v>
      </c>
      <c r="M146" s="218">
        <f>SUM(M148:M168)</f>
        <v>10144</v>
      </c>
      <c r="N146" s="178">
        <f>SUM(N148:N168)</f>
        <v>0</v>
      </c>
      <c r="O146" s="214">
        <f>SUM(O148:O168)</f>
        <v>43643.530000000006</v>
      </c>
      <c r="P146" s="177">
        <f>SUM(P148:P168)</f>
        <v>78.5</v>
      </c>
      <c r="Q146" s="214">
        <f>SUM(Q148:Q168)</f>
        <v>43722.030000000006</v>
      </c>
    </row>
    <row r="147" spans="1:17" ht="12.75">
      <c r="A147" s="11" t="s">
        <v>26</v>
      </c>
      <c r="B147" s="54"/>
      <c r="C147" s="84"/>
      <c r="D147" s="71"/>
      <c r="E147" s="85"/>
      <c r="F147" s="137"/>
      <c r="G147" s="173"/>
      <c r="H147" s="174"/>
      <c r="I147" s="212"/>
      <c r="J147" s="173"/>
      <c r="K147" s="230"/>
      <c r="L147" s="262"/>
      <c r="M147" s="278"/>
      <c r="N147" s="174"/>
      <c r="O147" s="212"/>
      <c r="P147" s="171"/>
      <c r="Q147" s="299"/>
    </row>
    <row r="148" spans="1:17" ht="12.75">
      <c r="A148" s="13" t="s">
        <v>50</v>
      </c>
      <c r="B148" s="54"/>
      <c r="C148" s="88">
        <v>3350.7</v>
      </c>
      <c r="D148" s="69">
        <f>-100</f>
        <v>-100</v>
      </c>
      <c r="E148" s="89"/>
      <c r="F148" s="135">
        <f aca="true" t="shared" si="48" ref="F148:F168">C148+D148+E148</f>
        <v>3250.7</v>
      </c>
      <c r="G148" s="169">
        <f>-100</f>
        <v>-100</v>
      </c>
      <c r="H148" s="170"/>
      <c r="I148" s="211">
        <f>F148+G148+H148</f>
        <v>3150.7</v>
      </c>
      <c r="J148" s="184">
        <f>1000</f>
        <v>1000</v>
      </c>
      <c r="K148" s="229"/>
      <c r="L148" s="261">
        <f>I148+J148+K148</f>
        <v>4150.7</v>
      </c>
      <c r="M148" s="276">
        <f>-200</f>
        <v>-200</v>
      </c>
      <c r="N148" s="170"/>
      <c r="O148" s="211">
        <f>L148+M148+N148</f>
        <v>3950.7</v>
      </c>
      <c r="P148" s="171"/>
      <c r="Q148" s="299">
        <f>O148+P148</f>
        <v>3950.7</v>
      </c>
    </row>
    <row r="149" spans="1:17" ht="12.75" hidden="1">
      <c r="A149" s="55" t="s">
        <v>282</v>
      </c>
      <c r="B149" s="54">
        <v>2042</v>
      </c>
      <c r="C149" s="88"/>
      <c r="D149" s="69"/>
      <c r="E149" s="89"/>
      <c r="F149" s="135">
        <f t="shared" si="48"/>
        <v>0</v>
      </c>
      <c r="G149" s="169"/>
      <c r="H149" s="170"/>
      <c r="I149" s="211">
        <f aca="true" t="shared" si="49" ref="I149:I168">F149+G149+H149</f>
        <v>0</v>
      </c>
      <c r="J149" s="169"/>
      <c r="K149" s="229"/>
      <c r="L149" s="261">
        <f aca="true" t="shared" si="50" ref="L149:L168">I149+J149+K149</f>
        <v>0</v>
      </c>
      <c r="M149" s="243"/>
      <c r="N149" s="170"/>
      <c r="O149" s="211">
        <f aca="true" t="shared" si="51" ref="O149:O168">L149+M149+N149</f>
        <v>0</v>
      </c>
      <c r="P149" s="171"/>
      <c r="Q149" s="299">
        <f aca="true" t="shared" si="52" ref="Q149:Q168">O149+P149</f>
        <v>0</v>
      </c>
    </row>
    <row r="150" spans="1:17" ht="12.75" hidden="1">
      <c r="A150" s="55" t="s">
        <v>283</v>
      </c>
      <c r="B150" s="54">
        <v>2045</v>
      </c>
      <c r="C150" s="88"/>
      <c r="D150" s="69"/>
      <c r="E150" s="89"/>
      <c r="F150" s="135">
        <f t="shared" si="48"/>
        <v>0</v>
      </c>
      <c r="G150" s="169"/>
      <c r="H150" s="170"/>
      <c r="I150" s="211">
        <f t="shared" si="49"/>
        <v>0</v>
      </c>
      <c r="J150" s="169"/>
      <c r="K150" s="229"/>
      <c r="L150" s="261">
        <f t="shared" si="50"/>
        <v>0</v>
      </c>
      <c r="M150" s="243"/>
      <c r="N150" s="170"/>
      <c r="O150" s="211">
        <f t="shared" si="51"/>
        <v>0</v>
      </c>
      <c r="P150" s="171"/>
      <c r="Q150" s="299">
        <f t="shared" si="52"/>
        <v>0</v>
      </c>
    </row>
    <row r="151" spans="1:17" ht="12" customHeight="1">
      <c r="A151" s="55" t="s">
        <v>329</v>
      </c>
      <c r="B151" s="54">
        <v>2046</v>
      </c>
      <c r="C151" s="88"/>
      <c r="D151" s="69">
        <f>2168.58</f>
        <v>2168.58</v>
      </c>
      <c r="E151" s="89"/>
      <c r="F151" s="135">
        <f t="shared" si="48"/>
        <v>2168.58</v>
      </c>
      <c r="G151" s="169"/>
      <c r="H151" s="170"/>
      <c r="I151" s="211">
        <f t="shared" si="49"/>
        <v>2168.58</v>
      </c>
      <c r="J151" s="169"/>
      <c r="K151" s="229"/>
      <c r="L151" s="261">
        <f t="shared" si="50"/>
        <v>2168.58</v>
      </c>
      <c r="M151" s="243"/>
      <c r="N151" s="170"/>
      <c r="O151" s="211">
        <f t="shared" si="51"/>
        <v>2168.58</v>
      </c>
      <c r="P151" s="171"/>
      <c r="Q151" s="299">
        <f t="shared" si="52"/>
        <v>2168.58</v>
      </c>
    </row>
    <row r="152" spans="1:17" ht="12" customHeight="1">
      <c r="A152" s="55" t="s">
        <v>334</v>
      </c>
      <c r="B152" s="54"/>
      <c r="C152" s="88"/>
      <c r="D152" s="69"/>
      <c r="E152" s="89"/>
      <c r="F152" s="135">
        <f t="shared" si="48"/>
        <v>0</v>
      </c>
      <c r="G152" s="169">
        <f>5884.29</f>
        <v>5884.29</v>
      </c>
      <c r="H152" s="170"/>
      <c r="I152" s="211">
        <f t="shared" si="49"/>
        <v>5884.29</v>
      </c>
      <c r="J152" s="169"/>
      <c r="K152" s="229"/>
      <c r="L152" s="261">
        <f t="shared" si="50"/>
        <v>5884.29</v>
      </c>
      <c r="M152" s="243">
        <f>3910</f>
        <v>3910</v>
      </c>
      <c r="N152" s="170"/>
      <c r="O152" s="211">
        <f t="shared" si="51"/>
        <v>9794.29</v>
      </c>
      <c r="P152" s="171"/>
      <c r="Q152" s="299">
        <f t="shared" si="52"/>
        <v>9794.29</v>
      </c>
    </row>
    <row r="153" spans="1:17" ht="12.75">
      <c r="A153" s="55" t="s">
        <v>330</v>
      </c>
      <c r="B153" s="54">
        <v>2016</v>
      </c>
      <c r="C153" s="88"/>
      <c r="D153" s="69">
        <f>1499.04</f>
        <v>1499.04</v>
      </c>
      <c r="E153" s="89"/>
      <c r="F153" s="135">
        <f t="shared" si="48"/>
        <v>1499.04</v>
      </c>
      <c r="G153" s="169"/>
      <c r="H153" s="170"/>
      <c r="I153" s="211">
        <f t="shared" si="49"/>
        <v>1499.04</v>
      </c>
      <c r="J153" s="169"/>
      <c r="K153" s="229"/>
      <c r="L153" s="261">
        <f t="shared" si="50"/>
        <v>1499.04</v>
      </c>
      <c r="M153" s="243"/>
      <c r="N153" s="170"/>
      <c r="O153" s="211">
        <f t="shared" si="51"/>
        <v>1499.04</v>
      </c>
      <c r="P153" s="171"/>
      <c r="Q153" s="299">
        <f t="shared" si="52"/>
        <v>1499.04</v>
      </c>
    </row>
    <row r="154" spans="1:17" ht="12.75">
      <c r="A154" s="55" t="s">
        <v>306</v>
      </c>
      <c r="B154" s="54"/>
      <c r="C154" s="88"/>
      <c r="D154" s="69">
        <f>614.77</f>
        <v>614.77</v>
      </c>
      <c r="E154" s="89"/>
      <c r="F154" s="135">
        <f t="shared" si="48"/>
        <v>614.77</v>
      </c>
      <c r="G154" s="169"/>
      <c r="H154" s="170"/>
      <c r="I154" s="211">
        <f t="shared" si="49"/>
        <v>614.77</v>
      </c>
      <c r="J154" s="169"/>
      <c r="K154" s="229"/>
      <c r="L154" s="261">
        <f t="shared" si="50"/>
        <v>614.77</v>
      </c>
      <c r="M154" s="243"/>
      <c r="N154" s="170"/>
      <c r="O154" s="211">
        <f t="shared" si="51"/>
        <v>614.77</v>
      </c>
      <c r="P154" s="171"/>
      <c r="Q154" s="299">
        <f t="shared" si="52"/>
        <v>614.77</v>
      </c>
    </row>
    <row r="155" spans="1:17" ht="12.75" hidden="1">
      <c r="A155" s="22" t="s">
        <v>323</v>
      </c>
      <c r="B155" s="54">
        <v>2064</v>
      </c>
      <c r="C155" s="88"/>
      <c r="D155" s="69">
        <f>20.96</f>
        <v>20.96</v>
      </c>
      <c r="E155" s="89"/>
      <c r="F155" s="135">
        <f t="shared" si="48"/>
        <v>20.96</v>
      </c>
      <c r="G155" s="169">
        <f>102.5</f>
        <v>102.5</v>
      </c>
      <c r="H155" s="170"/>
      <c r="I155" s="211">
        <f t="shared" si="49"/>
        <v>123.46000000000001</v>
      </c>
      <c r="J155" s="169">
        <f>-102.5-20.96</f>
        <v>-123.46000000000001</v>
      </c>
      <c r="K155" s="229"/>
      <c r="L155" s="261">
        <f t="shared" si="50"/>
        <v>0</v>
      </c>
      <c r="M155" s="243"/>
      <c r="N155" s="170"/>
      <c r="O155" s="211">
        <f t="shared" si="51"/>
        <v>0</v>
      </c>
      <c r="P155" s="171"/>
      <c r="Q155" s="299">
        <f t="shared" si="52"/>
        <v>0</v>
      </c>
    </row>
    <row r="156" spans="1:17" ht="12.75">
      <c r="A156" s="22" t="s">
        <v>324</v>
      </c>
      <c r="B156" s="54">
        <v>2079</v>
      </c>
      <c r="C156" s="88"/>
      <c r="D156" s="69">
        <f>3750</f>
        <v>3750</v>
      </c>
      <c r="E156" s="89"/>
      <c r="F156" s="135">
        <f t="shared" si="48"/>
        <v>3750</v>
      </c>
      <c r="G156" s="169">
        <f>34.92</f>
        <v>34.92</v>
      </c>
      <c r="H156" s="170"/>
      <c r="I156" s="211">
        <f t="shared" si="49"/>
        <v>3784.92</v>
      </c>
      <c r="J156" s="169">
        <f>12.31</f>
        <v>12.31</v>
      </c>
      <c r="K156" s="229"/>
      <c r="L156" s="261">
        <f t="shared" si="50"/>
        <v>3797.23</v>
      </c>
      <c r="M156" s="243">
        <f>15.73</f>
        <v>15.73</v>
      </c>
      <c r="N156" s="170"/>
      <c r="O156" s="211">
        <f t="shared" si="51"/>
        <v>3812.96</v>
      </c>
      <c r="P156" s="171"/>
      <c r="Q156" s="299">
        <f t="shared" si="52"/>
        <v>3812.96</v>
      </c>
    </row>
    <row r="157" spans="1:17" ht="12.75">
      <c r="A157" s="55" t="s">
        <v>289</v>
      </c>
      <c r="B157" s="54">
        <v>2079</v>
      </c>
      <c r="C157" s="88"/>
      <c r="D157" s="69"/>
      <c r="E157" s="89"/>
      <c r="F157" s="135">
        <f t="shared" si="48"/>
        <v>0</v>
      </c>
      <c r="G157" s="169">
        <f>185.49</f>
        <v>185.49</v>
      </c>
      <c r="H157" s="170"/>
      <c r="I157" s="211">
        <f t="shared" si="49"/>
        <v>185.49</v>
      </c>
      <c r="J157" s="169">
        <f>-34.1</f>
        <v>-34.1</v>
      </c>
      <c r="K157" s="229"/>
      <c r="L157" s="261">
        <f t="shared" si="50"/>
        <v>151.39000000000001</v>
      </c>
      <c r="M157" s="243"/>
      <c r="N157" s="170"/>
      <c r="O157" s="211">
        <f t="shared" si="51"/>
        <v>151.39000000000001</v>
      </c>
      <c r="P157" s="171"/>
      <c r="Q157" s="299">
        <f t="shared" si="52"/>
        <v>151.39000000000001</v>
      </c>
    </row>
    <row r="158" spans="1:17" ht="12.75" hidden="1">
      <c r="A158" s="22" t="s">
        <v>325</v>
      </c>
      <c r="B158" s="54">
        <v>2067</v>
      </c>
      <c r="C158" s="88"/>
      <c r="D158" s="69"/>
      <c r="E158" s="89"/>
      <c r="F158" s="135">
        <f t="shared" si="48"/>
        <v>0</v>
      </c>
      <c r="G158" s="169"/>
      <c r="H158" s="170"/>
      <c r="I158" s="211">
        <f t="shared" si="49"/>
        <v>0</v>
      </c>
      <c r="J158" s="169"/>
      <c r="K158" s="229"/>
      <c r="L158" s="261">
        <f t="shared" si="50"/>
        <v>0</v>
      </c>
      <c r="M158" s="243"/>
      <c r="N158" s="170"/>
      <c r="O158" s="211">
        <f t="shared" si="51"/>
        <v>0</v>
      </c>
      <c r="P158" s="171"/>
      <c r="Q158" s="299">
        <f t="shared" si="52"/>
        <v>0</v>
      </c>
    </row>
    <row r="159" spans="1:17" ht="12.75" hidden="1">
      <c r="A159" s="55" t="s">
        <v>281</v>
      </c>
      <c r="B159" s="54">
        <v>2067</v>
      </c>
      <c r="C159" s="88"/>
      <c r="D159" s="69"/>
      <c r="E159" s="89"/>
      <c r="F159" s="135">
        <f t="shared" si="48"/>
        <v>0</v>
      </c>
      <c r="G159" s="169"/>
      <c r="H159" s="170"/>
      <c r="I159" s="211">
        <f t="shared" si="49"/>
        <v>0</v>
      </c>
      <c r="J159" s="169"/>
      <c r="K159" s="229"/>
      <c r="L159" s="261">
        <f t="shared" si="50"/>
        <v>0</v>
      </c>
      <c r="M159" s="243"/>
      <c r="N159" s="170"/>
      <c r="O159" s="211">
        <f t="shared" si="51"/>
        <v>0</v>
      </c>
      <c r="P159" s="171"/>
      <c r="Q159" s="299">
        <f t="shared" si="52"/>
        <v>0</v>
      </c>
    </row>
    <row r="160" spans="1:17" ht="12.75">
      <c r="A160" s="55" t="s">
        <v>326</v>
      </c>
      <c r="B160" s="54">
        <v>2074</v>
      </c>
      <c r="C160" s="88"/>
      <c r="D160" s="69">
        <f>1621.81</f>
        <v>1621.81</v>
      </c>
      <c r="E160" s="89"/>
      <c r="F160" s="135">
        <f t="shared" si="48"/>
        <v>1621.81</v>
      </c>
      <c r="G160" s="169"/>
      <c r="H160" s="170"/>
      <c r="I160" s="211">
        <f t="shared" si="49"/>
        <v>1621.81</v>
      </c>
      <c r="J160" s="169"/>
      <c r="K160" s="229"/>
      <c r="L160" s="261">
        <f t="shared" si="50"/>
        <v>1621.81</v>
      </c>
      <c r="M160" s="243"/>
      <c r="N160" s="170"/>
      <c r="O160" s="211">
        <f t="shared" si="51"/>
        <v>1621.81</v>
      </c>
      <c r="P160" s="171"/>
      <c r="Q160" s="299">
        <f t="shared" si="52"/>
        <v>1621.81</v>
      </c>
    </row>
    <row r="161" spans="1:17" ht="12.75">
      <c r="A161" s="55" t="s">
        <v>291</v>
      </c>
      <c r="B161" s="54">
        <v>2074</v>
      </c>
      <c r="C161" s="88"/>
      <c r="D161" s="69"/>
      <c r="E161" s="89"/>
      <c r="F161" s="135">
        <f t="shared" si="48"/>
        <v>0</v>
      </c>
      <c r="G161" s="169">
        <f>1340.02</f>
        <v>1340.02</v>
      </c>
      <c r="H161" s="170"/>
      <c r="I161" s="211">
        <f t="shared" si="49"/>
        <v>1340.02</v>
      </c>
      <c r="J161" s="169"/>
      <c r="K161" s="229"/>
      <c r="L161" s="261">
        <f t="shared" si="50"/>
        <v>1340.02</v>
      </c>
      <c r="M161" s="243"/>
      <c r="N161" s="170"/>
      <c r="O161" s="211">
        <f t="shared" si="51"/>
        <v>1340.02</v>
      </c>
      <c r="P161" s="171"/>
      <c r="Q161" s="299">
        <f t="shared" si="52"/>
        <v>1340.02</v>
      </c>
    </row>
    <row r="162" spans="1:17" ht="12.75" hidden="1">
      <c r="A162" s="55" t="s">
        <v>359</v>
      </c>
      <c r="B162" s="54">
        <v>1501</v>
      </c>
      <c r="C162" s="88"/>
      <c r="D162" s="69"/>
      <c r="E162" s="89"/>
      <c r="F162" s="135"/>
      <c r="G162" s="169"/>
      <c r="H162" s="170"/>
      <c r="I162" s="211">
        <f t="shared" si="49"/>
        <v>0</v>
      </c>
      <c r="J162" s="169"/>
      <c r="K162" s="229"/>
      <c r="L162" s="261">
        <f t="shared" si="50"/>
        <v>0</v>
      </c>
      <c r="M162" s="243"/>
      <c r="N162" s="170"/>
      <c r="O162" s="211">
        <f t="shared" si="51"/>
        <v>0</v>
      </c>
      <c r="P162" s="171"/>
      <c r="Q162" s="299">
        <f t="shared" si="52"/>
        <v>0</v>
      </c>
    </row>
    <row r="163" spans="1:17" ht="12.75" hidden="1">
      <c r="A163" s="22" t="s">
        <v>327</v>
      </c>
      <c r="B163" s="54">
        <v>2068</v>
      </c>
      <c r="C163" s="88"/>
      <c r="D163" s="69"/>
      <c r="E163" s="89"/>
      <c r="F163" s="135">
        <f t="shared" si="48"/>
        <v>0</v>
      </c>
      <c r="G163" s="169"/>
      <c r="H163" s="170"/>
      <c r="I163" s="211">
        <f t="shared" si="49"/>
        <v>0</v>
      </c>
      <c r="J163" s="169"/>
      <c r="K163" s="229"/>
      <c r="L163" s="261">
        <f t="shared" si="50"/>
        <v>0</v>
      </c>
      <c r="M163" s="243"/>
      <c r="N163" s="170"/>
      <c r="O163" s="211">
        <f t="shared" si="51"/>
        <v>0</v>
      </c>
      <c r="P163" s="171"/>
      <c r="Q163" s="299">
        <f t="shared" si="52"/>
        <v>0</v>
      </c>
    </row>
    <row r="164" spans="1:17" ht="12.75" hidden="1">
      <c r="A164" s="22" t="s">
        <v>328</v>
      </c>
      <c r="B164" s="54">
        <v>2242</v>
      </c>
      <c r="C164" s="88"/>
      <c r="D164" s="69"/>
      <c r="E164" s="89"/>
      <c r="F164" s="135">
        <f t="shared" si="48"/>
        <v>0</v>
      </c>
      <c r="G164" s="169"/>
      <c r="H164" s="170"/>
      <c r="I164" s="211">
        <f t="shared" si="49"/>
        <v>0</v>
      </c>
      <c r="J164" s="169"/>
      <c r="K164" s="229"/>
      <c r="L164" s="261">
        <f t="shared" si="50"/>
        <v>0</v>
      </c>
      <c r="M164" s="243"/>
      <c r="N164" s="170"/>
      <c r="O164" s="211">
        <f t="shared" si="51"/>
        <v>0</v>
      </c>
      <c r="P164" s="171"/>
      <c r="Q164" s="299">
        <f t="shared" si="52"/>
        <v>0</v>
      </c>
    </row>
    <row r="165" spans="1:17" ht="12.75">
      <c r="A165" s="22" t="s">
        <v>331</v>
      </c>
      <c r="B165" s="54">
        <v>2071</v>
      </c>
      <c r="C165" s="88"/>
      <c r="D165" s="69">
        <f>328.83</f>
        <v>328.83</v>
      </c>
      <c r="E165" s="89"/>
      <c r="F165" s="135">
        <f t="shared" si="48"/>
        <v>328.83</v>
      </c>
      <c r="G165" s="169"/>
      <c r="H165" s="170"/>
      <c r="I165" s="211">
        <f t="shared" si="49"/>
        <v>328.83</v>
      </c>
      <c r="J165" s="169"/>
      <c r="K165" s="229"/>
      <c r="L165" s="261">
        <f t="shared" si="50"/>
        <v>328.83</v>
      </c>
      <c r="M165" s="243">
        <f>4490.77</f>
        <v>4490.77</v>
      </c>
      <c r="N165" s="170"/>
      <c r="O165" s="211">
        <f t="shared" si="51"/>
        <v>4819.6</v>
      </c>
      <c r="P165" s="171"/>
      <c r="Q165" s="299">
        <f t="shared" si="52"/>
        <v>4819.6</v>
      </c>
    </row>
    <row r="166" spans="1:17" ht="12.75">
      <c r="A166" s="55" t="s">
        <v>371</v>
      </c>
      <c r="B166" s="54">
        <v>2072</v>
      </c>
      <c r="C166" s="88"/>
      <c r="D166" s="69"/>
      <c r="E166" s="89"/>
      <c r="F166" s="135"/>
      <c r="G166" s="169"/>
      <c r="H166" s="170"/>
      <c r="I166" s="211"/>
      <c r="J166" s="169"/>
      <c r="K166" s="229"/>
      <c r="L166" s="261">
        <f t="shared" si="50"/>
        <v>0</v>
      </c>
      <c r="M166" s="243">
        <f>1600</f>
        <v>1600</v>
      </c>
      <c r="N166" s="170"/>
      <c r="O166" s="211">
        <f t="shared" si="51"/>
        <v>1600</v>
      </c>
      <c r="P166" s="171"/>
      <c r="Q166" s="299">
        <f t="shared" si="52"/>
        <v>1600</v>
      </c>
    </row>
    <row r="167" spans="1:17" ht="12.75" hidden="1">
      <c r="A167" s="55" t="s">
        <v>346</v>
      </c>
      <c r="B167" s="54">
        <v>2052</v>
      </c>
      <c r="C167" s="88"/>
      <c r="D167" s="69"/>
      <c r="E167" s="89"/>
      <c r="F167" s="135">
        <f t="shared" si="48"/>
        <v>0</v>
      </c>
      <c r="G167" s="169"/>
      <c r="H167" s="170"/>
      <c r="I167" s="211">
        <f t="shared" si="49"/>
        <v>0</v>
      </c>
      <c r="J167" s="169"/>
      <c r="K167" s="229"/>
      <c r="L167" s="261">
        <f t="shared" si="50"/>
        <v>0</v>
      </c>
      <c r="M167" s="243"/>
      <c r="N167" s="170"/>
      <c r="O167" s="211">
        <f t="shared" si="51"/>
        <v>0</v>
      </c>
      <c r="P167" s="171"/>
      <c r="Q167" s="299">
        <f t="shared" si="52"/>
        <v>0</v>
      </c>
    </row>
    <row r="168" spans="1:17" ht="12.75">
      <c r="A168" s="13" t="s">
        <v>75</v>
      </c>
      <c r="B168" s="54"/>
      <c r="C168" s="88">
        <v>1050</v>
      </c>
      <c r="D168" s="69">
        <f>914+100+5650.67+130.6+940.53+522.14</f>
        <v>8257.94</v>
      </c>
      <c r="E168" s="89"/>
      <c r="F168" s="135">
        <f t="shared" si="48"/>
        <v>9307.94</v>
      </c>
      <c r="G168" s="169">
        <f>15.83+269.02+1600</f>
        <v>1884.85</v>
      </c>
      <c r="H168" s="170"/>
      <c r="I168" s="211">
        <f t="shared" si="49"/>
        <v>11192.79</v>
      </c>
      <c r="J168" s="169">
        <f>102.5+294.23+17.31+17.5+297.58+20.96</f>
        <v>750.08</v>
      </c>
      <c r="K168" s="229"/>
      <c r="L168" s="261">
        <f t="shared" si="50"/>
        <v>11942.87</v>
      </c>
      <c r="M168" s="243">
        <f>127.5+200</f>
        <v>327.5</v>
      </c>
      <c r="N168" s="170"/>
      <c r="O168" s="211">
        <f t="shared" si="51"/>
        <v>12270.37</v>
      </c>
      <c r="P168" s="307">
        <f>4.36+74.14</f>
        <v>78.5</v>
      </c>
      <c r="Q168" s="299">
        <f t="shared" si="52"/>
        <v>12348.87</v>
      </c>
    </row>
    <row r="169" spans="1:17" ht="12.75">
      <c r="A169" s="20" t="s">
        <v>53</v>
      </c>
      <c r="B169" s="58"/>
      <c r="C169" s="109">
        <f aca="true" t="shared" si="53" ref="C169:Q169">SUM(C171:C179)</f>
        <v>0</v>
      </c>
      <c r="D169" s="75">
        <f t="shared" si="53"/>
        <v>60848.32</v>
      </c>
      <c r="E169" s="124">
        <f t="shared" si="53"/>
        <v>0</v>
      </c>
      <c r="F169" s="140">
        <f t="shared" si="53"/>
        <v>60848.32</v>
      </c>
      <c r="G169" s="179">
        <f t="shared" si="53"/>
        <v>60695.899999999994</v>
      </c>
      <c r="H169" s="180">
        <f t="shared" si="53"/>
        <v>0</v>
      </c>
      <c r="I169" s="215">
        <f t="shared" si="53"/>
        <v>121544.22</v>
      </c>
      <c r="J169" s="179">
        <f t="shared" si="53"/>
        <v>22350.62</v>
      </c>
      <c r="K169" s="232">
        <f t="shared" si="53"/>
        <v>0</v>
      </c>
      <c r="L169" s="265">
        <f t="shared" si="53"/>
        <v>143894.84</v>
      </c>
      <c r="M169" s="232">
        <f t="shared" si="53"/>
        <v>13.3</v>
      </c>
      <c r="N169" s="180">
        <f t="shared" si="53"/>
        <v>0</v>
      </c>
      <c r="O169" s="215">
        <f t="shared" si="53"/>
        <v>143908.14</v>
      </c>
      <c r="P169" s="179">
        <f t="shared" si="53"/>
        <v>0</v>
      </c>
      <c r="Q169" s="215">
        <f t="shared" si="53"/>
        <v>143908.14</v>
      </c>
    </row>
    <row r="170" spans="1:17" ht="12.75">
      <c r="A170" s="22" t="s">
        <v>26</v>
      </c>
      <c r="B170" s="54"/>
      <c r="C170" s="88"/>
      <c r="D170" s="69"/>
      <c r="E170" s="89"/>
      <c r="F170" s="135"/>
      <c r="G170" s="169"/>
      <c r="H170" s="170"/>
      <c r="I170" s="211"/>
      <c r="J170" s="169"/>
      <c r="K170" s="229"/>
      <c r="L170" s="261"/>
      <c r="M170" s="243"/>
      <c r="N170" s="170"/>
      <c r="O170" s="211"/>
      <c r="P170" s="171"/>
      <c r="Q170" s="299"/>
    </row>
    <row r="171" spans="1:17" ht="12.75" hidden="1">
      <c r="A171" s="22" t="s">
        <v>290</v>
      </c>
      <c r="B171" s="54">
        <v>2057</v>
      </c>
      <c r="C171" s="88"/>
      <c r="D171" s="69"/>
      <c r="E171" s="89"/>
      <c r="F171" s="135">
        <f aca="true" t="shared" si="54" ref="F171:F179">C171+D171+E171</f>
        <v>0</v>
      </c>
      <c r="G171" s="169"/>
      <c r="H171" s="170"/>
      <c r="I171" s="211">
        <f aca="true" t="shared" si="55" ref="I171:I179">F171+G171+H171</f>
        <v>0</v>
      </c>
      <c r="J171" s="169"/>
      <c r="K171" s="229"/>
      <c r="L171" s="261">
        <f>I171+J171+K171</f>
        <v>0</v>
      </c>
      <c r="M171" s="243"/>
      <c r="N171" s="170"/>
      <c r="O171" s="211">
        <f aca="true" t="shared" si="56" ref="O171:O179">L171+M171+N171</f>
        <v>0</v>
      </c>
      <c r="P171" s="171"/>
      <c r="Q171" s="299">
        <f>O171+P171</f>
        <v>0</v>
      </c>
    </row>
    <row r="172" spans="1:17" ht="12.75" hidden="1">
      <c r="A172" s="22" t="s">
        <v>284</v>
      </c>
      <c r="B172" s="54">
        <v>2064</v>
      </c>
      <c r="C172" s="88"/>
      <c r="D172" s="69"/>
      <c r="E172" s="89"/>
      <c r="F172" s="135">
        <f t="shared" si="54"/>
        <v>0</v>
      </c>
      <c r="G172" s="169"/>
      <c r="H172" s="170"/>
      <c r="I172" s="211">
        <f t="shared" si="55"/>
        <v>0</v>
      </c>
      <c r="J172" s="169"/>
      <c r="K172" s="229"/>
      <c r="L172" s="261">
        <f>I172+J172+K172</f>
        <v>0</v>
      </c>
      <c r="M172" s="243"/>
      <c r="N172" s="170"/>
      <c r="O172" s="211">
        <f t="shared" si="56"/>
        <v>0</v>
      </c>
      <c r="P172" s="171"/>
      <c r="Q172" s="299"/>
    </row>
    <row r="173" spans="1:17" ht="12.75">
      <c r="A173" s="22" t="s">
        <v>324</v>
      </c>
      <c r="B173" s="54">
        <v>2079</v>
      </c>
      <c r="C173" s="88"/>
      <c r="D173" s="69">
        <f>60848.32</f>
        <v>60848.32</v>
      </c>
      <c r="E173" s="89"/>
      <c r="F173" s="135">
        <f t="shared" si="54"/>
        <v>60848.32</v>
      </c>
      <c r="G173" s="169"/>
      <c r="H173" s="170"/>
      <c r="I173" s="211">
        <f t="shared" si="55"/>
        <v>60848.32</v>
      </c>
      <c r="J173" s="169"/>
      <c r="K173" s="229"/>
      <c r="L173" s="261">
        <f aca="true" t="shared" si="57" ref="L173:L179">I173+J173+K173</f>
        <v>60848.32</v>
      </c>
      <c r="M173" s="243"/>
      <c r="N173" s="170"/>
      <c r="O173" s="211">
        <f t="shared" si="56"/>
        <v>60848.32</v>
      </c>
      <c r="P173" s="171"/>
      <c r="Q173" s="299">
        <f aca="true" t="shared" si="58" ref="Q173:Q179">O173+P173</f>
        <v>60848.32</v>
      </c>
    </row>
    <row r="174" spans="1:17" ht="12.75">
      <c r="A174" s="55" t="s">
        <v>289</v>
      </c>
      <c r="B174" s="54">
        <v>2079</v>
      </c>
      <c r="C174" s="88"/>
      <c r="D174" s="69"/>
      <c r="E174" s="89"/>
      <c r="F174" s="135">
        <f t="shared" si="54"/>
        <v>0</v>
      </c>
      <c r="G174" s="169">
        <f>3826.81</f>
        <v>3826.81</v>
      </c>
      <c r="H174" s="170"/>
      <c r="I174" s="211">
        <f t="shared" si="55"/>
        <v>3826.81</v>
      </c>
      <c r="J174" s="169">
        <f>34.1</f>
        <v>34.1</v>
      </c>
      <c r="K174" s="229"/>
      <c r="L174" s="261">
        <f t="shared" si="57"/>
        <v>3860.91</v>
      </c>
      <c r="M174" s="243"/>
      <c r="N174" s="170"/>
      <c r="O174" s="211">
        <f t="shared" si="56"/>
        <v>3860.91</v>
      </c>
      <c r="P174" s="171"/>
      <c r="Q174" s="299">
        <f t="shared" si="58"/>
        <v>3860.91</v>
      </c>
    </row>
    <row r="175" spans="1:17" ht="12.75" hidden="1">
      <c r="A175" s="22" t="s">
        <v>378</v>
      </c>
      <c r="B175" s="54"/>
      <c r="C175" s="88"/>
      <c r="D175" s="69"/>
      <c r="E175" s="89"/>
      <c r="F175" s="135"/>
      <c r="G175" s="169"/>
      <c r="H175" s="170"/>
      <c r="I175" s="211"/>
      <c r="J175" s="169"/>
      <c r="K175" s="229"/>
      <c r="L175" s="261">
        <f t="shared" si="57"/>
        <v>0</v>
      </c>
      <c r="M175" s="243"/>
      <c r="N175" s="170"/>
      <c r="O175" s="211">
        <f t="shared" si="56"/>
        <v>0</v>
      </c>
      <c r="P175" s="171"/>
      <c r="Q175" s="299">
        <f t="shared" si="58"/>
        <v>0</v>
      </c>
    </row>
    <row r="176" spans="1:17" ht="12.75">
      <c r="A176" s="55" t="s">
        <v>345</v>
      </c>
      <c r="B176" s="54">
        <v>2084</v>
      </c>
      <c r="C176" s="88"/>
      <c r="D176" s="69"/>
      <c r="E176" s="89"/>
      <c r="F176" s="135">
        <f t="shared" si="54"/>
        <v>0</v>
      </c>
      <c r="G176" s="169">
        <f>56769.09</f>
        <v>56769.09</v>
      </c>
      <c r="H176" s="170"/>
      <c r="I176" s="211">
        <f t="shared" si="55"/>
        <v>56769.09</v>
      </c>
      <c r="J176" s="169">
        <f>22306.19</f>
        <v>22306.19</v>
      </c>
      <c r="K176" s="229"/>
      <c r="L176" s="261">
        <f t="shared" si="57"/>
        <v>79075.28</v>
      </c>
      <c r="M176" s="243"/>
      <c r="N176" s="170"/>
      <c r="O176" s="211">
        <f t="shared" si="56"/>
        <v>79075.28</v>
      </c>
      <c r="P176" s="171"/>
      <c r="Q176" s="299">
        <f t="shared" si="58"/>
        <v>79075.28</v>
      </c>
    </row>
    <row r="177" spans="1:17" ht="12.75" hidden="1">
      <c r="A177" s="13" t="s">
        <v>68</v>
      </c>
      <c r="B177" s="54"/>
      <c r="C177" s="88"/>
      <c r="D177" s="69"/>
      <c r="E177" s="89"/>
      <c r="F177" s="135">
        <f t="shared" si="54"/>
        <v>0</v>
      </c>
      <c r="G177" s="169"/>
      <c r="H177" s="170"/>
      <c r="I177" s="211">
        <f t="shared" si="55"/>
        <v>0</v>
      </c>
      <c r="J177" s="169"/>
      <c r="K177" s="229"/>
      <c r="L177" s="261">
        <f t="shared" si="57"/>
        <v>0</v>
      </c>
      <c r="M177" s="243"/>
      <c r="N177" s="170"/>
      <c r="O177" s="211">
        <f t="shared" si="56"/>
        <v>0</v>
      </c>
      <c r="P177" s="171"/>
      <c r="Q177" s="299">
        <f t="shared" si="58"/>
        <v>0</v>
      </c>
    </row>
    <row r="178" spans="1:17" ht="12.75" hidden="1">
      <c r="A178" s="13" t="s">
        <v>54</v>
      </c>
      <c r="B178" s="54"/>
      <c r="C178" s="70"/>
      <c r="D178" s="74"/>
      <c r="E178" s="155"/>
      <c r="F178" s="164">
        <f t="shared" si="54"/>
        <v>0</v>
      </c>
      <c r="G178" s="169"/>
      <c r="H178" s="170"/>
      <c r="I178" s="211">
        <f t="shared" si="55"/>
        <v>0</v>
      </c>
      <c r="J178" s="169"/>
      <c r="K178" s="229"/>
      <c r="L178" s="261">
        <f t="shared" si="57"/>
        <v>0</v>
      </c>
      <c r="M178" s="243"/>
      <c r="N178" s="170"/>
      <c r="O178" s="211">
        <f t="shared" si="56"/>
        <v>0</v>
      </c>
      <c r="P178" s="171"/>
      <c r="Q178" s="299">
        <f t="shared" si="58"/>
        <v>0</v>
      </c>
    </row>
    <row r="179" spans="1:17" ht="12.75">
      <c r="A179" s="16" t="s">
        <v>75</v>
      </c>
      <c r="B179" s="57"/>
      <c r="C179" s="108"/>
      <c r="D179" s="74"/>
      <c r="E179" s="155"/>
      <c r="F179" s="164">
        <f t="shared" si="54"/>
        <v>0</v>
      </c>
      <c r="G179" s="181">
        <f>100</f>
        <v>100</v>
      </c>
      <c r="H179" s="182"/>
      <c r="I179" s="216">
        <f t="shared" si="55"/>
        <v>100</v>
      </c>
      <c r="J179" s="181">
        <f>10.33</f>
        <v>10.33</v>
      </c>
      <c r="K179" s="254"/>
      <c r="L179" s="266">
        <f t="shared" si="57"/>
        <v>110.33</v>
      </c>
      <c r="M179" s="240">
        <f>13.3</f>
        <v>13.3</v>
      </c>
      <c r="N179" s="182"/>
      <c r="O179" s="216">
        <f t="shared" si="56"/>
        <v>123.63</v>
      </c>
      <c r="P179" s="296"/>
      <c r="Q179" s="295">
        <f t="shared" si="58"/>
        <v>123.63</v>
      </c>
    </row>
    <row r="180" spans="1:17" ht="12.75">
      <c r="A180" s="10" t="s">
        <v>79</v>
      </c>
      <c r="B180" s="58"/>
      <c r="C180" s="94">
        <f aca="true" t="shared" si="59" ref="C180:O180">C181+C227</f>
        <v>408411.32</v>
      </c>
      <c r="D180" s="68">
        <f t="shared" si="59"/>
        <v>9143252.959999997</v>
      </c>
      <c r="E180" s="95">
        <f t="shared" si="59"/>
        <v>0</v>
      </c>
      <c r="F180" s="134">
        <f t="shared" si="59"/>
        <v>9551664.279999997</v>
      </c>
      <c r="G180" s="167">
        <f t="shared" si="59"/>
        <v>129997.79</v>
      </c>
      <c r="H180" s="168">
        <f t="shared" si="59"/>
        <v>0</v>
      </c>
      <c r="I180" s="210">
        <f t="shared" si="59"/>
        <v>9681662.07</v>
      </c>
      <c r="J180" s="167">
        <f t="shared" si="59"/>
        <v>219844.96</v>
      </c>
      <c r="K180" s="228">
        <f t="shared" si="59"/>
        <v>0</v>
      </c>
      <c r="L180" s="260">
        <f t="shared" si="59"/>
        <v>9901507.029999997</v>
      </c>
      <c r="M180" s="228">
        <f t="shared" si="59"/>
        <v>186673.80999999997</v>
      </c>
      <c r="N180" s="168">
        <f t="shared" si="59"/>
        <v>0</v>
      </c>
      <c r="O180" s="210">
        <f t="shared" si="59"/>
        <v>10088180.839999996</v>
      </c>
      <c r="P180" s="167">
        <f>P181+P227</f>
        <v>-14553.600000000004</v>
      </c>
      <c r="Q180" s="210">
        <f>Q181+Q227</f>
        <v>10073627.239999996</v>
      </c>
    </row>
    <row r="181" spans="1:17" ht="12.75">
      <c r="A181" s="19" t="s">
        <v>48</v>
      </c>
      <c r="B181" s="58"/>
      <c r="C181" s="107">
        <f aca="true" t="shared" si="60" ref="C181:O181">SUM(C183:C226)</f>
        <v>407671.32</v>
      </c>
      <c r="D181" s="73">
        <f t="shared" si="60"/>
        <v>9133182.859999998</v>
      </c>
      <c r="E181" s="123">
        <f t="shared" si="60"/>
        <v>0</v>
      </c>
      <c r="F181" s="139">
        <f t="shared" si="60"/>
        <v>9540854.179999998</v>
      </c>
      <c r="G181" s="177">
        <f t="shared" si="60"/>
        <v>122970.28</v>
      </c>
      <c r="H181" s="178">
        <f t="shared" si="60"/>
        <v>0</v>
      </c>
      <c r="I181" s="214">
        <f t="shared" si="60"/>
        <v>9663824.46</v>
      </c>
      <c r="J181" s="177">
        <f t="shared" si="60"/>
        <v>210106.09</v>
      </c>
      <c r="K181" s="218">
        <f t="shared" si="60"/>
        <v>0</v>
      </c>
      <c r="L181" s="264">
        <f t="shared" si="60"/>
        <v>9873930.549999997</v>
      </c>
      <c r="M181" s="218">
        <f t="shared" si="60"/>
        <v>182914.87999999998</v>
      </c>
      <c r="N181" s="178">
        <f t="shared" si="60"/>
        <v>0</v>
      </c>
      <c r="O181" s="214">
        <f t="shared" si="60"/>
        <v>10056845.429999996</v>
      </c>
      <c r="P181" s="177">
        <f>SUM(P183:P226)</f>
        <v>-21011.430000000004</v>
      </c>
      <c r="Q181" s="214">
        <f>SUM(Q183:Q226)</f>
        <v>10035833.999999996</v>
      </c>
    </row>
    <row r="182" spans="1:17" ht="12.75">
      <c r="A182" s="11" t="s">
        <v>26</v>
      </c>
      <c r="B182" s="54"/>
      <c r="C182" s="88"/>
      <c r="D182" s="69"/>
      <c r="E182" s="89"/>
      <c r="F182" s="135"/>
      <c r="G182" s="169"/>
      <c r="H182" s="170"/>
      <c r="I182" s="211"/>
      <c r="J182" s="169"/>
      <c r="K182" s="229"/>
      <c r="L182" s="261"/>
      <c r="M182" s="243"/>
      <c r="N182" s="170"/>
      <c r="O182" s="211"/>
      <c r="P182" s="171"/>
      <c r="Q182" s="299"/>
    </row>
    <row r="183" spans="1:17" ht="12.75">
      <c r="A183" s="17" t="s">
        <v>72</v>
      </c>
      <c r="B183" s="54"/>
      <c r="C183" s="88">
        <v>363888.25</v>
      </c>
      <c r="D183" s="69">
        <f>3679.9+16091.19+696</f>
        <v>20467.09</v>
      </c>
      <c r="E183" s="89"/>
      <c r="F183" s="135">
        <f aca="true" t="shared" si="61" ref="F183:F226">C183+D183+E183</f>
        <v>384355.34</v>
      </c>
      <c r="G183" s="169">
        <f>6051.24</f>
        <v>6051.24</v>
      </c>
      <c r="H183" s="170"/>
      <c r="I183" s="211">
        <f>F183+G183+H183</f>
        <v>390406.58</v>
      </c>
      <c r="J183" s="169">
        <f>6705.1+5000</f>
        <v>11705.1</v>
      </c>
      <c r="K183" s="229"/>
      <c r="L183" s="261">
        <f>I183+J183+K183</f>
        <v>402111.68</v>
      </c>
      <c r="M183" s="243">
        <f>7680.25+1648.47+14.8</f>
        <v>9343.519999999999</v>
      </c>
      <c r="N183" s="170"/>
      <c r="O183" s="211">
        <f>L183+M183+N183</f>
        <v>411455.2</v>
      </c>
      <c r="P183" s="171">
        <f>124.11</f>
        <v>124.11</v>
      </c>
      <c r="Q183" s="299">
        <f>O183+P183</f>
        <v>411579.31</v>
      </c>
    </row>
    <row r="184" spans="1:17" ht="12.75">
      <c r="A184" s="17" t="s">
        <v>275</v>
      </c>
      <c r="B184" s="54">
        <v>33353</v>
      </c>
      <c r="C184" s="88"/>
      <c r="D184" s="69">
        <f>8955820.02</f>
        <v>8955820.02</v>
      </c>
      <c r="E184" s="89"/>
      <c r="F184" s="135">
        <f t="shared" si="61"/>
        <v>8955820.02</v>
      </c>
      <c r="G184" s="169"/>
      <c r="H184" s="170"/>
      <c r="I184" s="211">
        <f aca="true" t="shared" si="62" ref="I184:I219">F184+G184+H184</f>
        <v>8955820.02</v>
      </c>
      <c r="J184" s="169">
        <f>12692.03</f>
        <v>12692.03</v>
      </c>
      <c r="K184" s="229"/>
      <c r="L184" s="261">
        <f aca="true" t="shared" si="63" ref="L184:L225">I184+J184+K184</f>
        <v>8968512.049999999</v>
      </c>
      <c r="M184" s="243">
        <f>313.83+34693.2</f>
        <v>35007.03</v>
      </c>
      <c r="N184" s="170"/>
      <c r="O184" s="211">
        <f aca="true" t="shared" si="64" ref="O184:O226">L184+M184+N184</f>
        <v>9003519.079999998</v>
      </c>
      <c r="P184" s="171">
        <f>-20536.47</f>
        <v>-20536.47</v>
      </c>
      <c r="Q184" s="299">
        <f aca="true" t="shared" si="65" ref="Q184:Q226">O184+P184</f>
        <v>8982982.609999998</v>
      </c>
    </row>
    <row r="185" spans="1:17" ht="12.75">
      <c r="A185" s="17" t="s">
        <v>276</v>
      </c>
      <c r="B185" s="54">
        <v>33155</v>
      </c>
      <c r="C185" s="88"/>
      <c r="D185" s="76">
        <f>115949.1</f>
        <v>115949.1</v>
      </c>
      <c r="E185" s="89"/>
      <c r="F185" s="135">
        <f t="shared" si="61"/>
        <v>115949.1</v>
      </c>
      <c r="G185" s="169">
        <f>111324.54</f>
        <v>111324.54</v>
      </c>
      <c r="H185" s="170"/>
      <c r="I185" s="211">
        <f t="shared" si="62"/>
        <v>227273.64</v>
      </c>
      <c r="J185" s="169">
        <f>116717.2</f>
        <v>116717.2</v>
      </c>
      <c r="K185" s="229"/>
      <c r="L185" s="261">
        <f t="shared" si="63"/>
        <v>343990.84</v>
      </c>
      <c r="M185" s="243">
        <f>127660.1</f>
        <v>127660.1</v>
      </c>
      <c r="N185" s="170"/>
      <c r="O185" s="211">
        <f t="shared" si="64"/>
        <v>471650.94000000006</v>
      </c>
      <c r="P185" s="171">
        <f>-152.09</f>
        <v>-152.09</v>
      </c>
      <c r="Q185" s="299">
        <f t="shared" si="65"/>
        <v>471498.85000000003</v>
      </c>
    </row>
    <row r="186" spans="1:17" ht="12.75" hidden="1">
      <c r="A186" s="17" t="s">
        <v>80</v>
      </c>
      <c r="B186" s="54" t="s">
        <v>205</v>
      </c>
      <c r="C186" s="88"/>
      <c r="D186" s="69"/>
      <c r="E186" s="89"/>
      <c r="F186" s="135">
        <f t="shared" si="61"/>
        <v>0</v>
      </c>
      <c r="G186" s="169"/>
      <c r="H186" s="170"/>
      <c r="I186" s="211">
        <f t="shared" si="62"/>
        <v>0</v>
      </c>
      <c r="J186" s="169"/>
      <c r="K186" s="229"/>
      <c r="L186" s="261">
        <f t="shared" si="63"/>
        <v>0</v>
      </c>
      <c r="M186" s="243"/>
      <c r="N186" s="170"/>
      <c r="O186" s="211">
        <f t="shared" si="64"/>
        <v>0</v>
      </c>
      <c r="P186" s="171"/>
      <c r="Q186" s="299">
        <f t="shared" si="65"/>
        <v>0</v>
      </c>
    </row>
    <row r="187" spans="1:17" ht="12.75" hidden="1">
      <c r="A187" s="17" t="s">
        <v>134</v>
      </c>
      <c r="B187" s="54"/>
      <c r="C187" s="88"/>
      <c r="D187" s="69"/>
      <c r="E187" s="89"/>
      <c r="F187" s="135">
        <f t="shared" si="61"/>
        <v>0</v>
      </c>
      <c r="G187" s="169"/>
      <c r="H187" s="170"/>
      <c r="I187" s="211">
        <f t="shared" si="62"/>
        <v>0</v>
      </c>
      <c r="J187" s="169"/>
      <c r="K187" s="229"/>
      <c r="L187" s="261">
        <f t="shared" si="63"/>
        <v>0</v>
      </c>
      <c r="M187" s="243"/>
      <c r="N187" s="170"/>
      <c r="O187" s="211">
        <f t="shared" si="64"/>
        <v>0</v>
      </c>
      <c r="P187" s="171"/>
      <c r="Q187" s="299">
        <f t="shared" si="65"/>
        <v>0</v>
      </c>
    </row>
    <row r="188" spans="1:17" ht="12.75" hidden="1">
      <c r="A188" s="17" t="s">
        <v>202</v>
      </c>
      <c r="B188" s="54">
        <v>33215</v>
      </c>
      <c r="C188" s="88"/>
      <c r="D188" s="69"/>
      <c r="E188" s="89"/>
      <c r="F188" s="135">
        <f t="shared" si="61"/>
        <v>0</v>
      </c>
      <c r="G188" s="169"/>
      <c r="H188" s="170"/>
      <c r="I188" s="211">
        <f t="shared" si="62"/>
        <v>0</v>
      </c>
      <c r="J188" s="169"/>
      <c r="K188" s="229"/>
      <c r="L188" s="261">
        <f t="shared" si="63"/>
        <v>0</v>
      </c>
      <c r="M188" s="243"/>
      <c r="N188" s="170"/>
      <c r="O188" s="211">
        <f t="shared" si="64"/>
        <v>0</v>
      </c>
      <c r="P188" s="171"/>
      <c r="Q188" s="299">
        <f t="shared" si="65"/>
        <v>0</v>
      </c>
    </row>
    <row r="189" spans="1:17" ht="12.75" hidden="1">
      <c r="A189" s="17" t="s">
        <v>203</v>
      </c>
      <c r="B189" s="54">
        <v>33457</v>
      </c>
      <c r="C189" s="88"/>
      <c r="D189" s="69"/>
      <c r="E189" s="89"/>
      <c r="F189" s="135">
        <f t="shared" si="61"/>
        <v>0</v>
      </c>
      <c r="G189" s="169"/>
      <c r="H189" s="170"/>
      <c r="I189" s="211">
        <f t="shared" si="62"/>
        <v>0</v>
      </c>
      <c r="J189" s="169"/>
      <c r="K189" s="229"/>
      <c r="L189" s="261">
        <f t="shared" si="63"/>
        <v>0</v>
      </c>
      <c r="M189" s="243"/>
      <c r="N189" s="170"/>
      <c r="O189" s="211">
        <f t="shared" si="64"/>
        <v>0</v>
      </c>
      <c r="P189" s="171"/>
      <c r="Q189" s="299">
        <f t="shared" si="65"/>
        <v>0</v>
      </c>
    </row>
    <row r="190" spans="1:17" ht="12.75" hidden="1">
      <c r="A190" s="33" t="s">
        <v>185</v>
      </c>
      <c r="B190" s="54">
        <v>33052</v>
      </c>
      <c r="C190" s="88"/>
      <c r="D190" s="69"/>
      <c r="E190" s="89"/>
      <c r="F190" s="135">
        <f t="shared" si="61"/>
        <v>0</v>
      </c>
      <c r="G190" s="169"/>
      <c r="H190" s="170"/>
      <c r="I190" s="211">
        <f t="shared" si="62"/>
        <v>0</v>
      </c>
      <c r="J190" s="169"/>
      <c r="K190" s="229"/>
      <c r="L190" s="261">
        <f t="shared" si="63"/>
        <v>0</v>
      </c>
      <c r="M190" s="243"/>
      <c r="N190" s="170"/>
      <c r="O190" s="211">
        <f t="shared" si="64"/>
        <v>0</v>
      </c>
      <c r="P190" s="171"/>
      <c r="Q190" s="299">
        <f t="shared" si="65"/>
        <v>0</v>
      </c>
    </row>
    <row r="191" spans="1:17" ht="12.75" hidden="1">
      <c r="A191" s="33" t="s">
        <v>260</v>
      </c>
      <c r="B191" s="54">
        <v>33076</v>
      </c>
      <c r="C191" s="88"/>
      <c r="D191" s="69"/>
      <c r="E191" s="89"/>
      <c r="F191" s="135">
        <f t="shared" si="61"/>
        <v>0</v>
      </c>
      <c r="G191" s="169"/>
      <c r="H191" s="170"/>
      <c r="I191" s="211">
        <f t="shared" si="62"/>
        <v>0</v>
      </c>
      <c r="J191" s="169"/>
      <c r="K191" s="229"/>
      <c r="L191" s="261">
        <f t="shared" si="63"/>
        <v>0</v>
      </c>
      <c r="M191" s="243"/>
      <c r="N191" s="170"/>
      <c r="O191" s="211">
        <f t="shared" si="64"/>
        <v>0</v>
      </c>
      <c r="P191" s="171"/>
      <c r="Q191" s="299">
        <f t="shared" si="65"/>
        <v>0</v>
      </c>
    </row>
    <row r="192" spans="1:17" ht="12.75" hidden="1">
      <c r="A192" s="33" t="s">
        <v>220</v>
      </c>
      <c r="B192" s="54">
        <v>33069</v>
      </c>
      <c r="C192" s="88"/>
      <c r="D192" s="69"/>
      <c r="E192" s="89"/>
      <c r="F192" s="135">
        <f t="shared" si="61"/>
        <v>0</v>
      </c>
      <c r="G192" s="169"/>
      <c r="H192" s="170"/>
      <c r="I192" s="211">
        <f t="shared" si="62"/>
        <v>0</v>
      </c>
      <c r="J192" s="169"/>
      <c r="K192" s="229"/>
      <c r="L192" s="261">
        <f t="shared" si="63"/>
        <v>0</v>
      </c>
      <c r="M192" s="243"/>
      <c r="N192" s="170"/>
      <c r="O192" s="211">
        <f t="shared" si="64"/>
        <v>0</v>
      </c>
      <c r="P192" s="171"/>
      <c r="Q192" s="299">
        <f t="shared" si="65"/>
        <v>0</v>
      </c>
    </row>
    <row r="193" spans="1:17" ht="12.75" hidden="1">
      <c r="A193" s="33" t="s">
        <v>250</v>
      </c>
      <c r="B193" s="54">
        <v>33070</v>
      </c>
      <c r="C193" s="88"/>
      <c r="D193" s="69"/>
      <c r="E193" s="89"/>
      <c r="F193" s="135">
        <f t="shared" si="61"/>
        <v>0</v>
      </c>
      <c r="G193" s="169"/>
      <c r="H193" s="170"/>
      <c r="I193" s="211">
        <f t="shared" si="62"/>
        <v>0</v>
      </c>
      <c r="J193" s="169"/>
      <c r="K193" s="229"/>
      <c r="L193" s="261">
        <f t="shared" si="63"/>
        <v>0</v>
      </c>
      <c r="M193" s="243"/>
      <c r="N193" s="170"/>
      <c r="O193" s="211">
        <f t="shared" si="64"/>
        <v>0</v>
      </c>
      <c r="P193" s="171"/>
      <c r="Q193" s="299">
        <f t="shared" si="65"/>
        <v>0</v>
      </c>
    </row>
    <row r="194" spans="1:17" ht="12.75" hidden="1">
      <c r="A194" s="17" t="s">
        <v>243</v>
      </c>
      <c r="B194" s="54">
        <v>33071</v>
      </c>
      <c r="C194" s="88"/>
      <c r="D194" s="69"/>
      <c r="E194" s="89"/>
      <c r="F194" s="135">
        <f t="shared" si="61"/>
        <v>0</v>
      </c>
      <c r="G194" s="169"/>
      <c r="H194" s="170"/>
      <c r="I194" s="211">
        <f t="shared" si="62"/>
        <v>0</v>
      </c>
      <c r="J194" s="169"/>
      <c r="K194" s="229"/>
      <c r="L194" s="261">
        <f t="shared" si="63"/>
        <v>0</v>
      </c>
      <c r="M194" s="243"/>
      <c r="N194" s="170"/>
      <c r="O194" s="211">
        <f t="shared" si="64"/>
        <v>0</v>
      </c>
      <c r="P194" s="171"/>
      <c r="Q194" s="299">
        <f t="shared" si="65"/>
        <v>0</v>
      </c>
    </row>
    <row r="195" spans="1:17" ht="12.75" hidden="1">
      <c r="A195" s="17" t="s">
        <v>186</v>
      </c>
      <c r="B195" s="54">
        <v>33050</v>
      </c>
      <c r="C195" s="88"/>
      <c r="D195" s="69"/>
      <c r="E195" s="89"/>
      <c r="F195" s="135">
        <f t="shared" si="61"/>
        <v>0</v>
      </c>
      <c r="G195" s="169"/>
      <c r="H195" s="170"/>
      <c r="I195" s="211">
        <f t="shared" si="62"/>
        <v>0</v>
      </c>
      <c r="J195" s="169"/>
      <c r="K195" s="229"/>
      <c r="L195" s="261">
        <f t="shared" si="63"/>
        <v>0</v>
      </c>
      <c r="M195" s="243"/>
      <c r="N195" s="170"/>
      <c r="O195" s="211">
        <f t="shared" si="64"/>
        <v>0</v>
      </c>
      <c r="P195" s="171"/>
      <c r="Q195" s="299">
        <f t="shared" si="65"/>
        <v>0</v>
      </c>
    </row>
    <row r="196" spans="1:17" ht="12.75" hidden="1">
      <c r="A196" s="17" t="s">
        <v>145</v>
      </c>
      <c r="B196" s="54">
        <v>33435</v>
      </c>
      <c r="C196" s="88"/>
      <c r="D196" s="69"/>
      <c r="E196" s="89"/>
      <c r="F196" s="135">
        <f t="shared" si="61"/>
        <v>0</v>
      </c>
      <c r="G196" s="169"/>
      <c r="H196" s="170"/>
      <c r="I196" s="211">
        <f t="shared" si="62"/>
        <v>0</v>
      </c>
      <c r="J196" s="169"/>
      <c r="K196" s="229"/>
      <c r="L196" s="261">
        <f t="shared" si="63"/>
        <v>0</v>
      </c>
      <c r="M196" s="243"/>
      <c r="N196" s="170"/>
      <c r="O196" s="211">
        <f t="shared" si="64"/>
        <v>0</v>
      </c>
      <c r="P196" s="171"/>
      <c r="Q196" s="299">
        <f t="shared" si="65"/>
        <v>0</v>
      </c>
    </row>
    <row r="197" spans="1:17" ht="12.75" hidden="1">
      <c r="A197" s="17" t="s">
        <v>208</v>
      </c>
      <c r="B197" s="54">
        <v>33049</v>
      </c>
      <c r="C197" s="88"/>
      <c r="D197" s="69"/>
      <c r="E197" s="89"/>
      <c r="F197" s="135">
        <f t="shared" si="61"/>
        <v>0</v>
      </c>
      <c r="G197" s="169"/>
      <c r="H197" s="170"/>
      <c r="I197" s="211">
        <f t="shared" si="62"/>
        <v>0</v>
      </c>
      <c r="J197" s="169"/>
      <c r="K197" s="229"/>
      <c r="L197" s="261">
        <f t="shared" si="63"/>
        <v>0</v>
      </c>
      <c r="M197" s="243"/>
      <c r="N197" s="170"/>
      <c r="O197" s="211">
        <f t="shared" si="64"/>
        <v>0</v>
      </c>
      <c r="P197" s="171"/>
      <c r="Q197" s="299">
        <f t="shared" si="65"/>
        <v>0</v>
      </c>
    </row>
    <row r="198" spans="1:17" ht="12.75" hidden="1">
      <c r="A198" s="17" t="s">
        <v>187</v>
      </c>
      <c r="B198" s="54">
        <v>33044</v>
      </c>
      <c r="C198" s="88"/>
      <c r="D198" s="69"/>
      <c r="E198" s="89"/>
      <c r="F198" s="135">
        <f t="shared" si="61"/>
        <v>0</v>
      </c>
      <c r="G198" s="169"/>
      <c r="H198" s="170"/>
      <c r="I198" s="211">
        <f t="shared" si="62"/>
        <v>0</v>
      </c>
      <c r="J198" s="169"/>
      <c r="K198" s="229"/>
      <c r="L198" s="261">
        <f t="shared" si="63"/>
        <v>0</v>
      </c>
      <c r="M198" s="243"/>
      <c r="N198" s="170"/>
      <c r="O198" s="211">
        <f t="shared" si="64"/>
        <v>0</v>
      </c>
      <c r="P198" s="171"/>
      <c r="Q198" s="299">
        <f t="shared" si="65"/>
        <v>0</v>
      </c>
    </row>
    <row r="199" spans="1:17" ht="12.75" hidden="1">
      <c r="A199" s="17" t="s">
        <v>191</v>
      </c>
      <c r="B199" s="54">
        <v>33024</v>
      </c>
      <c r="C199" s="88"/>
      <c r="D199" s="69"/>
      <c r="E199" s="89"/>
      <c r="F199" s="135">
        <f t="shared" si="61"/>
        <v>0</v>
      </c>
      <c r="G199" s="169"/>
      <c r="H199" s="170"/>
      <c r="I199" s="211">
        <f t="shared" si="62"/>
        <v>0</v>
      </c>
      <c r="J199" s="169"/>
      <c r="K199" s="229"/>
      <c r="L199" s="261">
        <f t="shared" si="63"/>
        <v>0</v>
      </c>
      <c r="M199" s="243"/>
      <c r="N199" s="170"/>
      <c r="O199" s="211">
        <f t="shared" si="64"/>
        <v>0</v>
      </c>
      <c r="P199" s="171"/>
      <c r="Q199" s="299">
        <f t="shared" si="65"/>
        <v>0</v>
      </c>
    </row>
    <row r="200" spans="1:17" ht="12.75" hidden="1">
      <c r="A200" s="33" t="s">
        <v>150</v>
      </c>
      <c r="B200" s="54">
        <v>33018</v>
      </c>
      <c r="C200" s="88"/>
      <c r="D200" s="69"/>
      <c r="E200" s="89"/>
      <c r="F200" s="135">
        <f t="shared" si="61"/>
        <v>0</v>
      </c>
      <c r="G200" s="169"/>
      <c r="H200" s="170"/>
      <c r="I200" s="211">
        <f t="shared" si="62"/>
        <v>0</v>
      </c>
      <c r="J200" s="169"/>
      <c r="K200" s="229"/>
      <c r="L200" s="261">
        <f t="shared" si="63"/>
        <v>0</v>
      </c>
      <c r="M200" s="243"/>
      <c r="N200" s="170"/>
      <c r="O200" s="211">
        <f t="shared" si="64"/>
        <v>0</v>
      </c>
      <c r="P200" s="171"/>
      <c r="Q200" s="299">
        <f t="shared" si="65"/>
        <v>0</v>
      </c>
    </row>
    <row r="201" spans="1:17" ht="12.75" hidden="1">
      <c r="A201" s="15" t="s">
        <v>151</v>
      </c>
      <c r="B201" s="54"/>
      <c r="C201" s="88"/>
      <c r="D201" s="69"/>
      <c r="E201" s="89"/>
      <c r="F201" s="135">
        <f t="shared" si="61"/>
        <v>0</v>
      </c>
      <c r="G201" s="169"/>
      <c r="H201" s="170"/>
      <c r="I201" s="211">
        <f t="shared" si="62"/>
        <v>0</v>
      </c>
      <c r="J201" s="169"/>
      <c r="K201" s="229"/>
      <c r="L201" s="261">
        <f t="shared" si="63"/>
        <v>0</v>
      </c>
      <c r="M201" s="243"/>
      <c r="N201" s="170"/>
      <c r="O201" s="211">
        <f t="shared" si="64"/>
        <v>0</v>
      </c>
      <c r="P201" s="171"/>
      <c r="Q201" s="299">
        <f t="shared" si="65"/>
        <v>0</v>
      </c>
    </row>
    <row r="202" spans="1:17" ht="13.5" thickBot="1">
      <c r="A202" s="308" t="s">
        <v>169</v>
      </c>
      <c r="B202" s="309">
        <v>33160</v>
      </c>
      <c r="C202" s="310"/>
      <c r="D202" s="311"/>
      <c r="E202" s="312"/>
      <c r="F202" s="313">
        <f t="shared" si="61"/>
        <v>0</v>
      </c>
      <c r="G202" s="314">
        <f>96.9</f>
        <v>96.9</v>
      </c>
      <c r="H202" s="315"/>
      <c r="I202" s="316">
        <f t="shared" si="62"/>
        <v>96.9</v>
      </c>
      <c r="J202" s="314">
        <f>-59.89</f>
        <v>-59.89</v>
      </c>
      <c r="K202" s="317"/>
      <c r="L202" s="318">
        <f t="shared" si="63"/>
        <v>37.010000000000005</v>
      </c>
      <c r="M202" s="319">
        <f>90.6</f>
        <v>90.6</v>
      </c>
      <c r="N202" s="315"/>
      <c r="O202" s="316">
        <f t="shared" si="64"/>
        <v>127.61</v>
      </c>
      <c r="P202" s="302">
        <f>-8.5</f>
        <v>-8.5</v>
      </c>
      <c r="Q202" s="303">
        <f t="shared" si="65"/>
        <v>119.11</v>
      </c>
    </row>
    <row r="203" spans="1:17" ht="12.75">
      <c r="A203" s="17" t="s">
        <v>367</v>
      </c>
      <c r="B203" s="54">
        <v>33083</v>
      </c>
      <c r="C203" s="88"/>
      <c r="D203" s="69"/>
      <c r="E203" s="89"/>
      <c r="F203" s="135"/>
      <c r="G203" s="169"/>
      <c r="H203" s="170"/>
      <c r="I203" s="211">
        <f t="shared" si="62"/>
        <v>0</v>
      </c>
      <c r="J203" s="169">
        <f>696.2</f>
        <v>696.2</v>
      </c>
      <c r="K203" s="229"/>
      <c r="L203" s="261">
        <f t="shared" si="63"/>
        <v>696.2</v>
      </c>
      <c r="M203" s="243"/>
      <c r="N203" s="170"/>
      <c r="O203" s="211">
        <f t="shared" si="64"/>
        <v>696.2</v>
      </c>
      <c r="P203" s="171">
        <f>-75.61</f>
        <v>-75.61</v>
      </c>
      <c r="Q203" s="299">
        <f t="shared" si="65"/>
        <v>620.59</v>
      </c>
    </row>
    <row r="204" spans="1:17" ht="12.75">
      <c r="A204" s="33" t="s">
        <v>376</v>
      </c>
      <c r="B204" s="54">
        <v>33085</v>
      </c>
      <c r="C204" s="88"/>
      <c r="D204" s="69"/>
      <c r="E204" s="89"/>
      <c r="F204" s="135">
        <f t="shared" si="61"/>
        <v>0</v>
      </c>
      <c r="G204" s="169"/>
      <c r="H204" s="170"/>
      <c r="I204" s="211">
        <f t="shared" si="62"/>
        <v>0</v>
      </c>
      <c r="J204" s="169"/>
      <c r="K204" s="229"/>
      <c r="L204" s="261">
        <f t="shared" si="63"/>
        <v>0</v>
      </c>
      <c r="M204" s="243">
        <f>622.8</f>
        <v>622.8</v>
      </c>
      <c r="N204" s="170"/>
      <c r="O204" s="211">
        <f t="shared" si="64"/>
        <v>622.8</v>
      </c>
      <c r="P204" s="171">
        <f>-222.74</f>
        <v>-222.74</v>
      </c>
      <c r="Q204" s="299">
        <f t="shared" si="65"/>
        <v>400.05999999999995</v>
      </c>
    </row>
    <row r="205" spans="1:17" ht="12.75" hidden="1">
      <c r="A205" s="33" t="s">
        <v>129</v>
      </c>
      <c r="B205" s="54"/>
      <c r="C205" s="88"/>
      <c r="D205" s="69"/>
      <c r="E205" s="89"/>
      <c r="F205" s="135">
        <f t="shared" si="61"/>
        <v>0</v>
      </c>
      <c r="G205" s="169"/>
      <c r="H205" s="170"/>
      <c r="I205" s="211">
        <f t="shared" si="62"/>
        <v>0</v>
      </c>
      <c r="J205" s="169"/>
      <c r="K205" s="229"/>
      <c r="L205" s="261">
        <f t="shared" si="63"/>
        <v>0</v>
      </c>
      <c r="M205" s="243"/>
      <c r="N205" s="170"/>
      <c r="O205" s="211">
        <f t="shared" si="64"/>
        <v>0</v>
      </c>
      <c r="P205" s="171"/>
      <c r="Q205" s="299">
        <f t="shared" si="65"/>
        <v>0</v>
      </c>
    </row>
    <row r="206" spans="1:17" ht="12.75" hidden="1">
      <c r="A206" s="33" t="s">
        <v>138</v>
      </c>
      <c r="B206" s="54"/>
      <c r="C206" s="88"/>
      <c r="D206" s="69"/>
      <c r="E206" s="89"/>
      <c r="F206" s="135">
        <f t="shared" si="61"/>
        <v>0</v>
      </c>
      <c r="G206" s="169"/>
      <c r="H206" s="170"/>
      <c r="I206" s="211">
        <f t="shared" si="62"/>
        <v>0</v>
      </c>
      <c r="J206" s="169"/>
      <c r="K206" s="229"/>
      <c r="L206" s="261">
        <f t="shared" si="63"/>
        <v>0</v>
      </c>
      <c r="M206" s="243"/>
      <c r="N206" s="170"/>
      <c r="O206" s="211">
        <f t="shared" si="64"/>
        <v>0</v>
      </c>
      <c r="P206" s="171"/>
      <c r="Q206" s="299">
        <f t="shared" si="65"/>
        <v>0</v>
      </c>
    </row>
    <row r="207" spans="1:17" ht="12.75" hidden="1">
      <c r="A207" s="17" t="s">
        <v>81</v>
      </c>
      <c r="B207" s="54">
        <v>33025</v>
      </c>
      <c r="C207" s="88"/>
      <c r="D207" s="69"/>
      <c r="E207" s="89"/>
      <c r="F207" s="135">
        <f t="shared" si="61"/>
        <v>0</v>
      </c>
      <c r="G207" s="169"/>
      <c r="H207" s="170"/>
      <c r="I207" s="211">
        <f t="shared" si="62"/>
        <v>0</v>
      </c>
      <c r="J207" s="169"/>
      <c r="K207" s="229"/>
      <c r="L207" s="261">
        <f t="shared" si="63"/>
        <v>0</v>
      </c>
      <c r="M207" s="243"/>
      <c r="N207" s="170"/>
      <c r="O207" s="211">
        <f t="shared" si="64"/>
        <v>0</v>
      </c>
      <c r="P207" s="171"/>
      <c r="Q207" s="299">
        <f t="shared" si="65"/>
        <v>0</v>
      </c>
    </row>
    <row r="208" spans="1:17" ht="12.75" hidden="1">
      <c r="A208" s="17" t="s">
        <v>158</v>
      </c>
      <c r="B208" s="54">
        <v>33038</v>
      </c>
      <c r="C208" s="88"/>
      <c r="D208" s="69"/>
      <c r="E208" s="89"/>
      <c r="F208" s="135">
        <f t="shared" si="61"/>
        <v>0</v>
      </c>
      <c r="G208" s="169"/>
      <c r="H208" s="170"/>
      <c r="I208" s="211">
        <f t="shared" si="62"/>
        <v>0</v>
      </c>
      <c r="J208" s="169"/>
      <c r="K208" s="229"/>
      <c r="L208" s="261">
        <f t="shared" si="63"/>
        <v>0</v>
      </c>
      <c r="M208" s="243"/>
      <c r="N208" s="170"/>
      <c r="O208" s="211">
        <f t="shared" si="64"/>
        <v>0</v>
      </c>
      <c r="P208" s="171"/>
      <c r="Q208" s="299">
        <f t="shared" si="65"/>
        <v>0</v>
      </c>
    </row>
    <row r="209" spans="1:17" ht="12.75">
      <c r="A209" s="17" t="s">
        <v>369</v>
      </c>
      <c r="B209" s="54">
        <v>33082</v>
      </c>
      <c r="C209" s="88"/>
      <c r="D209" s="69"/>
      <c r="E209" s="89"/>
      <c r="F209" s="135"/>
      <c r="G209" s="169"/>
      <c r="H209" s="170"/>
      <c r="I209" s="211">
        <f t="shared" si="62"/>
        <v>0</v>
      </c>
      <c r="J209" s="169">
        <f>195.75</f>
        <v>195.75</v>
      </c>
      <c r="K209" s="229"/>
      <c r="L209" s="261">
        <f t="shared" si="63"/>
        <v>195.75</v>
      </c>
      <c r="M209" s="243"/>
      <c r="N209" s="170"/>
      <c r="O209" s="211">
        <f t="shared" si="64"/>
        <v>195.75</v>
      </c>
      <c r="P209" s="171">
        <f>-13.5</f>
        <v>-13.5</v>
      </c>
      <c r="Q209" s="299">
        <f t="shared" si="65"/>
        <v>182.25</v>
      </c>
    </row>
    <row r="210" spans="1:17" ht="12.75">
      <c r="A210" s="17" t="s">
        <v>261</v>
      </c>
      <c r="B210" s="54">
        <v>33063</v>
      </c>
      <c r="C210" s="88"/>
      <c r="D210" s="69"/>
      <c r="E210" s="89"/>
      <c r="F210" s="135">
        <f t="shared" si="61"/>
        <v>0</v>
      </c>
      <c r="G210" s="169">
        <f>1500</f>
        <v>1500</v>
      </c>
      <c r="H210" s="170"/>
      <c r="I210" s="211">
        <f t="shared" si="62"/>
        <v>1500</v>
      </c>
      <c r="J210" s="169">
        <f>1286.51+1301.72+301.89</f>
        <v>2890.12</v>
      </c>
      <c r="K210" s="229"/>
      <c r="L210" s="261">
        <f t="shared" si="63"/>
        <v>4390.12</v>
      </c>
      <c r="M210" s="243">
        <f>318.46+249.94+257.14</f>
        <v>825.54</v>
      </c>
      <c r="N210" s="170"/>
      <c r="O210" s="211">
        <f t="shared" si="64"/>
        <v>5215.66</v>
      </c>
      <c r="P210" s="171"/>
      <c r="Q210" s="299">
        <f t="shared" si="65"/>
        <v>5215.66</v>
      </c>
    </row>
    <row r="211" spans="1:17" ht="12.75">
      <c r="A211" s="17" t="s">
        <v>375</v>
      </c>
      <c r="B211" s="54">
        <v>33084</v>
      </c>
      <c r="C211" s="88"/>
      <c r="D211" s="69"/>
      <c r="E211" s="89"/>
      <c r="F211" s="135"/>
      <c r="G211" s="169"/>
      <c r="H211" s="170"/>
      <c r="I211" s="211"/>
      <c r="J211" s="169"/>
      <c r="K211" s="229"/>
      <c r="L211" s="261">
        <f t="shared" si="63"/>
        <v>0</v>
      </c>
      <c r="M211" s="243">
        <f>1600</f>
        <v>1600</v>
      </c>
      <c r="N211" s="170"/>
      <c r="O211" s="211">
        <f t="shared" si="64"/>
        <v>1600</v>
      </c>
      <c r="P211" s="171">
        <f>-19.99</f>
        <v>-19.99</v>
      </c>
      <c r="Q211" s="299">
        <f t="shared" si="65"/>
        <v>1580.01</v>
      </c>
    </row>
    <row r="212" spans="1:17" ht="12.75">
      <c r="A212" s="17" t="s">
        <v>336</v>
      </c>
      <c r="B212" s="54">
        <v>13305</v>
      </c>
      <c r="C212" s="88"/>
      <c r="D212" s="69"/>
      <c r="E212" s="89"/>
      <c r="F212" s="135">
        <f t="shared" si="61"/>
        <v>0</v>
      </c>
      <c r="G212" s="169">
        <f>4424.26</f>
        <v>4424.26</v>
      </c>
      <c r="H212" s="170"/>
      <c r="I212" s="211">
        <f t="shared" si="62"/>
        <v>4424.26</v>
      </c>
      <c r="J212" s="169">
        <f>2949.51</f>
        <v>2949.51</v>
      </c>
      <c r="K212" s="229"/>
      <c r="L212" s="261">
        <f t="shared" si="63"/>
        <v>7373.77</v>
      </c>
      <c r="M212" s="243"/>
      <c r="N212" s="170"/>
      <c r="O212" s="211">
        <f t="shared" si="64"/>
        <v>7373.77</v>
      </c>
      <c r="P212" s="171"/>
      <c r="Q212" s="299">
        <f t="shared" si="65"/>
        <v>7373.77</v>
      </c>
    </row>
    <row r="213" spans="1:17" ht="12.75" hidden="1">
      <c r="A213" s="17" t="s">
        <v>254</v>
      </c>
      <c r="B213" s="244" t="s">
        <v>255</v>
      </c>
      <c r="C213" s="88"/>
      <c r="D213" s="69"/>
      <c r="E213" s="89"/>
      <c r="F213" s="135">
        <f t="shared" si="61"/>
        <v>0</v>
      </c>
      <c r="G213" s="169"/>
      <c r="H213" s="170"/>
      <c r="I213" s="211">
        <f t="shared" si="62"/>
        <v>0</v>
      </c>
      <c r="J213" s="169"/>
      <c r="K213" s="229"/>
      <c r="L213" s="261">
        <f t="shared" si="63"/>
        <v>0</v>
      </c>
      <c r="M213" s="243"/>
      <c r="N213" s="170"/>
      <c r="O213" s="211">
        <f t="shared" si="64"/>
        <v>0</v>
      </c>
      <c r="P213" s="171"/>
      <c r="Q213" s="299">
        <f t="shared" si="65"/>
        <v>0</v>
      </c>
    </row>
    <row r="214" spans="1:17" ht="12.75">
      <c r="A214" s="17" t="s">
        <v>348</v>
      </c>
      <c r="B214" s="244"/>
      <c r="C214" s="88"/>
      <c r="D214" s="69"/>
      <c r="E214" s="89"/>
      <c r="F214" s="135">
        <f t="shared" si="61"/>
        <v>0</v>
      </c>
      <c r="G214" s="169">
        <f>242.53</f>
        <v>242.53</v>
      </c>
      <c r="H214" s="170"/>
      <c r="I214" s="211">
        <f t="shared" si="62"/>
        <v>242.53</v>
      </c>
      <c r="J214" s="169">
        <f>22.22</f>
        <v>22.22</v>
      </c>
      <c r="K214" s="229"/>
      <c r="L214" s="261">
        <f t="shared" si="63"/>
        <v>264.75</v>
      </c>
      <c r="M214" s="243"/>
      <c r="N214" s="170"/>
      <c r="O214" s="211">
        <f t="shared" si="64"/>
        <v>264.75</v>
      </c>
      <c r="P214" s="171"/>
      <c r="Q214" s="299">
        <f t="shared" si="65"/>
        <v>264.75</v>
      </c>
    </row>
    <row r="215" spans="1:17" ht="12.75">
      <c r="A215" s="17" t="s">
        <v>365</v>
      </c>
      <c r="B215" s="244" t="s">
        <v>366</v>
      </c>
      <c r="C215" s="88"/>
      <c r="D215" s="69"/>
      <c r="E215" s="89"/>
      <c r="F215" s="135"/>
      <c r="G215" s="169"/>
      <c r="H215" s="170"/>
      <c r="I215" s="211">
        <f t="shared" si="62"/>
        <v>0</v>
      </c>
      <c r="J215" s="169">
        <f>1119.76</f>
        <v>1119.76</v>
      </c>
      <c r="K215" s="229"/>
      <c r="L215" s="261">
        <f t="shared" si="63"/>
        <v>1119.76</v>
      </c>
      <c r="M215" s="243"/>
      <c r="N215" s="170"/>
      <c r="O215" s="211">
        <f t="shared" si="64"/>
        <v>1119.76</v>
      </c>
      <c r="P215" s="171"/>
      <c r="Q215" s="299">
        <f t="shared" si="65"/>
        <v>1119.76</v>
      </c>
    </row>
    <row r="216" spans="1:17" ht="12.75">
      <c r="A216" s="17" t="s">
        <v>372</v>
      </c>
      <c r="B216" s="244">
        <v>34002</v>
      </c>
      <c r="C216" s="88"/>
      <c r="D216" s="69"/>
      <c r="E216" s="89"/>
      <c r="F216" s="135"/>
      <c r="G216" s="169"/>
      <c r="H216" s="170"/>
      <c r="I216" s="211"/>
      <c r="J216" s="169"/>
      <c r="K216" s="229"/>
      <c r="L216" s="261">
        <f t="shared" si="63"/>
        <v>0</v>
      </c>
      <c r="M216" s="243">
        <f>72</f>
        <v>72</v>
      </c>
      <c r="N216" s="170"/>
      <c r="O216" s="211">
        <f t="shared" si="64"/>
        <v>72</v>
      </c>
      <c r="P216" s="171"/>
      <c r="Q216" s="299">
        <f t="shared" si="65"/>
        <v>72</v>
      </c>
    </row>
    <row r="217" spans="1:17" ht="12.75">
      <c r="A217" s="33" t="s">
        <v>362</v>
      </c>
      <c r="B217" s="244" t="s">
        <v>363</v>
      </c>
      <c r="C217" s="88"/>
      <c r="D217" s="69"/>
      <c r="E217" s="89"/>
      <c r="F217" s="135"/>
      <c r="G217" s="169"/>
      <c r="H217" s="170"/>
      <c r="I217" s="211">
        <f t="shared" si="62"/>
        <v>0</v>
      </c>
      <c r="J217" s="169">
        <f>600+3400</f>
        <v>4000</v>
      </c>
      <c r="K217" s="229"/>
      <c r="L217" s="261">
        <f t="shared" si="63"/>
        <v>4000</v>
      </c>
      <c r="M217" s="243"/>
      <c r="N217" s="170"/>
      <c r="O217" s="211">
        <f t="shared" si="64"/>
        <v>4000</v>
      </c>
      <c r="P217" s="171"/>
      <c r="Q217" s="299">
        <f t="shared" si="65"/>
        <v>4000</v>
      </c>
    </row>
    <row r="218" spans="1:17" ht="12.75">
      <c r="A218" s="17" t="s">
        <v>308</v>
      </c>
      <c r="B218" s="54">
        <v>2054</v>
      </c>
      <c r="C218" s="88"/>
      <c r="D218" s="69">
        <f>2734.5-379.25</f>
        <v>2355.25</v>
      </c>
      <c r="E218" s="89"/>
      <c r="F218" s="135">
        <f t="shared" si="61"/>
        <v>2355.25</v>
      </c>
      <c r="G218" s="169"/>
      <c r="H218" s="170"/>
      <c r="I218" s="211">
        <f t="shared" si="62"/>
        <v>2355.25</v>
      </c>
      <c r="J218" s="169"/>
      <c r="K218" s="229"/>
      <c r="L218" s="261">
        <f t="shared" si="63"/>
        <v>2355.25</v>
      </c>
      <c r="M218" s="243"/>
      <c r="N218" s="170"/>
      <c r="O218" s="211">
        <f t="shared" si="64"/>
        <v>2355.25</v>
      </c>
      <c r="P218" s="171"/>
      <c r="Q218" s="299">
        <f t="shared" si="65"/>
        <v>2355.25</v>
      </c>
    </row>
    <row r="219" spans="1:17" ht="12.75">
      <c r="A219" s="17" t="s">
        <v>288</v>
      </c>
      <c r="B219" s="54">
        <v>2054</v>
      </c>
      <c r="C219" s="88"/>
      <c r="D219" s="69">
        <f>1443.45</f>
        <v>1443.45</v>
      </c>
      <c r="E219" s="89"/>
      <c r="F219" s="135">
        <f t="shared" si="61"/>
        <v>1443.45</v>
      </c>
      <c r="G219" s="169"/>
      <c r="H219" s="170"/>
      <c r="I219" s="211">
        <f t="shared" si="62"/>
        <v>1443.45</v>
      </c>
      <c r="J219" s="169"/>
      <c r="K219" s="229"/>
      <c r="L219" s="261">
        <f t="shared" si="63"/>
        <v>1443.45</v>
      </c>
      <c r="M219" s="243">
        <f>1525.08</f>
        <v>1525.08</v>
      </c>
      <c r="N219" s="170"/>
      <c r="O219" s="211">
        <f t="shared" si="64"/>
        <v>2968.5299999999997</v>
      </c>
      <c r="P219" s="171"/>
      <c r="Q219" s="299">
        <f t="shared" si="65"/>
        <v>2968.5299999999997</v>
      </c>
    </row>
    <row r="220" spans="1:17" ht="12.75">
      <c r="A220" s="17" t="s">
        <v>309</v>
      </c>
      <c r="B220" s="54">
        <v>2066</v>
      </c>
      <c r="C220" s="88"/>
      <c r="D220" s="69">
        <f>1602.74</f>
        <v>1602.74</v>
      </c>
      <c r="E220" s="89"/>
      <c r="F220" s="135">
        <f t="shared" si="61"/>
        <v>1602.74</v>
      </c>
      <c r="G220" s="169">
        <f>4357.97</f>
        <v>4357.97</v>
      </c>
      <c r="H220" s="170"/>
      <c r="I220" s="211">
        <f>F220+G220+H220</f>
        <v>5960.71</v>
      </c>
      <c r="J220" s="169"/>
      <c r="K220" s="229"/>
      <c r="L220" s="261">
        <f t="shared" si="63"/>
        <v>5960.71</v>
      </c>
      <c r="M220" s="243"/>
      <c r="N220" s="170"/>
      <c r="O220" s="211">
        <f t="shared" si="64"/>
        <v>5960.71</v>
      </c>
      <c r="P220" s="171"/>
      <c r="Q220" s="299">
        <f t="shared" si="65"/>
        <v>5960.71</v>
      </c>
    </row>
    <row r="221" spans="1:17" ht="12.75">
      <c r="A221" s="17" t="s">
        <v>266</v>
      </c>
      <c r="B221" s="54">
        <v>2066</v>
      </c>
      <c r="C221" s="88"/>
      <c r="D221" s="69"/>
      <c r="E221" s="89"/>
      <c r="F221" s="135">
        <f t="shared" si="61"/>
        <v>0</v>
      </c>
      <c r="G221" s="169">
        <f>7600</f>
        <v>7600</v>
      </c>
      <c r="H221" s="170"/>
      <c r="I221" s="211">
        <f>F221+G221+H221</f>
        <v>7600</v>
      </c>
      <c r="J221" s="169"/>
      <c r="K221" s="229"/>
      <c r="L221" s="261">
        <f t="shared" si="63"/>
        <v>7600</v>
      </c>
      <c r="M221" s="243"/>
      <c r="N221" s="170"/>
      <c r="O221" s="211">
        <f t="shared" si="64"/>
        <v>7600</v>
      </c>
      <c r="P221" s="171">
        <f>-7412.3</f>
        <v>-7412.3</v>
      </c>
      <c r="Q221" s="299">
        <f t="shared" si="65"/>
        <v>187.69999999999982</v>
      </c>
    </row>
    <row r="222" spans="1:17" ht="12.75">
      <c r="A222" s="17" t="s">
        <v>358</v>
      </c>
      <c r="B222" s="54">
        <v>2081</v>
      </c>
      <c r="C222" s="88"/>
      <c r="D222" s="69"/>
      <c r="E222" s="89"/>
      <c r="F222" s="135"/>
      <c r="G222" s="169"/>
      <c r="H222" s="170"/>
      <c r="I222" s="211">
        <f>F222+G222+H222</f>
        <v>0</v>
      </c>
      <c r="J222" s="169">
        <f>63681.24</f>
        <v>63681.24</v>
      </c>
      <c r="K222" s="229"/>
      <c r="L222" s="261">
        <f t="shared" si="63"/>
        <v>63681.24</v>
      </c>
      <c r="M222" s="243"/>
      <c r="N222" s="170"/>
      <c r="O222" s="211">
        <f t="shared" si="64"/>
        <v>63681.24</v>
      </c>
      <c r="P222" s="171"/>
      <c r="Q222" s="299">
        <f t="shared" si="65"/>
        <v>63681.24</v>
      </c>
    </row>
    <row r="223" spans="1:17" ht="12.75">
      <c r="A223" s="17" t="s">
        <v>383</v>
      </c>
      <c r="B223" s="54">
        <v>29030</v>
      </c>
      <c r="C223" s="88"/>
      <c r="D223" s="69"/>
      <c r="E223" s="89"/>
      <c r="F223" s="135"/>
      <c r="G223" s="169"/>
      <c r="H223" s="170"/>
      <c r="I223" s="211"/>
      <c r="J223" s="169"/>
      <c r="K223" s="229"/>
      <c r="L223" s="261">
        <f t="shared" si="63"/>
        <v>0</v>
      </c>
      <c r="M223" s="243"/>
      <c r="N223" s="170"/>
      <c r="O223" s="211">
        <f t="shared" si="64"/>
        <v>0</v>
      </c>
      <c r="P223" s="171">
        <v>741.66</v>
      </c>
      <c r="Q223" s="299">
        <f t="shared" si="65"/>
        <v>741.66</v>
      </c>
    </row>
    <row r="224" spans="1:17" ht="12.75">
      <c r="A224" s="17" t="s">
        <v>373</v>
      </c>
      <c r="B224" s="54">
        <v>17051</v>
      </c>
      <c r="C224" s="88"/>
      <c r="D224" s="69"/>
      <c r="E224" s="89"/>
      <c r="F224" s="135"/>
      <c r="G224" s="169"/>
      <c r="H224" s="170"/>
      <c r="I224" s="211"/>
      <c r="J224" s="169"/>
      <c r="K224" s="229"/>
      <c r="L224" s="261">
        <f t="shared" si="63"/>
        <v>0</v>
      </c>
      <c r="M224" s="243">
        <f>13.05+35.64+26.27</f>
        <v>74.96</v>
      </c>
      <c r="N224" s="170"/>
      <c r="O224" s="211">
        <f t="shared" si="64"/>
        <v>74.96</v>
      </c>
      <c r="P224" s="171"/>
      <c r="Q224" s="299">
        <f t="shared" si="65"/>
        <v>74.96</v>
      </c>
    </row>
    <row r="225" spans="1:17" ht="12.75">
      <c r="A225" s="17" t="s">
        <v>74</v>
      </c>
      <c r="B225" s="131" t="s">
        <v>252</v>
      </c>
      <c r="C225" s="88">
        <v>250</v>
      </c>
      <c r="D225" s="69">
        <f>30750+7314.21+278.95+15106.37+167.06</f>
        <v>53616.59</v>
      </c>
      <c r="E225" s="89"/>
      <c r="F225" s="135">
        <f t="shared" si="61"/>
        <v>53866.59</v>
      </c>
      <c r="G225" s="169">
        <f>-6664+185.73</f>
        <v>-6478.27</v>
      </c>
      <c r="H225" s="170"/>
      <c r="I225" s="211">
        <f>F225+G225+H225</f>
        <v>47388.31999999999</v>
      </c>
      <c r="J225" s="169"/>
      <c r="K225" s="229"/>
      <c r="L225" s="261">
        <f t="shared" si="63"/>
        <v>47388.31999999999</v>
      </c>
      <c r="M225" s="276">
        <f>13199.47+1004.06</f>
        <v>14203.529999999999</v>
      </c>
      <c r="N225" s="170"/>
      <c r="O225" s="211">
        <f t="shared" si="64"/>
        <v>61591.84999999999</v>
      </c>
      <c r="P225" s="171">
        <f>6664</f>
        <v>6664</v>
      </c>
      <c r="Q225" s="299">
        <f t="shared" si="65"/>
        <v>68255.84999999999</v>
      </c>
    </row>
    <row r="226" spans="1:17" ht="12.75">
      <c r="A226" s="17" t="s">
        <v>50</v>
      </c>
      <c r="B226" s="54"/>
      <c r="C226" s="88">
        <v>43533.07</v>
      </c>
      <c r="D226" s="69">
        <f>-4500+1007.6-14978.98+400</f>
        <v>-18071.38</v>
      </c>
      <c r="E226" s="89"/>
      <c r="F226" s="135">
        <f t="shared" si="61"/>
        <v>25461.69</v>
      </c>
      <c r="G226" s="169">
        <f>-6148.89</f>
        <v>-6148.89</v>
      </c>
      <c r="H226" s="170"/>
      <c r="I226" s="211">
        <f>F226+G226+H226</f>
        <v>19312.8</v>
      </c>
      <c r="J226" s="169">
        <f>-200-6303.15</f>
        <v>-6503.15</v>
      </c>
      <c r="K226" s="229"/>
      <c r="L226" s="261">
        <f>I226+J226+K226</f>
        <v>12809.65</v>
      </c>
      <c r="M226" s="276">
        <f>-7390.74-719.54</f>
        <v>-8110.28</v>
      </c>
      <c r="N226" s="170"/>
      <c r="O226" s="211">
        <f t="shared" si="64"/>
        <v>4699.37</v>
      </c>
      <c r="P226" s="171">
        <f>-100</f>
        <v>-100</v>
      </c>
      <c r="Q226" s="299">
        <f t="shared" si="65"/>
        <v>4599.37</v>
      </c>
    </row>
    <row r="227" spans="1:17" ht="12.75">
      <c r="A227" s="20" t="s">
        <v>53</v>
      </c>
      <c r="B227" s="58"/>
      <c r="C227" s="109">
        <f>SUM(C229:C239)</f>
        <v>740</v>
      </c>
      <c r="D227" s="75">
        <f aca="true" t="shared" si="66" ref="D227:Q227">SUM(D229:D239)</f>
        <v>10070.1</v>
      </c>
      <c r="E227" s="124">
        <f t="shared" si="66"/>
        <v>0</v>
      </c>
      <c r="F227" s="140">
        <f t="shared" si="66"/>
        <v>10810.1</v>
      </c>
      <c r="G227" s="179">
        <f t="shared" si="66"/>
        <v>7027.51</v>
      </c>
      <c r="H227" s="180">
        <f t="shared" si="66"/>
        <v>0</v>
      </c>
      <c r="I227" s="215">
        <f t="shared" si="66"/>
        <v>17837.61</v>
      </c>
      <c r="J227" s="179">
        <f t="shared" si="66"/>
        <v>9738.869999999999</v>
      </c>
      <c r="K227" s="232">
        <f t="shared" si="66"/>
        <v>0</v>
      </c>
      <c r="L227" s="265">
        <f t="shared" si="66"/>
        <v>27576.48</v>
      </c>
      <c r="M227" s="232">
        <f t="shared" si="66"/>
        <v>3758.93</v>
      </c>
      <c r="N227" s="180">
        <f t="shared" si="66"/>
        <v>0</v>
      </c>
      <c r="O227" s="215">
        <f t="shared" si="66"/>
        <v>31335.410000000003</v>
      </c>
      <c r="P227" s="179">
        <f t="shared" si="66"/>
        <v>6457.83</v>
      </c>
      <c r="Q227" s="215">
        <f t="shared" si="66"/>
        <v>37793.240000000005</v>
      </c>
    </row>
    <row r="228" spans="1:17" ht="12.75">
      <c r="A228" s="15" t="s">
        <v>26</v>
      </c>
      <c r="B228" s="54"/>
      <c r="C228" s="88"/>
      <c r="D228" s="69"/>
      <c r="E228" s="89"/>
      <c r="F228" s="135"/>
      <c r="G228" s="169"/>
      <c r="H228" s="170"/>
      <c r="I228" s="210"/>
      <c r="J228" s="169"/>
      <c r="K228" s="229"/>
      <c r="L228" s="260"/>
      <c r="M228" s="243"/>
      <c r="N228" s="170"/>
      <c r="O228" s="210"/>
      <c r="P228" s="171"/>
      <c r="Q228" s="299"/>
    </row>
    <row r="229" spans="1:17" ht="12.75">
      <c r="A229" s="17" t="s">
        <v>82</v>
      </c>
      <c r="B229" s="54"/>
      <c r="C229" s="88">
        <v>740</v>
      </c>
      <c r="D229" s="69">
        <f>820.1</f>
        <v>820.1</v>
      </c>
      <c r="E229" s="89"/>
      <c r="F229" s="135">
        <f aca="true" t="shared" si="67" ref="F229:F239">C229+D229+E229</f>
        <v>1560.1</v>
      </c>
      <c r="G229" s="169">
        <f>273.4</f>
        <v>273.4</v>
      </c>
      <c r="H229" s="170"/>
      <c r="I229" s="211">
        <f aca="true" t="shared" si="68" ref="I229:I239">F229+G229+H229</f>
        <v>1833.5</v>
      </c>
      <c r="J229" s="169">
        <f>842.93</f>
        <v>842.93</v>
      </c>
      <c r="K229" s="229"/>
      <c r="L229" s="261">
        <f aca="true" t="shared" si="69" ref="L229:L239">I229+J229+K229</f>
        <v>2676.43</v>
      </c>
      <c r="M229" s="243">
        <f>-19.05</f>
        <v>-19.05</v>
      </c>
      <c r="N229" s="170"/>
      <c r="O229" s="211">
        <f>L229+M229+N229</f>
        <v>2657.3799999999997</v>
      </c>
      <c r="P229" s="171">
        <f>-16.26</f>
        <v>-16.26</v>
      </c>
      <c r="Q229" s="299">
        <f aca="true" t="shared" si="70" ref="Q229:Q239">O229+P229</f>
        <v>2641.1199999999994</v>
      </c>
    </row>
    <row r="230" spans="1:17" ht="12.75" hidden="1">
      <c r="A230" s="17" t="s">
        <v>254</v>
      </c>
      <c r="B230" s="54" t="s">
        <v>256</v>
      </c>
      <c r="C230" s="88"/>
      <c r="D230" s="69"/>
      <c r="E230" s="89"/>
      <c r="F230" s="135">
        <f t="shared" si="67"/>
        <v>0</v>
      </c>
      <c r="G230" s="169"/>
      <c r="H230" s="170"/>
      <c r="I230" s="211">
        <f t="shared" si="68"/>
        <v>0</v>
      </c>
      <c r="J230" s="169"/>
      <c r="K230" s="229"/>
      <c r="L230" s="261">
        <f t="shared" si="69"/>
        <v>0</v>
      </c>
      <c r="M230" s="243"/>
      <c r="N230" s="170"/>
      <c r="O230" s="211">
        <f aca="true" t="shared" si="71" ref="O230:O236">L230+M230+N230</f>
        <v>0</v>
      </c>
      <c r="P230" s="171"/>
      <c r="Q230" s="299">
        <f t="shared" si="70"/>
        <v>0</v>
      </c>
    </row>
    <row r="231" spans="1:17" ht="12.75">
      <c r="A231" s="17" t="s">
        <v>335</v>
      </c>
      <c r="B231" s="54">
        <v>33504</v>
      </c>
      <c r="C231" s="88"/>
      <c r="D231" s="69"/>
      <c r="E231" s="89"/>
      <c r="F231" s="135">
        <f t="shared" si="67"/>
        <v>0</v>
      </c>
      <c r="G231" s="169">
        <f>79.99</f>
        <v>79.99</v>
      </c>
      <c r="H231" s="170"/>
      <c r="I231" s="211">
        <f t="shared" si="68"/>
        <v>79.99</v>
      </c>
      <c r="J231" s="169"/>
      <c r="K231" s="229"/>
      <c r="L231" s="261">
        <f t="shared" si="69"/>
        <v>79.99</v>
      </c>
      <c r="M231" s="243"/>
      <c r="N231" s="170"/>
      <c r="O231" s="211">
        <f t="shared" si="71"/>
        <v>79.99</v>
      </c>
      <c r="P231" s="171">
        <f>90</f>
        <v>90</v>
      </c>
      <c r="Q231" s="299">
        <f t="shared" si="70"/>
        <v>169.99</v>
      </c>
    </row>
    <row r="232" spans="1:17" ht="12.75">
      <c r="A232" s="17" t="s">
        <v>365</v>
      </c>
      <c r="B232" s="244" t="s">
        <v>366</v>
      </c>
      <c r="C232" s="88"/>
      <c r="D232" s="69"/>
      <c r="E232" s="89"/>
      <c r="F232" s="135"/>
      <c r="G232" s="169"/>
      <c r="H232" s="170"/>
      <c r="I232" s="211">
        <f t="shared" si="68"/>
        <v>0</v>
      </c>
      <c r="J232" s="169">
        <f>926.7</f>
        <v>926.7</v>
      </c>
      <c r="K232" s="229"/>
      <c r="L232" s="261">
        <f t="shared" si="69"/>
        <v>926.7</v>
      </c>
      <c r="M232" s="243"/>
      <c r="N232" s="170"/>
      <c r="O232" s="211">
        <f t="shared" si="71"/>
        <v>926.7</v>
      </c>
      <c r="P232" s="171"/>
      <c r="Q232" s="299">
        <f t="shared" si="70"/>
        <v>926.7</v>
      </c>
    </row>
    <row r="233" spans="1:17" ht="12.75">
      <c r="A233" s="17" t="s">
        <v>385</v>
      </c>
      <c r="B233" s="244"/>
      <c r="C233" s="88"/>
      <c r="D233" s="69"/>
      <c r="E233" s="89"/>
      <c r="F233" s="135"/>
      <c r="G233" s="169"/>
      <c r="H233" s="170"/>
      <c r="I233" s="211"/>
      <c r="J233" s="169"/>
      <c r="K233" s="229"/>
      <c r="L233" s="261">
        <f t="shared" si="69"/>
        <v>0</v>
      </c>
      <c r="M233" s="243"/>
      <c r="N233" s="170"/>
      <c r="O233" s="211">
        <f t="shared" si="71"/>
        <v>0</v>
      </c>
      <c r="P233" s="171">
        <f>6384.09</f>
        <v>6384.09</v>
      </c>
      <c r="Q233" s="299">
        <f t="shared" si="70"/>
        <v>6384.09</v>
      </c>
    </row>
    <row r="234" spans="1:17" ht="12.75">
      <c r="A234" s="17" t="s">
        <v>309</v>
      </c>
      <c r="B234" s="54">
        <v>2066</v>
      </c>
      <c r="C234" s="88"/>
      <c r="D234" s="69"/>
      <c r="E234" s="89"/>
      <c r="F234" s="135">
        <f t="shared" si="67"/>
        <v>0</v>
      </c>
      <c r="G234" s="169">
        <f>9.61</f>
        <v>9.61</v>
      </c>
      <c r="H234" s="170"/>
      <c r="I234" s="211">
        <f t="shared" si="68"/>
        <v>9.61</v>
      </c>
      <c r="J234" s="169"/>
      <c r="K234" s="229"/>
      <c r="L234" s="261">
        <f t="shared" si="69"/>
        <v>9.61</v>
      </c>
      <c r="M234" s="243"/>
      <c r="N234" s="170"/>
      <c r="O234" s="211">
        <f t="shared" si="71"/>
        <v>9.61</v>
      </c>
      <c r="P234" s="171"/>
      <c r="Q234" s="299">
        <f t="shared" si="70"/>
        <v>9.61</v>
      </c>
    </row>
    <row r="235" spans="1:17" ht="12.75">
      <c r="A235" s="17" t="s">
        <v>358</v>
      </c>
      <c r="B235" s="54">
        <v>2081</v>
      </c>
      <c r="C235" s="88"/>
      <c r="D235" s="69"/>
      <c r="E235" s="89"/>
      <c r="F235" s="135"/>
      <c r="G235" s="169"/>
      <c r="H235" s="170"/>
      <c r="I235" s="211">
        <f t="shared" si="68"/>
        <v>0</v>
      </c>
      <c r="J235" s="169">
        <f>7969.24</f>
        <v>7969.24</v>
      </c>
      <c r="K235" s="229"/>
      <c r="L235" s="261">
        <f t="shared" si="69"/>
        <v>7969.24</v>
      </c>
      <c r="M235" s="243"/>
      <c r="N235" s="170"/>
      <c r="O235" s="211">
        <f t="shared" si="71"/>
        <v>7969.24</v>
      </c>
      <c r="P235" s="171"/>
      <c r="Q235" s="299">
        <f t="shared" si="70"/>
        <v>7969.24</v>
      </c>
    </row>
    <row r="236" spans="1:17" ht="12.75" hidden="1">
      <c r="A236" s="17" t="s">
        <v>68</v>
      </c>
      <c r="B236" s="54"/>
      <c r="C236" s="88"/>
      <c r="D236" s="69"/>
      <c r="E236" s="89"/>
      <c r="F236" s="135">
        <f t="shared" si="67"/>
        <v>0</v>
      </c>
      <c r="G236" s="169"/>
      <c r="H236" s="170"/>
      <c r="I236" s="211">
        <f t="shared" si="68"/>
        <v>0</v>
      </c>
      <c r="J236" s="169"/>
      <c r="K236" s="229"/>
      <c r="L236" s="261">
        <f t="shared" si="69"/>
        <v>0</v>
      </c>
      <c r="M236" s="243"/>
      <c r="N236" s="170"/>
      <c r="O236" s="211">
        <f t="shared" si="71"/>
        <v>0</v>
      </c>
      <c r="P236" s="171"/>
      <c r="Q236" s="299">
        <f t="shared" si="70"/>
        <v>0</v>
      </c>
    </row>
    <row r="237" spans="1:17" ht="12.75" hidden="1">
      <c r="A237" s="17" t="s">
        <v>83</v>
      </c>
      <c r="B237" s="54"/>
      <c r="C237" s="88"/>
      <c r="D237" s="69"/>
      <c r="E237" s="89"/>
      <c r="F237" s="135">
        <f t="shared" si="67"/>
        <v>0</v>
      </c>
      <c r="G237" s="169"/>
      <c r="H237" s="170"/>
      <c r="I237" s="211">
        <f t="shared" si="68"/>
        <v>0</v>
      </c>
      <c r="J237" s="169"/>
      <c r="K237" s="229"/>
      <c r="L237" s="261">
        <f t="shared" si="69"/>
        <v>0</v>
      </c>
      <c r="M237" s="243"/>
      <c r="N237" s="170"/>
      <c r="O237" s="211">
        <f>L237+M237+N237</f>
        <v>0</v>
      </c>
      <c r="P237" s="171"/>
      <c r="Q237" s="299">
        <f t="shared" si="70"/>
        <v>0</v>
      </c>
    </row>
    <row r="238" spans="1:17" ht="12.75" hidden="1">
      <c r="A238" s="17" t="s">
        <v>54</v>
      </c>
      <c r="B238" s="54"/>
      <c r="C238" s="88"/>
      <c r="D238" s="69"/>
      <c r="E238" s="89"/>
      <c r="F238" s="135">
        <f t="shared" si="67"/>
        <v>0</v>
      </c>
      <c r="G238" s="169"/>
      <c r="H238" s="170"/>
      <c r="I238" s="211">
        <f t="shared" si="68"/>
        <v>0</v>
      </c>
      <c r="J238" s="169"/>
      <c r="K238" s="233"/>
      <c r="L238" s="261">
        <f t="shared" si="69"/>
        <v>0</v>
      </c>
      <c r="M238" s="243"/>
      <c r="N238" s="170"/>
      <c r="O238" s="211">
        <f>L238+M238+N238</f>
        <v>0</v>
      </c>
      <c r="P238" s="171"/>
      <c r="Q238" s="299">
        <f t="shared" si="70"/>
        <v>0</v>
      </c>
    </row>
    <row r="239" spans="1:17" ht="12.75">
      <c r="A239" s="23" t="s">
        <v>74</v>
      </c>
      <c r="B239" s="57"/>
      <c r="C239" s="108"/>
      <c r="D239" s="74">
        <f>9250</f>
        <v>9250</v>
      </c>
      <c r="E239" s="155"/>
      <c r="F239" s="164">
        <f t="shared" si="67"/>
        <v>9250</v>
      </c>
      <c r="G239" s="181">
        <f>6664+0.51</f>
        <v>6664.51</v>
      </c>
      <c r="H239" s="182"/>
      <c r="I239" s="216">
        <f t="shared" si="68"/>
        <v>15914.51</v>
      </c>
      <c r="J239" s="181"/>
      <c r="K239" s="255"/>
      <c r="L239" s="266">
        <f t="shared" si="69"/>
        <v>15914.51</v>
      </c>
      <c r="M239" s="240">
        <f>3777.98</f>
        <v>3777.98</v>
      </c>
      <c r="N239" s="182"/>
      <c r="O239" s="216">
        <f>L239+M239+N239</f>
        <v>19692.49</v>
      </c>
      <c r="P239" s="296"/>
      <c r="Q239" s="295">
        <f t="shared" si="70"/>
        <v>19692.49</v>
      </c>
    </row>
    <row r="240" spans="1:17" ht="12.75">
      <c r="A240" s="10" t="s">
        <v>84</v>
      </c>
      <c r="B240" s="58"/>
      <c r="C240" s="94">
        <f aca="true" t="shared" si="72" ref="C240:O240">C241+C256</f>
        <v>653095</v>
      </c>
      <c r="D240" s="68">
        <f t="shared" si="72"/>
        <v>88399.81999999999</v>
      </c>
      <c r="E240" s="95">
        <f t="shared" si="72"/>
        <v>0</v>
      </c>
      <c r="F240" s="134">
        <f t="shared" si="72"/>
        <v>741494.8200000001</v>
      </c>
      <c r="G240" s="167">
        <f t="shared" si="72"/>
        <v>34156.22</v>
      </c>
      <c r="H240" s="168">
        <f t="shared" si="72"/>
        <v>2980.5</v>
      </c>
      <c r="I240" s="210">
        <f t="shared" si="72"/>
        <v>778631.5400000002</v>
      </c>
      <c r="J240" s="167">
        <f t="shared" si="72"/>
        <v>11433.619999999999</v>
      </c>
      <c r="K240" s="228">
        <f t="shared" si="72"/>
        <v>0</v>
      </c>
      <c r="L240" s="260">
        <f t="shared" si="72"/>
        <v>790065.16</v>
      </c>
      <c r="M240" s="228">
        <f t="shared" si="72"/>
        <v>28.200000000000045</v>
      </c>
      <c r="N240" s="168">
        <f t="shared" si="72"/>
        <v>0</v>
      </c>
      <c r="O240" s="210">
        <f t="shared" si="72"/>
        <v>790093.36</v>
      </c>
      <c r="P240" s="167">
        <f>P241+P256</f>
        <v>3145.04</v>
      </c>
      <c r="Q240" s="210">
        <f>Q241+Q256</f>
        <v>793238.4</v>
      </c>
    </row>
    <row r="241" spans="1:17" ht="12.75">
      <c r="A241" s="19" t="s">
        <v>48</v>
      </c>
      <c r="B241" s="58"/>
      <c r="C241" s="107">
        <f aca="true" t="shared" si="73" ref="C241:O241">SUM(C243:C255)</f>
        <v>653095</v>
      </c>
      <c r="D241" s="73">
        <f t="shared" si="73"/>
        <v>32624.92</v>
      </c>
      <c r="E241" s="123">
        <f t="shared" si="73"/>
        <v>0</v>
      </c>
      <c r="F241" s="139">
        <f t="shared" si="73"/>
        <v>685719.92</v>
      </c>
      <c r="G241" s="177">
        <f t="shared" si="73"/>
        <v>25888.01</v>
      </c>
      <c r="H241" s="178">
        <f t="shared" si="73"/>
        <v>2980.5</v>
      </c>
      <c r="I241" s="214">
        <f t="shared" si="73"/>
        <v>714588.4300000002</v>
      </c>
      <c r="J241" s="177">
        <f t="shared" si="73"/>
        <v>-3626.220000000001</v>
      </c>
      <c r="K241" s="218">
        <f t="shared" si="73"/>
        <v>0</v>
      </c>
      <c r="L241" s="264">
        <f t="shared" si="73"/>
        <v>710962.2100000001</v>
      </c>
      <c r="M241" s="218">
        <f t="shared" si="73"/>
        <v>-1271.8</v>
      </c>
      <c r="N241" s="178">
        <f t="shared" si="73"/>
        <v>-32300</v>
      </c>
      <c r="O241" s="214">
        <f t="shared" si="73"/>
        <v>677390.41</v>
      </c>
      <c r="P241" s="177">
        <f>SUM(P243:P255)</f>
        <v>3145.04</v>
      </c>
      <c r="Q241" s="214">
        <f>SUM(Q243:Q255)</f>
        <v>680535.4500000001</v>
      </c>
    </row>
    <row r="242" spans="1:17" ht="12.75">
      <c r="A242" s="15" t="s">
        <v>26</v>
      </c>
      <c r="B242" s="54"/>
      <c r="C242" s="88"/>
      <c r="D242" s="69"/>
      <c r="E242" s="89"/>
      <c r="F242" s="134"/>
      <c r="G242" s="169"/>
      <c r="H242" s="170"/>
      <c r="I242" s="210"/>
      <c r="J242" s="169"/>
      <c r="K242" s="229"/>
      <c r="L242" s="260"/>
      <c r="M242" s="243"/>
      <c r="N242" s="170"/>
      <c r="O242" s="210"/>
      <c r="P242" s="171"/>
      <c r="Q242" s="299"/>
    </row>
    <row r="243" spans="1:17" ht="12.75">
      <c r="A243" s="12" t="s">
        <v>72</v>
      </c>
      <c r="B243" s="54"/>
      <c r="C243" s="88">
        <v>322770</v>
      </c>
      <c r="D243" s="69"/>
      <c r="E243" s="89"/>
      <c r="F243" s="135">
        <f aca="true" t="shared" si="74" ref="F243:F255">C243+D243+E243</f>
        <v>322770</v>
      </c>
      <c r="G243" s="169"/>
      <c r="H243" s="170">
        <f>600</f>
        <v>600</v>
      </c>
      <c r="I243" s="211">
        <f aca="true" t="shared" si="75" ref="I243:I255">F243+G243+H243</f>
        <v>323370</v>
      </c>
      <c r="J243" s="169"/>
      <c r="K243" s="229"/>
      <c r="L243" s="261">
        <f aca="true" t="shared" si="76" ref="L243:L255">I243+J243+K243</f>
        <v>323370</v>
      </c>
      <c r="M243" s="243"/>
      <c r="N243" s="170">
        <f>-34375</f>
        <v>-34375</v>
      </c>
      <c r="O243" s="211">
        <f aca="true" t="shared" si="77" ref="O243:O255">L243+M243+N243</f>
        <v>288995</v>
      </c>
      <c r="P243" s="171"/>
      <c r="Q243" s="299">
        <f>O243+P243</f>
        <v>288995</v>
      </c>
    </row>
    <row r="244" spans="1:17" ht="12.75">
      <c r="A244" s="55" t="s">
        <v>198</v>
      </c>
      <c r="B244" s="54"/>
      <c r="C244" s="88"/>
      <c r="D244" s="69">
        <f>21000</f>
        <v>21000</v>
      </c>
      <c r="E244" s="89"/>
      <c r="F244" s="135">
        <f t="shared" si="74"/>
        <v>21000</v>
      </c>
      <c r="G244" s="169"/>
      <c r="H244" s="170">
        <f>-600</f>
        <v>-600</v>
      </c>
      <c r="I244" s="211">
        <f t="shared" si="75"/>
        <v>20400</v>
      </c>
      <c r="J244" s="169">
        <f>-10000</f>
        <v>-10000</v>
      </c>
      <c r="K244" s="229"/>
      <c r="L244" s="261">
        <f t="shared" si="76"/>
        <v>10400</v>
      </c>
      <c r="M244" s="243">
        <f>-1300</f>
        <v>-1300</v>
      </c>
      <c r="N244" s="170">
        <f>2075</f>
        <v>2075</v>
      </c>
      <c r="O244" s="211">
        <f t="shared" si="77"/>
        <v>11175</v>
      </c>
      <c r="P244" s="171"/>
      <c r="Q244" s="299">
        <f aca="true" t="shared" si="78" ref="Q244:Q254">O244+P244</f>
        <v>11175</v>
      </c>
    </row>
    <row r="245" spans="1:17" ht="12.75">
      <c r="A245" s="17" t="s">
        <v>63</v>
      </c>
      <c r="B245" s="54"/>
      <c r="C245" s="88">
        <v>236200</v>
      </c>
      <c r="D245" s="69"/>
      <c r="E245" s="89"/>
      <c r="F245" s="135">
        <f t="shared" si="74"/>
        <v>236200</v>
      </c>
      <c r="G245" s="169"/>
      <c r="H245" s="170">
        <f>2980.5</f>
        <v>2980.5</v>
      </c>
      <c r="I245" s="211">
        <f t="shared" si="75"/>
        <v>239180.5</v>
      </c>
      <c r="J245" s="169"/>
      <c r="K245" s="229"/>
      <c r="L245" s="261">
        <f t="shared" si="76"/>
        <v>239180.5</v>
      </c>
      <c r="M245" s="243"/>
      <c r="N245" s="170"/>
      <c r="O245" s="211">
        <f t="shared" si="77"/>
        <v>239180.5</v>
      </c>
      <c r="P245" s="171"/>
      <c r="Q245" s="299">
        <f t="shared" si="78"/>
        <v>239180.5</v>
      </c>
    </row>
    <row r="246" spans="1:17" ht="12.75" hidden="1">
      <c r="A246" s="17" t="s">
        <v>164</v>
      </c>
      <c r="B246" s="54"/>
      <c r="C246" s="88">
        <v>0</v>
      </c>
      <c r="D246" s="76"/>
      <c r="E246" s="89"/>
      <c r="F246" s="135">
        <f t="shared" si="74"/>
        <v>0</v>
      </c>
      <c r="G246" s="169"/>
      <c r="H246" s="170"/>
      <c r="I246" s="211">
        <f t="shared" si="75"/>
        <v>0</v>
      </c>
      <c r="J246" s="169"/>
      <c r="K246" s="229"/>
      <c r="L246" s="261">
        <f t="shared" si="76"/>
        <v>0</v>
      </c>
      <c r="M246" s="243"/>
      <c r="N246" s="170"/>
      <c r="O246" s="211">
        <f t="shared" si="77"/>
        <v>0</v>
      </c>
      <c r="P246" s="171"/>
      <c r="Q246" s="299">
        <f t="shared" si="78"/>
        <v>0</v>
      </c>
    </row>
    <row r="247" spans="1:17" ht="12.75">
      <c r="A247" s="17" t="s">
        <v>50</v>
      </c>
      <c r="B247" s="54"/>
      <c r="C247" s="90">
        <v>94125</v>
      </c>
      <c r="D247" s="69">
        <f>2170+201.67+170+322</f>
        <v>2863.67</v>
      </c>
      <c r="E247" s="89"/>
      <c r="F247" s="135">
        <f t="shared" si="74"/>
        <v>96988.67</v>
      </c>
      <c r="G247" s="169">
        <f>1092.1+12.1-170</f>
        <v>934.1999999999998</v>
      </c>
      <c r="H247" s="170"/>
      <c r="I247" s="211">
        <f t="shared" si="75"/>
        <v>97922.87</v>
      </c>
      <c r="J247" s="169">
        <f>100-5000</f>
        <v>-4900</v>
      </c>
      <c r="K247" s="229"/>
      <c r="L247" s="261">
        <f t="shared" si="76"/>
        <v>93022.87</v>
      </c>
      <c r="M247" s="243"/>
      <c r="N247" s="170"/>
      <c r="O247" s="211">
        <f t="shared" si="77"/>
        <v>93022.87</v>
      </c>
      <c r="P247" s="171"/>
      <c r="Q247" s="299">
        <f t="shared" si="78"/>
        <v>93022.87</v>
      </c>
    </row>
    <row r="248" spans="1:17" ht="12.75">
      <c r="A248" s="17" t="s">
        <v>75</v>
      </c>
      <c r="B248" s="54"/>
      <c r="C248" s="90"/>
      <c r="D248" s="69"/>
      <c r="E248" s="89"/>
      <c r="F248" s="135">
        <f t="shared" si="74"/>
        <v>0</v>
      </c>
      <c r="G248" s="169">
        <f>29.04+29.04+58.08</f>
        <v>116.16</v>
      </c>
      <c r="H248" s="170"/>
      <c r="I248" s="211">
        <f t="shared" si="75"/>
        <v>116.16</v>
      </c>
      <c r="J248" s="169">
        <f>10373.63+148.15</f>
        <v>10521.779999999999</v>
      </c>
      <c r="K248" s="229"/>
      <c r="L248" s="261">
        <f t="shared" si="76"/>
        <v>10637.939999999999</v>
      </c>
      <c r="M248" s="243"/>
      <c r="N248" s="170"/>
      <c r="O248" s="211">
        <f t="shared" si="77"/>
        <v>10637.939999999999</v>
      </c>
      <c r="P248" s="171"/>
      <c r="Q248" s="299">
        <f t="shared" si="78"/>
        <v>10637.939999999999</v>
      </c>
    </row>
    <row r="249" spans="1:17" ht="12.75">
      <c r="A249" s="33" t="s">
        <v>321</v>
      </c>
      <c r="B249" s="54">
        <v>35024</v>
      </c>
      <c r="C249" s="90"/>
      <c r="D249" s="69">
        <f>6112.93+648.32</f>
        <v>6761.25</v>
      </c>
      <c r="E249" s="89"/>
      <c r="F249" s="135">
        <f t="shared" si="74"/>
        <v>6761.25</v>
      </c>
      <c r="G249" s="169">
        <f>-151.44</f>
        <v>-151.44</v>
      </c>
      <c r="H249" s="170"/>
      <c r="I249" s="211">
        <f t="shared" si="75"/>
        <v>6609.81</v>
      </c>
      <c r="J249" s="169"/>
      <c r="K249" s="229"/>
      <c r="L249" s="261">
        <f t="shared" si="76"/>
        <v>6609.81</v>
      </c>
      <c r="M249" s="243"/>
      <c r="N249" s="170"/>
      <c r="O249" s="211">
        <f t="shared" si="77"/>
        <v>6609.81</v>
      </c>
      <c r="P249" s="171"/>
      <c r="Q249" s="299">
        <f t="shared" si="78"/>
        <v>6609.81</v>
      </c>
    </row>
    <row r="250" spans="1:17" ht="12.75">
      <c r="A250" s="33" t="s">
        <v>344</v>
      </c>
      <c r="B250" s="54">
        <v>35025</v>
      </c>
      <c r="C250" s="90"/>
      <c r="D250" s="69"/>
      <c r="E250" s="89"/>
      <c r="F250" s="135">
        <f t="shared" si="74"/>
        <v>0</v>
      </c>
      <c r="G250" s="169">
        <f>21481.06</f>
        <v>21481.06</v>
      </c>
      <c r="H250" s="170"/>
      <c r="I250" s="211">
        <f t="shared" si="75"/>
        <v>21481.06</v>
      </c>
      <c r="J250" s="169"/>
      <c r="K250" s="229"/>
      <c r="L250" s="261">
        <f t="shared" si="76"/>
        <v>21481.06</v>
      </c>
      <c r="M250" s="243"/>
      <c r="N250" s="170"/>
      <c r="O250" s="211">
        <f t="shared" si="77"/>
        <v>21481.06</v>
      </c>
      <c r="P250" s="171"/>
      <c r="Q250" s="299">
        <f t="shared" si="78"/>
        <v>21481.06</v>
      </c>
    </row>
    <row r="251" spans="1:17" ht="12.75">
      <c r="A251" s="15" t="s">
        <v>370</v>
      </c>
      <c r="B251" s="54">
        <v>35026</v>
      </c>
      <c r="C251" s="90"/>
      <c r="D251" s="69"/>
      <c r="E251" s="89"/>
      <c r="F251" s="135"/>
      <c r="G251" s="169"/>
      <c r="H251" s="170"/>
      <c r="I251" s="211">
        <f t="shared" si="75"/>
        <v>0</v>
      </c>
      <c r="J251" s="169">
        <f>24+280+448</f>
        <v>752</v>
      </c>
      <c r="K251" s="229"/>
      <c r="L251" s="261">
        <f t="shared" si="76"/>
        <v>752</v>
      </c>
      <c r="M251" s="243"/>
      <c r="N251" s="170"/>
      <c r="O251" s="211">
        <f t="shared" si="77"/>
        <v>752</v>
      </c>
      <c r="P251" s="171"/>
      <c r="Q251" s="299">
        <f t="shared" si="78"/>
        <v>752</v>
      </c>
    </row>
    <row r="252" spans="1:17" ht="12.75">
      <c r="A252" s="17" t="s">
        <v>263</v>
      </c>
      <c r="B252" s="54">
        <v>35018</v>
      </c>
      <c r="C252" s="90"/>
      <c r="D252" s="69">
        <f>2000</f>
        <v>2000</v>
      </c>
      <c r="E252" s="89"/>
      <c r="F252" s="135">
        <f t="shared" si="74"/>
        <v>2000</v>
      </c>
      <c r="G252" s="169">
        <f>3508.03</f>
        <v>3508.03</v>
      </c>
      <c r="H252" s="170"/>
      <c r="I252" s="211">
        <f t="shared" si="75"/>
        <v>5508.030000000001</v>
      </c>
      <c r="J252" s="169"/>
      <c r="K252" s="229"/>
      <c r="L252" s="261">
        <f t="shared" si="76"/>
        <v>5508.030000000001</v>
      </c>
      <c r="M252" s="243"/>
      <c r="N252" s="170"/>
      <c r="O252" s="211">
        <f t="shared" si="77"/>
        <v>5508.030000000001</v>
      </c>
      <c r="P252" s="171"/>
      <c r="Q252" s="299">
        <f t="shared" si="78"/>
        <v>5508.030000000001</v>
      </c>
    </row>
    <row r="253" spans="1:17" ht="12.75">
      <c r="A253" s="17" t="s">
        <v>301</v>
      </c>
      <c r="B253" s="54"/>
      <c r="C253" s="90"/>
      <c r="D253" s="69"/>
      <c r="E253" s="89"/>
      <c r="F253" s="135">
        <f t="shared" si="74"/>
        <v>0</v>
      </c>
      <c r="G253" s="169"/>
      <c r="H253" s="170"/>
      <c r="I253" s="211">
        <f t="shared" si="75"/>
        <v>0</v>
      </c>
      <c r="J253" s="169"/>
      <c r="K253" s="229"/>
      <c r="L253" s="261">
        <f t="shared" si="76"/>
        <v>0</v>
      </c>
      <c r="M253" s="243">
        <f>28.2</f>
        <v>28.2</v>
      </c>
      <c r="N253" s="170"/>
      <c r="O253" s="211">
        <f t="shared" si="77"/>
        <v>28.2</v>
      </c>
      <c r="P253" s="171">
        <f>468.87</f>
        <v>468.87</v>
      </c>
      <c r="Q253" s="299">
        <f t="shared" si="78"/>
        <v>497.07</v>
      </c>
    </row>
    <row r="254" spans="1:17" ht="12.75">
      <c r="A254" s="33" t="s">
        <v>380</v>
      </c>
      <c r="B254" s="54">
        <v>13307</v>
      </c>
      <c r="C254" s="90"/>
      <c r="D254" s="69"/>
      <c r="E254" s="89"/>
      <c r="F254" s="135"/>
      <c r="G254" s="169"/>
      <c r="H254" s="170"/>
      <c r="I254" s="211"/>
      <c r="J254" s="169"/>
      <c r="K254" s="229"/>
      <c r="L254" s="261">
        <f t="shared" si="76"/>
        <v>0</v>
      </c>
      <c r="M254" s="243"/>
      <c r="N254" s="170"/>
      <c r="O254" s="211">
        <f t="shared" si="77"/>
        <v>0</v>
      </c>
      <c r="P254" s="171">
        <f>2676.17</f>
        <v>2676.17</v>
      </c>
      <c r="Q254" s="299">
        <f t="shared" si="78"/>
        <v>2676.17</v>
      </c>
    </row>
    <row r="255" spans="1:17" ht="12.75" hidden="1">
      <c r="A255" s="17" t="s">
        <v>85</v>
      </c>
      <c r="B255" s="54"/>
      <c r="C255" s="88"/>
      <c r="D255" s="69"/>
      <c r="E255" s="89"/>
      <c r="F255" s="135">
        <f t="shared" si="74"/>
        <v>0</v>
      </c>
      <c r="G255" s="169"/>
      <c r="H255" s="170"/>
      <c r="I255" s="211">
        <f t="shared" si="75"/>
        <v>0</v>
      </c>
      <c r="J255" s="169"/>
      <c r="K255" s="229"/>
      <c r="L255" s="261">
        <f t="shared" si="76"/>
        <v>0</v>
      </c>
      <c r="M255" s="243"/>
      <c r="N255" s="170"/>
      <c r="O255" s="211">
        <f t="shared" si="77"/>
        <v>0</v>
      </c>
      <c r="P255" s="171"/>
      <c r="Q255" s="299">
        <f>O255+P255</f>
        <v>0</v>
      </c>
    </row>
    <row r="256" spans="1:17" ht="12.75">
      <c r="A256" s="19" t="s">
        <v>53</v>
      </c>
      <c r="B256" s="58"/>
      <c r="C256" s="107">
        <f>SUM(C258:C262)</f>
        <v>0</v>
      </c>
      <c r="D256" s="73">
        <f aca="true" t="shared" si="79" ref="D256:Q256">SUM(D258:D262)</f>
        <v>55774.899999999994</v>
      </c>
      <c r="E256" s="123">
        <f t="shared" si="79"/>
        <v>0</v>
      </c>
      <c r="F256" s="139">
        <f t="shared" si="79"/>
        <v>55774.899999999994</v>
      </c>
      <c r="G256" s="177">
        <f t="shared" si="79"/>
        <v>8268.210000000001</v>
      </c>
      <c r="H256" s="178">
        <f t="shared" si="79"/>
        <v>0</v>
      </c>
      <c r="I256" s="214">
        <f t="shared" si="79"/>
        <v>64043.10999999999</v>
      </c>
      <c r="J256" s="177">
        <f t="shared" si="79"/>
        <v>15059.84</v>
      </c>
      <c r="K256" s="218">
        <f t="shared" si="79"/>
        <v>0</v>
      </c>
      <c r="L256" s="264">
        <f t="shared" si="79"/>
        <v>79102.94999999998</v>
      </c>
      <c r="M256" s="218">
        <f t="shared" si="79"/>
        <v>1300</v>
      </c>
      <c r="N256" s="178">
        <f t="shared" si="79"/>
        <v>32300</v>
      </c>
      <c r="O256" s="214">
        <f t="shared" si="79"/>
        <v>112702.94999999998</v>
      </c>
      <c r="P256" s="177">
        <f t="shared" si="79"/>
        <v>0</v>
      </c>
      <c r="Q256" s="214">
        <f t="shared" si="79"/>
        <v>112702.94999999998</v>
      </c>
    </row>
    <row r="257" spans="1:17" ht="12.75">
      <c r="A257" s="15" t="s">
        <v>26</v>
      </c>
      <c r="B257" s="54"/>
      <c r="C257" s="88"/>
      <c r="D257" s="69"/>
      <c r="E257" s="89"/>
      <c r="F257" s="135"/>
      <c r="G257" s="169"/>
      <c r="H257" s="170"/>
      <c r="I257" s="211"/>
      <c r="J257" s="169"/>
      <c r="K257" s="229"/>
      <c r="L257" s="261"/>
      <c r="M257" s="243"/>
      <c r="N257" s="170"/>
      <c r="O257" s="211"/>
      <c r="P257" s="171"/>
      <c r="Q257" s="299"/>
    </row>
    <row r="258" spans="1:17" ht="12.75" hidden="1">
      <c r="A258" s="23" t="s">
        <v>54</v>
      </c>
      <c r="B258" s="57"/>
      <c r="C258" s="108">
        <v>0</v>
      </c>
      <c r="D258" s="74"/>
      <c r="E258" s="155"/>
      <c r="F258" s="164">
        <f>C258+D258+E258</f>
        <v>0</v>
      </c>
      <c r="G258" s="169"/>
      <c r="H258" s="170"/>
      <c r="I258" s="211"/>
      <c r="J258" s="169"/>
      <c r="K258" s="229"/>
      <c r="L258" s="261">
        <f>I258+J258+K258</f>
        <v>0</v>
      </c>
      <c r="M258" s="243"/>
      <c r="N258" s="170"/>
      <c r="O258" s="211">
        <f>L258+M258+N258</f>
        <v>0</v>
      </c>
      <c r="P258" s="171"/>
      <c r="Q258" s="299"/>
    </row>
    <row r="259" spans="1:17" ht="12.75" hidden="1">
      <c r="A259" s="17" t="s">
        <v>229</v>
      </c>
      <c r="B259" s="54"/>
      <c r="C259" s="88"/>
      <c r="D259" s="69"/>
      <c r="E259" s="89"/>
      <c r="F259" s="135">
        <f>C259+D259+E259</f>
        <v>0</v>
      </c>
      <c r="G259" s="169"/>
      <c r="H259" s="170"/>
      <c r="I259" s="211"/>
      <c r="J259" s="169"/>
      <c r="K259" s="229"/>
      <c r="L259" s="261">
        <f>I259+J259+K259</f>
        <v>0</v>
      </c>
      <c r="M259" s="243"/>
      <c r="N259" s="170"/>
      <c r="O259" s="211">
        <f>L259+M259+N259</f>
        <v>0</v>
      </c>
      <c r="P259" s="171"/>
      <c r="Q259" s="299"/>
    </row>
    <row r="260" spans="1:17" ht="12.75">
      <c r="A260" s="17" t="s">
        <v>82</v>
      </c>
      <c r="B260" s="54"/>
      <c r="C260" s="88"/>
      <c r="D260" s="69"/>
      <c r="E260" s="89"/>
      <c r="F260" s="135">
        <f>C260+D260+E260</f>
        <v>0</v>
      </c>
      <c r="G260" s="169"/>
      <c r="H260" s="170"/>
      <c r="I260" s="211">
        <f>F260+G260+H260</f>
        <v>0</v>
      </c>
      <c r="J260" s="169">
        <f>15000</f>
        <v>15000</v>
      </c>
      <c r="K260" s="229"/>
      <c r="L260" s="261">
        <f>I260+J260+K260</f>
        <v>15000</v>
      </c>
      <c r="M260" s="243">
        <f>1300</f>
        <v>1300</v>
      </c>
      <c r="N260" s="170">
        <f>32300</f>
        <v>32300</v>
      </c>
      <c r="O260" s="211">
        <f>L260+M260+N260</f>
        <v>48600</v>
      </c>
      <c r="P260" s="171"/>
      <c r="Q260" s="299">
        <f>O260+P260</f>
        <v>48600</v>
      </c>
    </row>
    <row r="261" spans="1:17" ht="12.75" hidden="1">
      <c r="A261" s="17" t="s">
        <v>204</v>
      </c>
      <c r="B261" s="54"/>
      <c r="C261" s="88"/>
      <c r="D261" s="69"/>
      <c r="E261" s="89"/>
      <c r="F261" s="135">
        <f>C261+D261+E261</f>
        <v>0</v>
      </c>
      <c r="G261" s="181"/>
      <c r="H261" s="182"/>
      <c r="I261" s="211">
        <f>F261+G261+H261</f>
        <v>0</v>
      </c>
      <c r="J261" s="169"/>
      <c r="K261" s="229"/>
      <c r="L261" s="261">
        <f>I261+J261+K261</f>
        <v>0</v>
      </c>
      <c r="M261" s="243"/>
      <c r="N261" s="170"/>
      <c r="O261" s="211">
        <f>L261+M261+N261</f>
        <v>0</v>
      </c>
      <c r="P261" s="296"/>
      <c r="Q261" s="295">
        <f>O261+P261</f>
        <v>0</v>
      </c>
    </row>
    <row r="262" spans="1:17" ht="12.75">
      <c r="A262" s="16" t="s">
        <v>75</v>
      </c>
      <c r="B262" s="57"/>
      <c r="C262" s="108"/>
      <c r="D262" s="74">
        <f>32303.48+23471.42</f>
        <v>55774.899999999994</v>
      </c>
      <c r="E262" s="155"/>
      <c r="F262" s="164">
        <f>C262+D262+E262</f>
        <v>55774.899999999994</v>
      </c>
      <c r="G262" s="181">
        <f>3475.66+3267.34+1583.29-58.08</f>
        <v>8268.210000000001</v>
      </c>
      <c r="H262" s="182"/>
      <c r="I262" s="216">
        <f>F262+G262+H262</f>
        <v>64043.10999999999</v>
      </c>
      <c r="J262" s="181">
        <f>207.99-148.15</f>
        <v>59.84</v>
      </c>
      <c r="K262" s="254"/>
      <c r="L262" s="266">
        <f>I262+J262+K262</f>
        <v>64102.94999999999</v>
      </c>
      <c r="M262" s="240"/>
      <c r="N262" s="182"/>
      <c r="O262" s="216">
        <f>L262+M262+N262</f>
        <v>64102.94999999999</v>
      </c>
      <c r="P262" s="296"/>
      <c r="Q262" s="295">
        <f>O262+P262</f>
        <v>64102.94999999999</v>
      </c>
    </row>
    <row r="263" spans="1:17" ht="12.75">
      <c r="A263" s="24" t="s">
        <v>311</v>
      </c>
      <c r="B263" s="59"/>
      <c r="C263" s="84">
        <f aca="true" t="shared" si="80" ref="C263:L263">C264+C280</f>
        <v>256495.47000000003</v>
      </c>
      <c r="D263" s="71">
        <f t="shared" si="80"/>
        <v>20526.07</v>
      </c>
      <c r="E263" s="85">
        <f t="shared" si="80"/>
        <v>0</v>
      </c>
      <c r="F263" s="137">
        <f t="shared" si="80"/>
        <v>277021.54000000004</v>
      </c>
      <c r="G263" s="173">
        <f t="shared" si="80"/>
        <v>12492.12</v>
      </c>
      <c r="H263" s="174">
        <f t="shared" si="80"/>
        <v>0</v>
      </c>
      <c r="I263" s="212">
        <f t="shared" si="80"/>
        <v>289513.66000000003</v>
      </c>
      <c r="J263" s="173">
        <f t="shared" si="80"/>
        <v>5989.08</v>
      </c>
      <c r="K263" s="230">
        <f t="shared" si="80"/>
        <v>941.53</v>
      </c>
      <c r="L263" s="262">
        <f t="shared" si="80"/>
        <v>296444.27</v>
      </c>
      <c r="M263" s="230">
        <f>M264+M280</f>
        <v>3570.2499999999995</v>
      </c>
      <c r="N263" s="174">
        <f>N264+N280</f>
        <v>0</v>
      </c>
      <c r="O263" s="212">
        <f>O264+O280</f>
        <v>300014.52</v>
      </c>
      <c r="P263" s="173">
        <f>P264+P280</f>
        <v>5570.39</v>
      </c>
      <c r="Q263" s="212">
        <f>Q264+Q280</f>
        <v>305584.91000000003</v>
      </c>
    </row>
    <row r="264" spans="1:17" ht="12.75">
      <c r="A264" s="19" t="s">
        <v>48</v>
      </c>
      <c r="B264" s="58"/>
      <c r="C264" s="107">
        <f aca="true" t="shared" si="81" ref="C264:L264">SUM(C266:C279)</f>
        <v>253645.47000000003</v>
      </c>
      <c r="D264" s="73">
        <f t="shared" si="81"/>
        <v>11084.07</v>
      </c>
      <c r="E264" s="123">
        <f t="shared" si="81"/>
        <v>0</v>
      </c>
      <c r="F264" s="139">
        <f t="shared" si="81"/>
        <v>264729.54000000004</v>
      </c>
      <c r="G264" s="177">
        <f t="shared" si="81"/>
        <v>11013.12</v>
      </c>
      <c r="H264" s="178">
        <f t="shared" si="81"/>
        <v>0</v>
      </c>
      <c r="I264" s="214">
        <f t="shared" si="81"/>
        <v>275742.66000000003</v>
      </c>
      <c r="J264" s="177">
        <f t="shared" si="81"/>
        <v>5257.74</v>
      </c>
      <c r="K264" s="218">
        <f t="shared" si="81"/>
        <v>98.63</v>
      </c>
      <c r="L264" s="264">
        <f t="shared" si="81"/>
        <v>281099.03</v>
      </c>
      <c r="M264" s="218">
        <f>SUM(M266:M279)</f>
        <v>216.7999999999999</v>
      </c>
      <c r="N264" s="178">
        <f>SUM(N266:N279)</f>
        <v>0</v>
      </c>
      <c r="O264" s="214">
        <f>SUM(O266:O279)</f>
        <v>281315.83</v>
      </c>
      <c r="P264" s="177">
        <f>SUM(P266:P279)</f>
        <v>1858.3</v>
      </c>
      <c r="Q264" s="214">
        <f>SUM(Q266:Q279)</f>
        <v>283174.13</v>
      </c>
    </row>
    <row r="265" spans="1:17" ht="12.75">
      <c r="A265" s="15" t="s">
        <v>26</v>
      </c>
      <c r="B265" s="54"/>
      <c r="C265" s="88"/>
      <c r="D265" s="69"/>
      <c r="E265" s="89"/>
      <c r="F265" s="135"/>
      <c r="G265" s="169"/>
      <c r="H265" s="170"/>
      <c r="I265" s="211"/>
      <c r="J265" s="169"/>
      <c r="K265" s="229"/>
      <c r="L265" s="261"/>
      <c r="M265" s="243"/>
      <c r="N265" s="170"/>
      <c r="O265" s="211"/>
      <c r="P265" s="171"/>
      <c r="Q265" s="299"/>
    </row>
    <row r="266" spans="1:17" ht="12.75">
      <c r="A266" s="17" t="s">
        <v>72</v>
      </c>
      <c r="B266" s="54"/>
      <c r="C266" s="88">
        <v>203580.2</v>
      </c>
      <c r="D266" s="69">
        <f>510+2680</f>
        <v>3190</v>
      </c>
      <c r="E266" s="89"/>
      <c r="F266" s="135">
        <f aca="true" t="shared" si="82" ref="F266:F279">C266+D266+E266</f>
        <v>206770.2</v>
      </c>
      <c r="G266" s="169">
        <f>4840+572.7+700+2284.5</f>
        <v>8397.2</v>
      </c>
      <c r="H266" s="170"/>
      <c r="I266" s="211">
        <f>F266+G266+H266</f>
        <v>215167.40000000002</v>
      </c>
      <c r="J266" s="169">
        <f>1060+200.7</f>
        <v>1260.7</v>
      </c>
      <c r="K266" s="229"/>
      <c r="L266" s="261">
        <f>I266+J266+K266</f>
        <v>216428.10000000003</v>
      </c>
      <c r="M266" s="243">
        <f>1000+725-1452.9</f>
        <v>272.0999999999999</v>
      </c>
      <c r="N266" s="170"/>
      <c r="O266" s="211">
        <f>L266+M266+N266</f>
        <v>216700.20000000004</v>
      </c>
      <c r="P266" s="171"/>
      <c r="Q266" s="299">
        <f aca="true" t="shared" si="83" ref="Q266:Q279">O266+P266</f>
        <v>216700.20000000004</v>
      </c>
    </row>
    <row r="267" spans="1:17" ht="12.75">
      <c r="A267" s="17" t="s">
        <v>50</v>
      </c>
      <c r="B267" s="54"/>
      <c r="C267" s="88">
        <v>31008.2</v>
      </c>
      <c r="D267" s="69">
        <f>103-6509.6+1270.24-400-30-111+230+25</f>
        <v>-5422.360000000001</v>
      </c>
      <c r="E267" s="89"/>
      <c r="F267" s="135">
        <f t="shared" si="82"/>
        <v>25585.84</v>
      </c>
      <c r="G267" s="169">
        <f>16375.07-1850-25+715.5</f>
        <v>15215.57</v>
      </c>
      <c r="H267" s="170"/>
      <c r="I267" s="211">
        <f aca="true" t="shared" si="84" ref="I267:I279">F267+G267+H267</f>
        <v>40801.41</v>
      </c>
      <c r="J267" s="169">
        <f>150+600</f>
        <v>750</v>
      </c>
      <c r="K267" s="229">
        <f>98.63</f>
        <v>98.63</v>
      </c>
      <c r="L267" s="261">
        <f aca="true" t="shared" si="85" ref="L267:L278">I267+J267+K267</f>
        <v>41650.04</v>
      </c>
      <c r="M267" s="243">
        <f>-178</f>
        <v>-178</v>
      </c>
      <c r="N267" s="170"/>
      <c r="O267" s="211">
        <f aca="true" t="shared" si="86" ref="O267:O279">L267+M267+N267</f>
        <v>41472.04</v>
      </c>
      <c r="P267" s="171">
        <f>400</f>
        <v>400</v>
      </c>
      <c r="Q267" s="299">
        <f t="shared" si="83"/>
        <v>41872.04</v>
      </c>
    </row>
    <row r="268" spans="1:17" ht="12.75">
      <c r="A268" s="17" t="s">
        <v>304</v>
      </c>
      <c r="B268" s="54"/>
      <c r="C268" s="88">
        <v>15375.07</v>
      </c>
      <c r="D268" s="69">
        <f>1000</f>
        <v>1000</v>
      </c>
      <c r="E268" s="89"/>
      <c r="F268" s="135">
        <f t="shared" si="82"/>
        <v>16375.07</v>
      </c>
      <c r="G268" s="169">
        <f>-16375.07</f>
        <v>-16375.07</v>
      </c>
      <c r="H268" s="170"/>
      <c r="I268" s="211">
        <f t="shared" si="84"/>
        <v>0</v>
      </c>
      <c r="J268" s="169"/>
      <c r="K268" s="229"/>
      <c r="L268" s="261">
        <f t="shared" si="85"/>
        <v>0</v>
      </c>
      <c r="M268" s="243"/>
      <c r="N268" s="170"/>
      <c r="O268" s="211">
        <f t="shared" si="86"/>
        <v>0</v>
      </c>
      <c r="P268" s="171"/>
      <c r="Q268" s="299">
        <f t="shared" si="83"/>
        <v>0</v>
      </c>
    </row>
    <row r="269" spans="1:17" ht="12.75">
      <c r="A269" s="17" t="s">
        <v>127</v>
      </c>
      <c r="B269" s="54"/>
      <c r="C269" s="88">
        <v>3482</v>
      </c>
      <c r="D269" s="69">
        <f>111</f>
        <v>111</v>
      </c>
      <c r="E269" s="89"/>
      <c r="F269" s="135">
        <f t="shared" si="82"/>
        <v>3593</v>
      </c>
      <c r="G269" s="169"/>
      <c r="H269" s="170"/>
      <c r="I269" s="211">
        <f t="shared" si="84"/>
        <v>3593</v>
      </c>
      <c r="J269" s="169"/>
      <c r="K269" s="229"/>
      <c r="L269" s="261">
        <f t="shared" si="85"/>
        <v>3593</v>
      </c>
      <c r="M269" s="243"/>
      <c r="N269" s="170"/>
      <c r="O269" s="211">
        <f t="shared" si="86"/>
        <v>3593</v>
      </c>
      <c r="P269" s="171"/>
      <c r="Q269" s="299">
        <f t="shared" si="83"/>
        <v>3593</v>
      </c>
    </row>
    <row r="270" spans="1:17" ht="12.75">
      <c r="A270" s="17" t="s">
        <v>389</v>
      </c>
      <c r="B270" s="54"/>
      <c r="C270" s="88"/>
      <c r="D270" s="69">
        <f>6509.6+400</f>
        <v>6909.6</v>
      </c>
      <c r="E270" s="89"/>
      <c r="F270" s="135">
        <f t="shared" si="82"/>
        <v>6909.6</v>
      </c>
      <c r="G270" s="169">
        <f>1850</f>
        <v>1850</v>
      </c>
      <c r="H270" s="170"/>
      <c r="I270" s="211">
        <f t="shared" si="84"/>
        <v>8759.6</v>
      </c>
      <c r="J270" s="169">
        <f>-150</f>
        <v>-150</v>
      </c>
      <c r="K270" s="229"/>
      <c r="L270" s="261">
        <f t="shared" si="85"/>
        <v>8609.6</v>
      </c>
      <c r="M270" s="243"/>
      <c r="N270" s="170"/>
      <c r="O270" s="211">
        <f t="shared" si="86"/>
        <v>8609.6</v>
      </c>
      <c r="P270" s="171">
        <f>-400</f>
        <v>-400</v>
      </c>
      <c r="Q270" s="299">
        <f t="shared" si="83"/>
        <v>8209.6</v>
      </c>
    </row>
    <row r="271" spans="1:17" ht="12.75">
      <c r="A271" s="17" t="s">
        <v>86</v>
      </c>
      <c r="B271" s="54">
        <v>34070</v>
      </c>
      <c r="C271" s="88"/>
      <c r="D271" s="69"/>
      <c r="E271" s="89"/>
      <c r="F271" s="135">
        <f t="shared" si="82"/>
        <v>0</v>
      </c>
      <c r="G271" s="169">
        <f>860</f>
        <v>860</v>
      </c>
      <c r="H271" s="170"/>
      <c r="I271" s="211">
        <f t="shared" si="84"/>
        <v>860</v>
      </c>
      <c r="J271" s="169">
        <f>25+213.86+345+160+160</f>
        <v>903.86</v>
      </c>
      <c r="K271" s="229"/>
      <c r="L271" s="261">
        <f t="shared" si="85"/>
        <v>1763.8600000000001</v>
      </c>
      <c r="M271" s="243"/>
      <c r="N271" s="170"/>
      <c r="O271" s="211">
        <f t="shared" si="86"/>
        <v>1763.8600000000001</v>
      </c>
      <c r="P271" s="171"/>
      <c r="Q271" s="299">
        <f t="shared" si="83"/>
        <v>1763.8600000000001</v>
      </c>
    </row>
    <row r="272" spans="1:17" ht="12.75">
      <c r="A272" s="17" t="s">
        <v>87</v>
      </c>
      <c r="B272" s="54">
        <v>34053</v>
      </c>
      <c r="C272" s="88"/>
      <c r="D272" s="69"/>
      <c r="E272" s="89"/>
      <c r="F272" s="135">
        <f t="shared" si="82"/>
        <v>0</v>
      </c>
      <c r="G272" s="169">
        <f>334+122</f>
        <v>456</v>
      </c>
      <c r="H272" s="170"/>
      <c r="I272" s="211">
        <f t="shared" si="84"/>
        <v>456</v>
      </c>
      <c r="J272" s="169"/>
      <c r="K272" s="229"/>
      <c r="L272" s="261">
        <f t="shared" si="85"/>
        <v>456</v>
      </c>
      <c r="M272" s="243">
        <f>17</f>
        <v>17</v>
      </c>
      <c r="N272" s="170"/>
      <c r="O272" s="211">
        <f t="shared" si="86"/>
        <v>473</v>
      </c>
      <c r="P272" s="171">
        <f>-17+12</f>
        <v>-5</v>
      </c>
      <c r="Q272" s="299">
        <f t="shared" si="83"/>
        <v>468</v>
      </c>
    </row>
    <row r="273" spans="1:17" ht="12.75">
      <c r="A273" s="17" t="s">
        <v>352</v>
      </c>
      <c r="B273" s="54">
        <v>34017</v>
      </c>
      <c r="C273" s="88"/>
      <c r="D273" s="69"/>
      <c r="E273" s="89"/>
      <c r="F273" s="135">
        <f t="shared" si="82"/>
        <v>0</v>
      </c>
      <c r="G273" s="169">
        <f>137+31.29</f>
        <v>168.29</v>
      </c>
      <c r="H273" s="170"/>
      <c r="I273" s="211">
        <f t="shared" si="84"/>
        <v>168.29</v>
      </c>
      <c r="J273" s="169"/>
      <c r="K273" s="229"/>
      <c r="L273" s="261">
        <f t="shared" si="85"/>
        <v>168.29</v>
      </c>
      <c r="M273" s="243"/>
      <c r="N273" s="170"/>
      <c r="O273" s="211">
        <f t="shared" si="86"/>
        <v>168.29</v>
      </c>
      <c r="P273" s="171"/>
      <c r="Q273" s="299">
        <f t="shared" si="83"/>
        <v>168.29</v>
      </c>
    </row>
    <row r="274" spans="1:17" ht="12.75">
      <c r="A274" s="17" t="s">
        <v>342</v>
      </c>
      <c r="B274" s="54">
        <v>34019</v>
      </c>
      <c r="C274" s="88"/>
      <c r="D274" s="69"/>
      <c r="E274" s="89"/>
      <c r="F274" s="135">
        <f t="shared" si="82"/>
        <v>0</v>
      </c>
      <c r="G274" s="169">
        <f>41.13</f>
        <v>41.13</v>
      </c>
      <c r="H274" s="170"/>
      <c r="I274" s="211">
        <f t="shared" si="84"/>
        <v>41.13</v>
      </c>
      <c r="J274" s="169"/>
      <c r="K274" s="229"/>
      <c r="L274" s="261">
        <f t="shared" si="85"/>
        <v>41.13</v>
      </c>
      <c r="M274" s="243">
        <f>-28</f>
        <v>-28</v>
      </c>
      <c r="N274" s="170"/>
      <c r="O274" s="211">
        <f t="shared" si="86"/>
        <v>13.130000000000003</v>
      </c>
      <c r="P274" s="171"/>
      <c r="Q274" s="299">
        <f t="shared" si="83"/>
        <v>13.130000000000003</v>
      </c>
    </row>
    <row r="275" spans="1:17" ht="12.75">
      <c r="A275" s="17" t="s">
        <v>374</v>
      </c>
      <c r="B275" s="54">
        <v>34021</v>
      </c>
      <c r="C275" s="88"/>
      <c r="D275" s="69"/>
      <c r="E275" s="89"/>
      <c r="F275" s="135"/>
      <c r="G275" s="169"/>
      <c r="H275" s="170"/>
      <c r="I275" s="211"/>
      <c r="J275" s="169"/>
      <c r="K275" s="229"/>
      <c r="L275" s="261">
        <f t="shared" si="85"/>
        <v>0</v>
      </c>
      <c r="M275" s="243">
        <f>222</f>
        <v>222</v>
      </c>
      <c r="N275" s="170"/>
      <c r="O275" s="211">
        <f t="shared" si="86"/>
        <v>222</v>
      </c>
      <c r="P275" s="171"/>
      <c r="Q275" s="299">
        <f t="shared" si="83"/>
        <v>222</v>
      </c>
    </row>
    <row r="276" spans="1:17" ht="12.75">
      <c r="A276" s="17" t="s">
        <v>343</v>
      </c>
      <c r="B276" s="54">
        <v>34026</v>
      </c>
      <c r="C276" s="88"/>
      <c r="D276" s="69"/>
      <c r="E276" s="89"/>
      <c r="F276" s="135">
        <f t="shared" si="82"/>
        <v>0</v>
      </c>
      <c r="G276" s="169">
        <f>400</f>
        <v>400</v>
      </c>
      <c r="H276" s="170"/>
      <c r="I276" s="211">
        <f t="shared" si="84"/>
        <v>400</v>
      </c>
      <c r="J276" s="169"/>
      <c r="K276" s="229"/>
      <c r="L276" s="261">
        <f t="shared" si="85"/>
        <v>400</v>
      </c>
      <c r="M276" s="243">
        <f>-38.25-50.05</f>
        <v>-88.3</v>
      </c>
      <c r="N276" s="170"/>
      <c r="O276" s="211">
        <f t="shared" si="86"/>
        <v>311.7</v>
      </c>
      <c r="P276" s="171">
        <f>-23.77</f>
        <v>-23.77</v>
      </c>
      <c r="Q276" s="299">
        <f t="shared" si="83"/>
        <v>287.93</v>
      </c>
    </row>
    <row r="277" spans="1:17" ht="12.75">
      <c r="A277" s="17" t="s">
        <v>360</v>
      </c>
      <c r="B277" s="54">
        <v>34031</v>
      </c>
      <c r="C277" s="88"/>
      <c r="D277" s="69"/>
      <c r="E277" s="89"/>
      <c r="F277" s="135"/>
      <c r="G277" s="169"/>
      <c r="H277" s="170"/>
      <c r="I277" s="211">
        <f t="shared" si="84"/>
        <v>0</v>
      </c>
      <c r="J277" s="169">
        <f>110+124+121+99+93+59</f>
        <v>606</v>
      </c>
      <c r="K277" s="229"/>
      <c r="L277" s="261">
        <f t="shared" si="85"/>
        <v>606</v>
      </c>
      <c r="M277" s="243"/>
      <c r="N277" s="170"/>
      <c r="O277" s="211">
        <f t="shared" si="86"/>
        <v>606</v>
      </c>
      <c r="P277" s="171">
        <f>-0.3-15.45</f>
        <v>-15.75</v>
      </c>
      <c r="Q277" s="299">
        <f t="shared" si="83"/>
        <v>590.25</v>
      </c>
    </row>
    <row r="278" spans="1:17" ht="12.75">
      <c r="A278" s="17" t="s">
        <v>261</v>
      </c>
      <c r="B278" s="54"/>
      <c r="C278" s="88"/>
      <c r="D278" s="69">
        <f>1805</f>
        <v>1805</v>
      </c>
      <c r="E278" s="89"/>
      <c r="F278" s="135">
        <f t="shared" si="82"/>
        <v>1805</v>
      </c>
      <c r="G278" s="169"/>
      <c r="H278" s="170"/>
      <c r="I278" s="211">
        <f t="shared" si="84"/>
        <v>1805</v>
      </c>
      <c r="J278" s="169">
        <f>2087.18</f>
        <v>2087.18</v>
      </c>
      <c r="K278" s="229"/>
      <c r="L278" s="261">
        <f t="shared" si="85"/>
        <v>3892.18</v>
      </c>
      <c r="M278" s="243"/>
      <c r="N278" s="170"/>
      <c r="O278" s="211">
        <f t="shared" si="86"/>
        <v>3892.18</v>
      </c>
      <c r="P278" s="171">
        <f>1902.82</f>
        <v>1902.82</v>
      </c>
      <c r="Q278" s="299">
        <f t="shared" si="83"/>
        <v>5795</v>
      </c>
    </row>
    <row r="279" spans="1:17" ht="12.75">
      <c r="A279" s="17" t="s">
        <v>75</v>
      </c>
      <c r="B279" s="54"/>
      <c r="C279" s="88">
        <v>200</v>
      </c>
      <c r="D279" s="69">
        <f>490.83+3000</f>
        <v>3490.83</v>
      </c>
      <c r="E279" s="89"/>
      <c r="F279" s="135">
        <f t="shared" si="82"/>
        <v>3690.83</v>
      </c>
      <c r="G279" s="169"/>
      <c r="H279" s="170"/>
      <c r="I279" s="211">
        <f t="shared" si="84"/>
        <v>3690.83</v>
      </c>
      <c r="J279" s="169">
        <f>-200</f>
        <v>-200</v>
      </c>
      <c r="K279" s="229"/>
      <c r="L279" s="261">
        <f>I279+J279+K279</f>
        <v>3490.83</v>
      </c>
      <c r="M279" s="243"/>
      <c r="N279" s="170"/>
      <c r="O279" s="211">
        <f t="shared" si="86"/>
        <v>3490.83</v>
      </c>
      <c r="P279" s="171"/>
      <c r="Q279" s="299">
        <f t="shared" si="83"/>
        <v>3490.83</v>
      </c>
    </row>
    <row r="280" spans="1:17" ht="12.75">
      <c r="A280" s="19" t="s">
        <v>53</v>
      </c>
      <c r="B280" s="58"/>
      <c r="C280" s="107">
        <f>SUM(C282:C287)</f>
        <v>2850</v>
      </c>
      <c r="D280" s="73">
        <f aca="true" t="shared" si="87" ref="D280:Q280">SUM(D282:D287)</f>
        <v>9442</v>
      </c>
      <c r="E280" s="123">
        <f t="shared" si="87"/>
        <v>0</v>
      </c>
      <c r="F280" s="139">
        <f t="shared" si="87"/>
        <v>12292</v>
      </c>
      <c r="G280" s="177">
        <f t="shared" si="87"/>
        <v>1479</v>
      </c>
      <c r="H280" s="178">
        <f t="shared" si="87"/>
        <v>0</v>
      </c>
      <c r="I280" s="214">
        <f t="shared" si="87"/>
        <v>13771</v>
      </c>
      <c r="J280" s="177">
        <f t="shared" si="87"/>
        <v>731.3399999999999</v>
      </c>
      <c r="K280" s="218">
        <f t="shared" si="87"/>
        <v>842.9</v>
      </c>
      <c r="L280" s="264">
        <f t="shared" si="87"/>
        <v>15345.24</v>
      </c>
      <c r="M280" s="218">
        <f t="shared" si="87"/>
        <v>3353.45</v>
      </c>
      <c r="N280" s="178">
        <f t="shared" si="87"/>
        <v>0</v>
      </c>
      <c r="O280" s="214">
        <f t="shared" si="87"/>
        <v>18698.690000000002</v>
      </c>
      <c r="P280" s="177">
        <f t="shared" si="87"/>
        <v>3712.09</v>
      </c>
      <c r="Q280" s="214">
        <f t="shared" si="87"/>
        <v>22410.780000000002</v>
      </c>
    </row>
    <row r="281" spans="1:17" ht="12.75">
      <c r="A281" s="15" t="s">
        <v>26</v>
      </c>
      <c r="B281" s="54"/>
      <c r="C281" s="88"/>
      <c r="D281" s="69"/>
      <c r="E281" s="89"/>
      <c r="F281" s="135"/>
      <c r="G281" s="169"/>
      <c r="H281" s="170"/>
      <c r="I281" s="211"/>
      <c r="J281" s="169"/>
      <c r="K281" s="229"/>
      <c r="L281" s="261"/>
      <c r="M281" s="243"/>
      <c r="N281" s="170"/>
      <c r="O281" s="211"/>
      <c r="P281" s="171"/>
      <c r="Q281" s="299"/>
    </row>
    <row r="282" spans="1:17" ht="12.75">
      <c r="A282" s="17" t="s">
        <v>87</v>
      </c>
      <c r="B282" s="54">
        <v>34544</v>
      </c>
      <c r="C282" s="88"/>
      <c r="D282" s="69"/>
      <c r="E282" s="89"/>
      <c r="F282" s="135">
        <f>C282+D282+E282</f>
        <v>0</v>
      </c>
      <c r="G282" s="169">
        <f>79</f>
        <v>79</v>
      </c>
      <c r="H282" s="170"/>
      <c r="I282" s="211">
        <f>F282+G282+H282</f>
        <v>79</v>
      </c>
      <c r="J282" s="169"/>
      <c r="K282" s="229"/>
      <c r="L282" s="261">
        <f aca="true" t="shared" si="88" ref="L282:L287">I282+J282+K282</f>
        <v>79</v>
      </c>
      <c r="M282" s="243">
        <f>38</f>
        <v>38</v>
      </c>
      <c r="N282" s="170"/>
      <c r="O282" s="211">
        <f aca="true" t="shared" si="89" ref="O282:O287">L282+M282+N282</f>
        <v>117</v>
      </c>
      <c r="P282" s="171">
        <f>-38+43</f>
        <v>5</v>
      </c>
      <c r="Q282" s="299">
        <f aca="true" t="shared" si="90" ref="Q282:Q287">O282+P282</f>
        <v>122</v>
      </c>
    </row>
    <row r="283" spans="1:17" ht="12.75">
      <c r="A283" s="17" t="s">
        <v>381</v>
      </c>
      <c r="B283" s="54">
        <v>34502</v>
      </c>
      <c r="C283" s="88"/>
      <c r="D283" s="69"/>
      <c r="E283" s="89"/>
      <c r="F283" s="135"/>
      <c r="G283" s="169"/>
      <c r="H283" s="170"/>
      <c r="I283" s="211"/>
      <c r="J283" s="169"/>
      <c r="K283" s="229"/>
      <c r="L283" s="261">
        <f t="shared" si="88"/>
        <v>0</v>
      </c>
      <c r="M283" s="243"/>
      <c r="N283" s="170"/>
      <c r="O283" s="211">
        <f t="shared" si="89"/>
        <v>0</v>
      </c>
      <c r="P283" s="171">
        <f>3263.4+489</f>
        <v>3752.4</v>
      </c>
      <c r="Q283" s="299">
        <f t="shared" si="90"/>
        <v>3752.4</v>
      </c>
    </row>
    <row r="284" spans="1:17" ht="12.75">
      <c r="A284" s="17" t="s">
        <v>360</v>
      </c>
      <c r="B284" s="54" t="s">
        <v>387</v>
      </c>
      <c r="C284" s="88"/>
      <c r="D284" s="69"/>
      <c r="E284" s="89"/>
      <c r="F284" s="135"/>
      <c r="G284" s="169"/>
      <c r="H284" s="170"/>
      <c r="I284" s="211">
        <f>F284+G284+H284</f>
        <v>0</v>
      </c>
      <c r="J284" s="169">
        <f>75+412.34+144</f>
        <v>631.3399999999999</v>
      </c>
      <c r="K284" s="229"/>
      <c r="L284" s="261">
        <f t="shared" si="88"/>
        <v>631.3399999999999</v>
      </c>
      <c r="M284" s="243">
        <f>864+137</f>
        <v>1001</v>
      </c>
      <c r="N284" s="170"/>
      <c r="O284" s="211">
        <f t="shared" si="89"/>
        <v>1632.34</v>
      </c>
      <c r="P284" s="171">
        <f>-45.31</f>
        <v>-45.31</v>
      </c>
      <c r="Q284" s="299">
        <f t="shared" si="90"/>
        <v>1587.03</v>
      </c>
    </row>
    <row r="285" spans="1:17" ht="12.75">
      <c r="A285" s="17" t="s">
        <v>82</v>
      </c>
      <c r="B285" s="54"/>
      <c r="C285" s="88">
        <v>2850</v>
      </c>
      <c r="D285" s="76">
        <f>1352+8000+90</f>
        <v>9442</v>
      </c>
      <c r="E285" s="89"/>
      <c r="F285" s="135">
        <f>C285+D285+E285</f>
        <v>12292</v>
      </c>
      <c r="G285" s="169">
        <f>1000+400</f>
        <v>1400</v>
      </c>
      <c r="H285" s="170"/>
      <c r="I285" s="211">
        <f>F285+G285+H285</f>
        <v>13692</v>
      </c>
      <c r="J285" s="169">
        <f>100</f>
        <v>100</v>
      </c>
      <c r="K285" s="229"/>
      <c r="L285" s="261">
        <f t="shared" si="88"/>
        <v>13792</v>
      </c>
      <c r="M285" s="243">
        <f>500+1814.45</f>
        <v>2314.45</v>
      </c>
      <c r="N285" s="170"/>
      <c r="O285" s="211">
        <f t="shared" si="89"/>
        <v>16106.45</v>
      </c>
      <c r="P285" s="171"/>
      <c r="Q285" s="299">
        <f t="shared" si="90"/>
        <v>16106.45</v>
      </c>
    </row>
    <row r="286" spans="1:17" ht="13.5" thickBot="1">
      <c r="A286" s="320" t="s">
        <v>54</v>
      </c>
      <c r="B286" s="309"/>
      <c r="C286" s="310"/>
      <c r="D286" s="311"/>
      <c r="E286" s="312"/>
      <c r="F286" s="313">
        <f>C286+D286+E286</f>
        <v>0</v>
      </c>
      <c r="G286" s="314"/>
      <c r="H286" s="315"/>
      <c r="I286" s="316"/>
      <c r="J286" s="314"/>
      <c r="K286" s="317">
        <f>842.9</f>
        <v>842.9</v>
      </c>
      <c r="L286" s="318">
        <f t="shared" si="88"/>
        <v>842.9</v>
      </c>
      <c r="M286" s="321"/>
      <c r="N286" s="315"/>
      <c r="O286" s="316">
        <f t="shared" si="89"/>
        <v>842.9</v>
      </c>
      <c r="P286" s="302"/>
      <c r="Q286" s="303">
        <f t="shared" si="90"/>
        <v>842.9</v>
      </c>
    </row>
    <row r="287" spans="1:17" ht="12.75" hidden="1">
      <c r="A287" s="23" t="s">
        <v>75</v>
      </c>
      <c r="B287" s="57"/>
      <c r="C287" s="108"/>
      <c r="D287" s="74"/>
      <c r="E287" s="155"/>
      <c r="F287" s="164">
        <f>C287+D287+E287</f>
        <v>0</v>
      </c>
      <c r="G287" s="181"/>
      <c r="H287" s="182"/>
      <c r="I287" s="216">
        <f>F287+G287+H287</f>
        <v>0</v>
      </c>
      <c r="J287" s="181"/>
      <c r="K287" s="254"/>
      <c r="L287" s="266">
        <f t="shared" si="88"/>
        <v>0</v>
      </c>
      <c r="M287" s="246"/>
      <c r="N287" s="182"/>
      <c r="O287" s="211">
        <f t="shared" si="89"/>
        <v>0</v>
      </c>
      <c r="P287" s="296"/>
      <c r="Q287" s="295">
        <f t="shared" si="90"/>
        <v>0</v>
      </c>
    </row>
    <row r="288" spans="1:26" ht="12.75">
      <c r="A288" s="10" t="s">
        <v>267</v>
      </c>
      <c r="B288" s="58"/>
      <c r="C288" s="247">
        <f>C289+C292</f>
        <v>1365.7</v>
      </c>
      <c r="D288" s="95">
        <f aca="true" t="shared" si="91" ref="D288:L288">D289+D292</f>
        <v>195</v>
      </c>
      <c r="E288" s="94">
        <f t="shared" si="91"/>
        <v>0</v>
      </c>
      <c r="F288" s="94">
        <f t="shared" si="91"/>
        <v>1560.7</v>
      </c>
      <c r="G288" s="94">
        <f t="shared" si="91"/>
        <v>0</v>
      </c>
      <c r="H288" s="94">
        <f t="shared" si="91"/>
        <v>0</v>
      </c>
      <c r="I288" s="248">
        <f t="shared" si="91"/>
        <v>1560.7</v>
      </c>
      <c r="J288" s="167">
        <f t="shared" si="91"/>
        <v>0</v>
      </c>
      <c r="K288" s="228">
        <f t="shared" si="91"/>
        <v>0</v>
      </c>
      <c r="L288" s="260">
        <f t="shared" si="91"/>
        <v>1560.7</v>
      </c>
      <c r="M288" s="228">
        <f>M289+M292</f>
        <v>0</v>
      </c>
      <c r="N288" s="168">
        <f>N289+N292</f>
        <v>0</v>
      </c>
      <c r="O288" s="210">
        <f>O289+O292</f>
        <v>1560.7</v>
      </c>
      <c r="P288" s="228">
        <f>P289+P292</f>
        <v>0</v>
      </c>
      <c r="Q288" s="305">
        <f>Q289+Q292</f>
        <v>1560.7</v>
      </c>
      <c r="Y288" s="136"/>
      <c r="Z288" s="95"/>
    </row>
    <row r="289" spans="1:17" ht="12.75">
      <c r="A289" s="19" t="s">
        <v>48</v>
      </c>
      <c r="B289" s="58"/>
      <c r="C289" s="107">
        <f aca="true" t="shared" si="92" ref="C289:O289">SUM(C291:C291)</f>
        <v>1365.7</v>
      </c>
      <c r="D289" s="73">
        <f t="shared" si="92"/>
        <v>195</v>
      </c>
      <c r="E289" s="123">
        <f t="shared" si="92"/>
        <v>0</v>
      </c>
      <c r="F289" s="139">
        <f t="shared" si="92"/>
        <v>1560.7</v>
      </c>
      <c r="G289" s="177">
        <f t="shared" si="92"/>
        <v>0</v>
      </c>
      <c r="H289" s="178">
        <f t="shared" si="92"/>
        <v>0</v>
      </c>
      <c r="I289" s="214">
        <f t="shared" si="92"/>
        <v>1560.7</v>
      </c>
      <c r="J289" s="177">
        <f t="shared" si="92"/>
        <v>0</v>
      </c>
      <c r="K289" s="218">
        <f t="shared" si="92"/>
        <v>0</v>
      </c>
      <c r="L289" s="264">
        <f t="shared" si="92"/>
        <v>1560.7</v>
      </c>
      <c r="M289" s="218">
        <f t="shared" si="92"/>
        <v>0</v>
      </c>
      <c r="N289" s="178">
        <f t="shared" si="92"/>
        <v>0</v>
      </c>
      <c r="O289" s="214">
        <f t="shared" si="92"/>
        <v>1560.7</v>
      </c>
      <c r="P289" s="218">
        <f>SUM(P291:P291)</f>
        <v>0</v>
      </c>
      <c r="Q289" s="214">
        <f>SUM(Q291:Q291)</f>
        <v>1560.7</v>
      </c>
    </row>
    <row r="290" spans="1:17" ht="12.75">
      <c r="A290" s="15" t="s">
        <v>26</v>
      </c>
      <c r="B290" s="54"/>
      <c r="C290" s="88"/>
      <c r="D290" s="69"/>
      <c r="E290" s="89"/>
      <c r="F290" s="135"/>
      <c r="G290" s="169"/>
      <c r="H290" s="170"/>
      <c r="I290" s="211"/>
      <c r="J290" s="169"/>
      <c r="K290" s="229"/>
      <c r="L290" s="261"/>
      <c r="M290" s="276"/>
      <c r="N290" s="170"/>
      <c r="O290" s="211"/>
      <c r="P290" s="171"/>
      <c r="Q290" s="299"/>
    </row>
    <row r="291" spans="1:17" ht="12.75">
      <c r="A291" s="16" t="s">
        <v>50</v>
      </c>
      <c r="B291" s="57"/>
      <c r="C291" s="108">
        <v>1365.7</v>
      </c>
      <c r="D291" s="74">
        <f>195</f>
        <v>195</v>
      </c>
      <c r="E291" s="155"/>
      <c r="F291" s="164">
        <f>C291+D291+E291</f>
        <v>1560.7</v>
      </c>
      <c r="G291" s="181"/>
      <c r="H291" s="182"/>
      <c r="I291" s="216">
        <f>F291+G291+H291</f>
        <v>1560.7</v>
      </c>
      <c r="J291" s="181"/>
      <c r="K291" s="254"/>
      <c r="L291" s="266">
        <f>I291+J291+K291</f>
        <v>1560.7</v>
      </c>
      <c r="M291" s="246"/>
      <c r="N291" s="182"/>
      <c r="O291" s="216">
        <f>L291+M291+N291</f>
        <v>1560.7</v>
      </c>
      <c r="P291" s="296"/>
      <c r="Q291" s="295">
        <f>O291+P291</f>
        <v>1560.7</v>
      </c>
    </row>
    <row r="292" spans="1:17" ht="12.75" hidden="1">
      <c r="A292" s="19" t="s">
        <v>53</v>
      </c>
      <c r="B292" s="58"/>
      <c r="C292" s="107">
        <f>C294</f>
        <v>0</v>
      </c>
      <c r="D292" s="107">
        <f aca="true" t="shared" si="93" ref="D292:P292">D294</f>
        <v>0</v>
      </c>
      <c r="E292" s="107">
        <f t="shared" si="93"/>
        <v>0</v>
      </c>
      <c r="F292" s="107">
        <f t="shared" si="93"/>
        <v>0</v>
      </c>
      <c r="G292" s="107">
        <f t="shared" si="93"/>
        <v>0</v>
      </c>
      <c r="H292" s="107">
        <f t="shared" si="93"/>
        <v>0</v>
      </c>
      <c r="I292" s="107">
        <f t="shared" si="93"/>
        <v>0</v>
      </c>
      <c r="J292" s="177">
        <f t="shared" si="93"/>
        <v>0</v>
      </c>
      <c r="K292" s="218">
        <f t="shared" si="93"/>
        <v>0</v>
      </c>
      <c r="L292" s="264">
        <f t="shared" si="93"/>
        <v>0</v>
      </c>
      <c r="M292" s="242">
        <f t="shared" si="93"/>
        <v>0</v>
      </c>
      <c r="N292" s="178">
        <f t="shared" si="93"/>
        <v>0</v>
      </c>
      <c r="O292" s="214">
        <f t="shared" si="93"/>
        <v>0</v>
      </c>
      <c r="P292" s="177">
        <f t="shared" si="93"/>
        <v>0</v>
      </c>
      <c r="Q292" s="214">
        <f>Q294</f>
        <v>0</v>
      </c>
    </row>
    <row r="293" spans="1:17" ht="12.75" hidden="1">
      <c r="A293" s="15" t="s">
        <v>26</v>
      </c>
      <c r="B293" s="54"/>
      <c r="C293" s="88"/>
      <c r="D293" s="69"/>
      <c r="E293" s="89"/>
      <c r="F293" s="135"/>
      <c r="G293" s="169"/>
      <c r="H293" s="170"/>
      <c r="I293" s="211"/>
      <c r="J293" s="169"/>
      <c r="K293" s="229"/>
      <c r="L293" s="261"/>
      <c r="M293" s="243"/>
      <c r="N293" s="170"/>
      <c r="O293" s="211"/>
      <c r="P293" s="171"/>
      <c r="Q293" s="299"/>
    </row>
    <row r="294" spans="1:17" ht="12.75" hidden="1">
      <c r="A294" s="23" t="s">
        <v>54</v>
      </c>
      <c r="B294" s="57"/>
      <c r="C294" s="108"/>
      <c r="D294" s="74"/>
      <c r="E294" s="155"/>
      <c r="F294" s="164">
        <f>C294+D294+E294</f>
        <v>0</v>
      </c>
      <c r="G294" s="169"/>
      <c r="H294" s="170"/>
      <c r="I294" s="211"/>
      <c r="J294" s="169"/>
      <c r="K294" s="229"/>
      <c r="L294" s="261">
        <f>I294+J294+K294</f>
        <v>0</v>
      </c>
      <c r="M294" s="243"/>
      <c r="N294" s="170"/>
      <c r="O294" s="211">
        <f>L294+M294+N294</f>
        <v>0</v>
      </c>
      <c r="P294" s="171"/>
      <c r="Q294" s="299">
        <f>O294+P294</f>
        <v>0</v>
      </c>
    </row>
    <row r="295" spans="1:17" ht="12.75">
      <c r="A295" s="10" t="s">
        <v>47</v>
      </c>
      <c r="B295" s="56"/>
      <c r="C295" s="94">
        <f aca="true" t="shared" si="94" ref="C295:O295">C296+C309</f>
        <v>62729.03999999999</v>
      </c>
      <c r="D295" s="68">
        <f t="shared" si="94"/>
        <v>21945.010000000002</v>
      </c>
      <c r="E295" s="95">
        <f t="shared" si="94"/>
        <v>0</v>
      </c>
      <c r="F295" s="134">
        <f t="shared" si="94"/>
        <v>84674.04999999999</v>
      </c>
      <c r="G295" s="167">
        <f t="shared" si="94"/>
        <v>190</v>
      </c>
      <c r="H295" s="168">
        <f t="shared" si="94"/>
        <v>0</v>
      </c>
      <c r="I295" s="210">
        <f t="shared" si="94"/>
        <v>84864.04999999999</v>
      </c>
      <c r="J295" s="167">
        <f t="shared" si="94"/>
        <v>4400</v>
      </c>
      <c r="K295" s="228">
        <f t="shared" si="94"/>
        <v>0</v>
      </c>
      <c r="L295" s="260">
        <f t="shared" si="94"/>
        <v>89264.04999999999</v>
      </c>
      <c r="M295" s="228">
        <f t="shared" si="94"/>
        <v>0</v>
      </c>
      <c r="N295" s="168">
        <f t="shared" si="94"/>
        <v>0</v>
      </c>
      <c r="O295" s="210">
        <f t="shared" si="94"/>
        <v>89264.04999999999</v>
      </c>
      <c r="P295" s="167">
        <f>P296+P309</f>
        <v>0</v>
      </c>
      <c r="Q295" s="210">
        <f>Q296+Q309</f>
        <v>89264.04999999999</v>
      </c>
    </row>
    <row r="296" spans="1:17" ht="12.75">
      <c r="A296" s="19" t="s">
        <v>48</v>
      </c>
      <c r="B296" s="56"/>
      <c r="C296" s="107">
        <f aca="true" t="shared" si="95" ref="C296:O296">SUM(C298:C308)</f>
        <v>61929.03999999999</v>
      </c>
      <c r="D296" s="73">
        <f t="shared" si="95"/>
        <v>20645.010000000002</v>
      </c>
      <c r="E296" s="123">
        <f t="shared" si="95"/>
        <v>0</v>
      </c>
      <c r="F296" s="139">
        <f t="shared" si="95"/>
        <v>82574.04999999999</v>
      </c>
      <c r="G296" s="177">
        <f t="shared" si="95"/>
        <v>0</v>
      </c>
      <c r="H296" s="178">
        <f t="shared" si="95"/>
        <v>0</v>
      </c>
      <c r="I296" s="214">
        <f t="shared" si="95"/>
        <v>82574.04999999999</v>
      </c>
      <c r="J296" s="177">
        <f t="shared" si="95"/>
        <v>4400</v>
      </c>
      <c r="K296" s="218">
        <f t="shared" si="95"/>
        <v>0</v>
      </c>
      <c r="L296" s="264">
        <f t="shared" si="95"/>
        <v>86974.04999999999</v>
      </c>
      <c r="M296" s="218">
        <f t="shared" si="95"/>
        <v>-130</v>
      </c>
      <c r="N296" s="178">
        <f t="shared" si="95"/>
        <v>0</v>
      </c>
      <c r="O296" s="214">
        <f t="shared" si="95"/>
        <v>86844.04999999999</v>
      </c>
      <c r="P296" s="177">
        <f>SUM(P298:P308)</f>
        <v>0</v>
      </c>
      <c r="Q296" s="214">
        <f>SUM(Q298:Q308)</f>
        <v>86844.04999999999</v>
      </c>
    </row>
    <row r="297" spans="1:17" ht="12.75">
      <c r="A297" s="15" t="s">
        <v>26</v>
      </c>
      <c r="B297" s="43"/>
      <c r="C297" s="88"/>
      <c r="D297" s="69"/>
      <c r="E297" s="89"/>
      <c r="F297" s="135"/>
      <c r="G297" s="169"/>
      <c r="H297" s="170"/>
      <c r="I297" s="211"/>
      <c r="J297" s="169"/>
      <c r="K297" s="229"/>
      <c r="L297" s="261"/>
      <c r="M297" s="243"/>
      <c r="N297" s="170"/>
      <c r="O297" s="211"/>
      <c r="P297" s="171"/>
      <c r="Q297" s="299"/>
    </row>
    <row r="298" spans="1:17" ht="12.75">
      <c r="A298" s="13" t="s">
        <v>131</v>
      </c>
      <c r="B298" s="54"/>
      <c r="C298" s="88">
        <v>28272.67</v>
      </c>
      <c r="D298" s="69"/>
      <c r="E298" s="89"/>
      <c r="F298" s="135">
        <f aca="true" t="shared" si="96" ref="F298:F308">C298+D298+E298</f>
        <v>28272.67</v>
      </c>
      <c r="G298" s="169"/>
      <c r="H298" s="170"/>
      <c r="I298" s="211">
        <f>F298+G298+H298</f>
        <v>28272.67</v>
      </c>
      <c r="J298" s="169"/>
      <c r="K298" s="229"/>
      <c r="L298" s="261">
        <f>I298+J298+K298</f>
        <v>28272.67</v>
      </c>
      <c r="M298" s="243"/>
      <c r="N298" s="170"/>
      <c r="O298" s="211">
        <f>L298+M298+N298</f>
        <v>28272.67</v>
      </c>
      <c r="P298" s="171"/>
      <c r="Q298" s="299">
        <f>O298+P298</f>
        <v>28272.67</v>
      </c>
    </row>
    <row r="299" spans="1:17" ht="12.75">
      <c r="A299" s="13" t="s">
        <v>49</v>
      </c>
      <c r="B299" s="54"/>
      <c r="C299" s="88">
        <v>7192.59</v>
      </c>
      <c r="D299" s="69"/>
      <c r="E299" s="89"/>
      <c r="F299" s="135">
        <f t="shared" si="96"/>
        <v>7192.59</v>
      </c>
      <c r="G299" s="169"/>
      <c r="H299" s="170"/>
      <c r="I299" s="211">
        <f>F299+G299+H299</f>
        <v>7192.59</v>
      </c>
      <c r="J299" s="169"/>
      <c r="K299" s="229"/>
      <c r="L299" s="261">
        <f>I299+J299+K299</f>
        <v>7192.59</v>
      </c>
      <c r="M299" s="243"/>
      <c r="N299" s="170"/>
      <c r="O299" s="211">
        <f>L299+M299+N299</f>
        <v>7192.59</v>
      </c>
      <c r="P299" s="171"/>
      <c r="Q299" s="299">
        <f aca="true" t="shared" si="97" ref="Q299:Q307">O299+P299</f>
        <v>7192.59</v>
      </c>
    </row>
    <row r="300" spans="1:17" ht="12.75">
      <c r="A300" s="13" t="s">
        <v>237</v>
      </c>
      <c r="B300" s="54"/>
      <c r="C300" s="88">
        <v>1450</v>
      </c>
      <c r="D300" s="69"/>
      <c r="E300" s="89"/>
      <c r="F300" s="135">
        <f t="shared" si="96"/>
        <v>1450</v>
      </c>
      <c r="G300" s="169"/>
      <c r="H300" s="170"/>
      <c r="I300" s="211">
        <f>F300+G300+H300</f>
        <v>1450</v>
      </c>
      <c r="J300" s="169"/>
      <c r="K300" s="229"/>
      <c r="L300" s="261">
        <f>I300+J300+K300</f>
        <v>1450</v>
      </c>
      <c r="M300" s="243"/>
      <c r="N300" s="170"/>
      <c r="O300" s="211">
        <f>L300+M300+N300</f>
        <v>1450</v>
      </c>
      <c r="P300" s="171"/>
      <c r="Q300" s="299">
        <f t="shared" si="97"/>
        <v>1450</v>
      </c>
    </row>
    <row r="301" spans="1:17" ht="12.75">
      <c r="A301" s="13" t="s">
        <v>50</v>
      </c>
      <c r="B301" s="54"/>
      <c r="C301" s="88">
        <v>15713.78</v>
      </c>
      <c r="D301" s="69">
        <f>214.65+30.36</f>
        <v>245.01</v>
      </c>
      <c r="E301" s="89"/>
      <c r="F301" s="135">
        <f t="shared" si="96"/>
        <v>15958.79</v>
      </c>
      <c r="G301" s="169"/>
      <c r="H301" s="170"/>
      <c r="I301" s="211">
        <f>F301+G301+H301</f>
        <v>15958.79</v>
      </c>
      <c r="J301" s="169"/>
      <c r="K301" s="229"/>
      <c r="L301" s="261">
        <f>I301+J301+K301</f>
        <v>15958.79</v>
      </c>
      <c r="M301" s="243"/>
      <c r="N301" s="170"/>
      <c r="O301" s="211">
        <f>L301+M301+N301</f>
        <v>15958.79</v>
      </c>
      <c r="P301" s="171"/>
      <c r="Q301" s="299">
        <f t="shared" si="97"/>
        <v>15958.79</v>
      </c>
    </row>
    <row r="302" spans="1:17" ht="12.75" hidden="1">
      <c r="A302" s="13" t="s">
        <v>75</v>
      </c>
      <c r="B302" s="54"/>
      <c r="C302" s="88"/>
      <c r="D302" s="69"/>
      <c r="E302" s="89"/>
      <c r="F302" s="135">
        <f t="shared" si="96"/>
        <v>0</v>
      </c>
      <c r="G302" s="169"/>
      <c r="H302" s="170"/>
      <c r="I302" s="211"/>
      <c r="J302" s="169"/>
      <c r="K302" s="229"/>
      <c r="L302" s="261">
        <f aca="true" t="shared" si="98" ref="L302:L307">I302+J302+K302</f>
        <v>0</v>
      </c>
      <c r="M302" s="243"/>
      <c r="N302" s="170"/>
      <c r="O302" s="211">
        <f aca="true" t="shared" si="99" ref="O302:O308">L302+M302+N302</f>
        <v>0</v>
      </c>
      <c r="P302" s="171"/>
      <c r="Q302" s="299">
        <f t="shared" si="97"/>
        <v>0</v>
      </c>
    </row>
    <row r="303" spans="1:17" ht="12.75">
      <c r="A303" s="13" t="s">
        <v>51</v>
      </c>
      <c r="B303" s="54"/>
      <c r="C303" s="88">
        <v>500</v>
      </c>
      <c r="D303" s="69"/>
      <c r="E303" s="89"/>
      <c r="F303" s="135">
        <f t="shared" si="96"/>
        <v>500</v>
      </c>
      <c r="G303" s="169"/>
      <c r="H303" s="170"/>
      <c r="I303" s="211">
        <f aca="true" t="shared" si="100" ref="I303:I308">F303+G303+H303</f>
        <v>500</v>
      </c>
      <c r="J303" s="169"/>
      <c r="K303" s="229"/>
      <c r="L303" s="261">
        <f t="shared" si="98"/>
        <v>500</v>
      </c>
      <c r="M303" s="243"/>
      <c r="N303" s="170"/>
      <c r="O303" s="211">
        <f t="shared" si="99"/>
        <v>500</v>
      </c>
      <c r="P303" s="171"/>
      <c r="Q303" s="299">
        <f t="shared" si="97"/>
        <v>500</v>
      </c>
    </row>
    <row r="304" spans="1:17" ht="12.75">
      <c r="A304" s="13" t="s">
        <v>307</v>
      </c>
      <c r="B304" s="54">
        <v>98032</v>
      </c>
      <c r="C304" s="88"/>
      <c r="D304" s="69">
        <f>10000</f>
        <v>10000</v>
      </c>
      <c r="E304" s="89"/>
      <c r="F304" s="135">
        <f t="shared" si="96"/>
        <v>10000</v>
      </c>
      <c r="G304" s="169"/>
      <c r="H304" s="170"/>
      <c r="I304" s="211">
        <f t="shared" si="100"/>
        <v>10000</v>
      </c>
      <c r="J304" s="169"/>
      <c r="K304" s="229"/>
      <c r="L304" s="261">
        <f t="shared" si="98"/>
        <v>10000</v>
      </c>
      <c r="M304" s="243"/>
      <c r="N304" s="170"/>
      <c r="O304" s="211">
        <f t="shared" si="99"/>
        <v>10000</v>
      </c>
      <c r="P304" s="171"/>
      <c r="Q304" s="299">
        <f t="shared" si="97"/>
        <v>10000</v>
      </c>
    </row>
    <row r="305" spans="1:17" ht="12.75">
      <c r="A305" s="13" t="s">
        <v>302</v>
      </c>
      <c r="B305" s="54"/>
      <c r="C305" s="88"/>
      <c r="D305" s="69">
        <f>5000</f>
        <v>5000</v>
      </c>
      <c r="E305" s="89"/>
      <c r="F305" s="135">
        <f t="shared" si="96"/>
        <v>5000</v>
      </c>
      <c r="G305" s="169"/>
      <c r="H305" s="170"/>
      <c r="I305" s="211">
        <f t="shared" si="100"/>
        <v>5000</v>
      </c>
      <c r="J305" s="169"/>
      <c r="K305" s="229"/>
      <c r="L305" s="261">
        <f t="shared" si="98"/>
        <v>5000</v>
      </c>
      <c r="M305" s="243"/>
      <c r="N305" s="170"/>
      <c r="O305" s="211">
        <f t="shared" si="99"/>
        <v>5000</v>
      </c>
      <c r="P305" s="171"/>
      <c r="Q305" s="299">
        <f t="shared" si="97"/>
        <v>5000</v>
      </c>
    </row>
    <row r="306" spans="1:17" ht="12.75">
      <c r="A306" s="13" t="s">
        <v>238</v>
      </c>
      <c r="B306" s="54">
        <v>1260</v>
      </c>
      <c r="C306" s="88">
        <v>8200</v>
      </c>
      <c r="D306" s="69">
        <f>5000</f>
        <v>5000</v>
      </c>
      <c r="E306" s="89"/>
      <c r="F306" s="135">
        <f t="shared" si="96"/>
        <v>13200</v>
      </c>
      <c r="G306" s="169"/>
      <c r="H306" s="170"/>
      <c r="I306" s="211">
        <f t="shared" si="100"/>
        <v>13200</v>
      </c>
      <c r="J306" s="169">
        <f>200+3000</f>
        <v>3200</v>
      </c>
      <c r="K306" s="229"/>
      <c r="L306" s="261">
        <f t="shared" si="98"/>
        <v>16400</v>
      </c>
      <c r="M306" s="243"/>
      <c r="N306" s="170"/>
      <c r="O306" s="211">
        <f t="shared" si="99"/>
        <v>16400</v>
      </c>
      <c r="P306" s="171"/>
      <c r="Q306" s="299">
        <f t="shared" si="97"/>
        <v>16400</v>
      </c>
    </row>
    <row r="307" spans="1:17" ht="12.75">
      <c r="A307" s="13" t="s">
        <v>239</v>
      </c>
      <c r="B307" s="54">
        <v>1102</v>
      </c>
      <c r="C307" s="88">
        <v>600</v>
      </c>
      <c r="D307" s="69">
        <f>400</f>
        <v>400</v>
      </c>
      <c r="E307" s="89"/>
      <c r="F307" s="135">
        <f t="shared" si="96"/>
        <v>1000</v>
      </c>
      <c r="G307" s="169"/>
      <c r="H307" s="170"/>
      <c r="I307" s="211">
        <f t="shared" si="100"/>
        <v>1000</v>
      </c>
      <c r="J307" s="169">
        <f>1200</f>
        <v>1200</v>
      </c>
      <c r="K307" s="229"/>
      <c r="L307" s="261">
        <f t="shared" si="98"/>
        <v>2200</v>
      </c>
      <c r="M307" s="243">
        <f>-130</f>
        <v>-130</v>
      </c>
      <c r="N307" s="170"/>
      <c r="O307" s="211">
        <f t="shared" si="99"/>
        <v>2070</v>
      </c>
      <c r="P307" s="171"/>
      <c r="Q307" s="299">
        <f t="shared" si="97"/>
        <v>2070</v>
      </c>
    </row>
    <row r="308" spans="1:17" ht="12.75" hidden="1">
      <c r="A308" s="13" t="s">
        <v>52</v>
      </c>
      <c r="B308" s="54"/>
      <c r="C308" s="88"/>
      <c r="D308" s="69"/>
      <c r="E308" s="89"/>
      <c r="F308" s="135">
        <f t="shared" si="96"/>
        <v>0</v>
      </c>
      <c r="G308" s="169"/>
      <c r="H308" s="170"/>
      <c r="I308" s="211">
        <f t="shared" si="100"/>
        <v>0</v>
      </c>
      <c r="J308" s="169"/>
      <c r="K308" s="229"/>
      <c r="L308" s="261">
        <f>I308+J308+K308</f>
        <v>0</v>
      </c>
      <c r="M308" s="243"/>
      <c r="N308" s="170"/>
      <c r="O308" s="211">
        <f t="shared" si="99"/>
        <v>0</v>
      </c>
      <c r="P308" s="171"/>
      <c r="Q308" s="299">
        <f>O308+P308</f>
        <v>0</v>
      </c>
    </row>
    <row r="309" spans="1:17" ht="12.75">
      <c r="A309" s="20" t="s">
        <v>53</v>
      </c>
      <c r="B309" s="58"/>
      <c r="C309" s="109">
        <f aca="true" t="shared" si="101" ref="C309:Q309">SUM(C311:C315)</f>
        <v>800</v>
      </c>
      <c r="D309" s="75">
        <f t="shared" si="101"/>
        <v>1300</v>
      </c>
      <c r="E309" s="124">
        <f t="shared" si="101"/>
        <v>0</v>
      </c>
      <c r="F309" s="140">
        <f t="shared" si="101"/>
        <v>2100</v>
      </c>
      <c r="G309" s="179">
        <f t="shared" si="101"/>
        <v>190</v>
      </c>
      <c r="H309" s="180">
        <f t="shared" si="101"/>
        <v>0</v>
      </c>
      <c r="I309" s="215">
        <f t="shared" si="101"/>
        <v>2290</v>
      </c>
      <c r="J309" s="179">
        <f t="shared" si="101"/>
        <v>0</v>
      </c>
      <c r="K309" s="232">
        <f t="shared" si="101"/>
        <v>0</v>
      </c>
      <c r="L309" s="265">
        <f t="shared" si="101"/>
        <v>2290</v>
      </c>
      <c r="M309" s="279">
        <f t="shared" si="101"/>
        <v>130</v>
      </c>
      <c r="N309" s="180">
        <f t="shared" si="101"/>
        <v>0</v>
      </c>
      <c r="O309" s="215">
        <f t="shared" si="101"/>
        <v>2420</v>
      </c>
      <c r="P309" s="179">
        <f t="shared" si="101"/>
        <v>0</v>
      </c>
      <c r="Q309" s="215">
        <f t="shared" si="101"/>
        <v>2420</v>
      </c>
    </row>
    <row r="310" spans="1:17" ht="12.75">
      <c r="A310" s="11" t="s">
        <v>26</v>
      </c>
      <c r="B310" s="54"/>
      <c r="C310" s="84"/>
      <c r="D310" s="71"/>
      <c r="E310" s="85"/>
      <c r="F310" s="137"/>
      <c r="G310" s="173"/>
      <c r="H310" s="174"/>
      <c r="I310" s="212"/>
      <c r="J310" s="173"/>
      <c r="K310" s="230"/>
      <c r="L310" s="262"/>
      <c r="M310" s="278"/>
      <c r="N310" s="174"/>
      <c r="O310" s="212"/>
      <c r="P310" s="171"/>
      <c r="Q310" s="299"/>
    </row>
    <row r="311" spans="1:17" ht="12.75" hidden="1">
      <c r="A311" s="13" t="s">
        <v>149</v>
      </c>
      <c r="B311" s="54"/>
      <c r="C311" s="88"/>
      <c r="D311" s="69"/>
      <c r="E311" s="89"/>
      <c r="F311" s="135">
        <f>C311+D311+E311</f>
        <v>0</v>
      </c>
      <c r="G311" s="169"/>
      <c r="H311" s="170"/>
      <c r="I311" s="211">
        <f>F311+G311+H311</f>
        <v>0</v>
      </c>
      <c r="J311" s="169"/>
      <c r="K311" s="229"/>
      <c r="L311" s="261">
        <f>I311+J311+K311</f>
        <v>0</v>
      </c>
      <c r="M311" s="243"/>
      <c r="N311" s="170"/>
      <c r="O311" s="211">
        <f>L311+M311+N311</f>
        <v>0</v>
      </c>
      <c r="P311" s="171"/>
      <c r="Q311" s="299">
        <f>O311+P311</f>
        <v>0</v>
      </c>
    </row>
    <row r="312" spans="1:17" ht="12.75">
      <c r="A312" s="13" t="s">
        <v>238</v>
      </c>
      <c r="B312" s="54"/>
      <c r="C312" s="88">
        <v>800</v>
      </c>
      <c r="D312" s="69">
        <f>500</f>
        <v>500</v>
      </c>
      <c r="E312" s="89"/>
      <c r="F312" s="135">
        <f>C312+D312+E312</f>
        <v>1300</v>
      </c>
      <c r="G312" s="169">
        <f>190</f>
        <v>190</v>
      </c>
      <c r="H312" s="170"/>
      <c r="I312" s="211">
        <f>F312+G312+H312</f>
        <v>1490</v>
      </c>
      <c r="J312" s="169"/>
      <c r="K312" s="229"/>
      <c r="L312" s="261">
        <f>I312+J312+K312</f>
        <v>1490</v>
      </c>
      <c r="M312" s="243"/>
      <c r="N312" s="170"/>
      <c r="O312" s="211">
        <f>L312+M312+N312</f>
        <v>1490</v>
      </c>
      <c r="P312" s="171"/>
      <c r="Q312" s="299">
        <f>O312+P312</f>
        <v>1490</v>
      </c>
    </row>
    <row r="313" spans="1:17" ht="12.75">
      <c r="A313" s="13" t="s">
        <v>239</v>
      </c>
      <c r="B313" s="54"/>
      <c r="C313" s="70"/>
      <c r="D313" s="74"/>
      <c r="E313" s="155"/>
      <c r="F313" s="164">
        <f>C313+D313+E313</f>
        <v>0</v>
      </c>
      <c r="G313" s="169"/>
      <c r="H313" s="170"/>
      <c r="I313" s="211"/>
      <c r="J313" s="169"/>
      <c r="K313" s="229"/>
      <c r="L313" s="261"/>
      <c r="M313" s="243">
        <f>130</f>
        <v>130</v>
      </c>
      <c r="N313" s="170"/>
      <c r="O313" s="211">
        <f>L313+M313+N313</f>
        <v>130</v>
      </c>
      <c r="P313" s="171"/>
      <c r="Q313" s="299">
        <f>O313+P313</f>
        <v>130</v>
      </c>
    </row>
    <row r="314" spans="1:17" ht="12.75" hidden="1">
      <c r="A314" s="13" t="s">
        <v>52</v>
      </c>
      <c r="B314" s="54"/>
      <c r="C314" s="88"/>
      <c r="D314" s="69"/>
      <c r="E314" s="89"/>
      <c r="F314" s="135">
        <f>C314+D314+E314</f>
        <v>0</v>
      </c>
      <c r="G314" s="181"/>
      <c r="H314" s="182"/>
      <c r="I314" s="216">
        <f>F314+G314+H314</f>
        <v>0</v>
      </c>
      <c r="J314" s="181"/>
      <c r="K314" s="254"/>
      <c r="L314" s="266">
        <f>I314+J314+K314</f>
        <v>0</v>
      </c>
      <c r="M314" s="240"/>
      <c r="N314" s="182"/>
      <c r="O314" s="211">
        <f>L314+M314+N314</f>
        <v>0</v>
      </c>
      <c r="P314" s="296"/>
      <c r="Q314" s="299">
        <f>O314+P314</f>
        <v>0</v>
      </c>
    </row>
    <row r="315" spans="1:17" ht="12.75">
      <c r="A315" s="16" t="s">
        <v>54</v>
      </c>
      <c r="B315" s="57"/>
      <c r="C315" s="108"/>
      <c r="D315" s="74">
        <f>800</f>
        <v>800</v>
      </c>
      <c r="E315" s="155"/>
      <c r="F315" s="164">
        <f>C315+D315+E315</f>
        <v>800</v>
      </c>
      <c r="G315" s="181"/>
      <c r="H315" s="182"/>
      <c r="I315" s="216">
        <f>F315+G315+H315</f>
        <v>800</v>
      </c>
      <c r="J315" s="181"/>
      <c r="K315" s="254"/>
      <c r="L315" s="266">
        <f>I315+J315+K315</f>
        <v>800</v>
      </c>
      <c r="M315" s="240"/>
      <c r="N315" s="182"/>
      <c r="O315" s="216">
        <f>L315+M315+N315</f>
        <v>800</v>
      </c>
      <c r="P315" s="296"/>
      <c r="Q315" s="295">
        <f>O315+P315</f>
        <v>800</v>
      </c>
    </row>
    <row r="316" spans="1:17" ht="12.75">
      <c r="A316" s="10" t="s">
        <v>242</v>
      </c>
      <c r="B316" s="58"/>
      <c r="C316" s="94">
        <f aca="true" t="shared" si="102" ref="C316:O316">C317+C336</f>
        <v>457700.91</v>
      </c>
      <c r="D316" s="68">
        <f t="shared" si="102"/>
        <v>23664.519999999997</v>
      </c>
      <c r="E316" s="95">
        <f t="shared" si="102"/>
        <v>0</v>
      </c>
      <c r="F316" s="134">
        <f t="shared" si="102"/>
        <v>481365.43000000005</v>
      </c>
      <c r="G316" s="167">
        <f t="shared" si="102"/>
        <v>6601.9800000000005</v>
      </c>
      <c r="H316" s="168">
        <f t="shared" si="102"/>
        <v>0</v>
      </c>
      <c r="I316" s="210">
        <f t="shared" si="102"/>
        <v>487967.41000000003</v>
      </c>
      <c r="J316" s="167">
        <f t="shared" si="102"/>
        <v>1095.28</v>
      </c>
      <c r="K316" s="228">
        <f t="shared" si="102"/>
        <v>0</v>
      </c>
      <c r="L316" s="260">
        <f t="shared" si="102"/>
        <v>489062.69</v>
      </c>
      <c r="M316" s="228">
        <f t="shared" si="102"/>
        <v>0</v>
      </c>
      <c r="N316" s="168">
        <f t="shared" si="102"/>
        <v>0</v>
      </c>
      <c r="O316" s="210">
        <f t="shared" si="102"/>
        <v>489062.69</v>
      </c>
      <c r="P316" s="167">
        <f>P317+P336</f>
        <v>0</v>
      </c>
      <c r="Q316" s="210">
        <f>Q317+Q336</f>
        <v>489062.69</v>
      </c>
    </row>
    <row r="317" spans="1:17" ht="12.75">
      <c r="A317" s="19" t="s">
        <v>48</v>
      </c>
      <c r="B317" s="58"/>
      <c r="C317" s="107">
        <f aca="true" t="shared" si="103" ref="C317:O317">SUM(C319:C335)</f>
        <v>457700.91</v>
      </c>
      <c r="D317" s="73">
        <f t="shared" si="103"/>
        <v>23664.519999999997</v>
      </c>
      <c r="E317" s="123">
        <f t="shared" si="103"/>
        <v>0</v>
      </c>
      <c r="F317" s="139">
        <f t="shared" si="103"/>
        <v>481365.43000000005</v>
      </c>
      <c r="G317" s="177">
        <f t="shared" si="103"/>
        <v>6601.9800000000005</v>
      </c>
      <c r="H317" s="178">
        <f t="shared" si="103"/>
        <v>0</v>
      </c>
      <c r="I317" s="214">
        <f t="shared" si="103"/>
        <v>487967.41000000003</v>
      </c>
      <c r="J317" s="177">
        <f t="shared" si="103"/>
        <v>1095.28</v>
      </c>
      <c r="K317" s="218">
        <f t="shared" si="103"/>
        <v>0</v>
      </c>
      <c r="L317" s="264">
        <f t="shared" si="103"/>
        <v>489062.69</v>
      </c>
      <c r="M317" s="218">
        <f t="shared" si="103"/>
        <v>0</v>
      </c>
      <c r="N317" s="178">
        <f t="shared" si="103"/>
        <v>0</v>
      </c>
      <c r="O317" s="214">
        <f t="shared" si="103"/>
        <v>489062.69</v>
      </c>
      <c r="P317" s="177">
        <f>SUM(P319:P335)</f>
        <v>0</v>
      </c>
      <c r="Q317" s="214">
        <f>SUM(Q319:Q335)</f>
        <v>489062.69</v>
      </c>
    </row>
    <row r="318" spans="1:17" ht="12.75">
      <c r="A318" s="15" t="s">
        <v>26</v>
      </c>
      <c r="B318" s="54"/>
      <c r="C318" s="88"/>
      <c r="D318" s="69"/>
      <c r="E318" s="89"/>
      <c r="F318" s="135"/>
      <c r="G318" s="169"/>
      <c r="H318" s="170"/>
      <c r="I318" s="211"/>
      <c r="J318" s="169"/>
      <c r="K318" s="229"/>
      <c r="L318" s="261"/>
      <c r="M318" s="243"/>
      <c r="N318" s="170"/>
      <c r="O318" s="211"/>
      <c r="P318" s="171"/>
      <c r="Q318" s="299"/>
    </row>
    <row r="319" spans="1:17" ht="12.75">
      <c r="A319" s="22" t="s">
        <v>132</v>
      </c>
      <c r="B319" s="54"/>
      <c r="C319" s="88">
        <v>245389.18</v>
      </c>
      <c r="D319" s="76">
        <f>10126.39+747.39+30</f>
        <v>10903.779999999999</v>
      </c>
      <c r="E319" s="89"/>
      <c r="F319" s="135">
        <f aca="true" t="shared" si="104" ref="F319:F335">C319+D319+E319</f>
        <v>256292.96</v>
      </c>
      <c r="G319" s="169">
        <f>100</f>
        <v>100</v>
      </c>
      <c r="H319" s="170"/>
      <c r="I319" s="211">
        <f>F319+G319+H319</f>
        <v>256392.96</v>
      </c>
      <c r="J319" s="169"/>
      <c r="K319" s="229"/>
      <c r="L319" s="261">
        <f>I319+J319+K319</f>
        <v>256392.96</v>
      </c>
      <c r="M319" s="243"/>
      <c r="N319" s="170"/>
      <c r="O319" s="211">
        <f>L319+M319+N319</f>
        <v>256392.96</v>
      </c>
      <c r="P319" s="171"/>
      <c r="Q319" s="299">
        <f aca="true" t="shared" si="105" ref="Q319:Q335">O319+P319</f>
        <v>256392.96</v>
      </c>
    </row>
    <row r="320" spans="1:17" ht="12.75">
      <c r="A320" s="13" t="s">
        <v>49</v>
      </c>
      <c r="B320" s="54"/>
      <c r="C320" s="88">
        <v>83616.7</v>
      </c>
      <c r="D320" s="69">
        <f>1682.79+252.61</f>
        <v>1935.4</v>
      </c>
      <c r="E320" s="89"/>
      <c r="F320" s="135">
        <f t="shared" si="104"/>
        <v>85552.09999999999</v>
      </c>
      <c r="G320" s="169"/>
      <c r="H320" s="170"/>
      <c r="I320" s="211">
        <f aca="true" t="shared" si="106" ref="I320:I330">F320+G320+H320</f>
        <v>85552.09999999999</v>
      </c>
      <c r="J320" s="169"/>
      <c r="K320" s="229"/>
      <c r="L320" s="261">
        <f aca="true" t="shared" si="107" ref="L320:L334">I320+J320+K320</f>
        <v>85552.09999999999</v>
      </c>
      <c r="M320" s="243"/>
      <c r="N320" s="170"/>
      <c r="O320" s="211">
        <f aca="true" t="shared" si="108" ref="O320:O334">L320+M320+N320</f>
        <v>85552.09999999999</v>
      </c>
      <c r="P320" s="171"/>
      <c r="Q320" s="299">
        <f t="shared" si="105"/>
        <v>85552.09999999999</v>
      </c>
    </row>
    <row r="321" spans="1:17" ht="12.75">
      <c r="A321" s="13" t="s">
        <v>237</v>
      </c>
      <c r="B321" s="54"/>
      <c r="C321" s="88">
        <v>200</v>
      </c>
      <c r="D321" s="69"/>
      <c r="E321" s="89"/>
      <c r="F321" s="135">
        <f t="shared" si="104"/>
        <v>200</v>
      </c>
      <c r="G321" s="169"/>
      <c r="H321" s="170"/>
      <c r="I321" s="211">
        <f t="shared" si="106"/>
        <v>200</v>
      </c>
      <c r="J321" s="169"/>
      <c r="K321" s="229"/>
      <c r="L321" s="261">
        <f t="shared" si="107"/>
        <v>200</v>
      </c>
      <c r="M321" s="243"/>
      <c r="N321" s="170"/>
      <c r="O321" s="211">
        <f t="shared" si="108"/>
        <v>200</v>
      </c>
      <c r="P321" s="171"/>
      <c r="Q321" s="299">
        <f t="shared" si="105"/>
        <v>200</v>
      </c>
    </row>
    <row r="322" spans="1:17" ht="12.75">
      <c r="A322" s="13" t="s">
        <v>50</v>
      </c>
      <c r="B322" s="54"/>
      <c r="C322" s="88">
        <v>64328.3</v>
      </c>
      <c r="D322" s="87">
        <f>9273.47+270+130</f>
        <v>9673.47</v>
      </c>
      <c r="E322" s="89"/>
      <c r="F322" s="135">
        <f t="shared" si="104"/>
        <v>74001.77</v>
      </c>
      <c r="G322" s="169">
        <f>4529.25</f>
        <v>4529.25</v>
      </c>
      <c r="H322" s="170"/>
      <c r="I322" s="211">
        <f t="shared" si="106"/>
        <v>78531.02</v>
      </c>
      <c r="J322" s="169"/>
      <c r="K322" s="229"/>
      <c r="L322" s="261">
        <f t="shared" si="107"/>
        <v>78531.02</v>
      </c>
      <c r="M322" s="243"/>
      <c r="N322" s="170"/>
      <c r="O322" s="211">
        <f t="shared" si="108"/>
        <v>78531.02</v>
      </c>
      <c r="P322" s="171"/>
      <c r="Q322" s="299">
        <f t="shared" si="105"/>
        <v>78531.02</v>
      </c>
    </row>
    <row r="323" spans="1:17" ht="12.75">
      <c r="A323" s="13" t="s">
        <v>55</v>
      </c>
      <c r="B323" s="54">
        <v>1115</v>
      </c>
      <c r="C323" s="88">
        <v>350</v>
      </c>
      <c r="D323" s="69">
        <f>119.51</f>
        <v>119.51</v>
      </c>
      <c r="E323" s="89"/>
      <c r="F323" s="135">
        <f t="shared" si="104"/>
        <v>469.51</v>
      </c>
      <c r="G323" s="169"/>
      <c r="H323" s="170"/>
      <c r="I323" s="211">
        <f t="shared" si="106"/>
        <v>469.51</v>
      </c>
      <c r="J323" s="169"/>
      <c r="K323" s="229"/>
      <c r="L323" s="261">
        <f t="shared" si="107"/>
        <v>469.51</v>
      </c>
      <c r="M323" s="243"/>
      <c r="N323" s="170"/>
      <c r="O323" s="211">
        <f t="shared" si="108"/>
        <v>469.51</v>
      </c>
      <c r="P323" s="171"/>
      <c r="Q323" s="299">
        <f t="shared" si="105"/>
        <v>469.51</v>
      </c>
    </row>
    <row r="324" spans="1:17" ht="12.75" hidden="1">
      <c r="A324" s="13" t="s">
        <v>56</v>
      </c>
      <c r="B324" s="54"/>
      <c r="C324" s="88"/>
      <c r="D324" s="69"/>
      <c r="E324" s="89"/>
      <c r="F324" s="135">
        <f t="shared" si="104"/>
        <v>0</v>
      </c>
      <c r="G324" s="169"/>
      <c r="H324" s="170"/>
      <c r="I324" s="211">
        <f t="shared" si="106"/>
        <v>0</v>
      </c>
      <c r="J324" s="169"/>
      <c r="K324" s="229"/>
      <c r="L324" s="261">
        <f t="shared" si="107"/>
        <v>0</v>
      </c>
      <c r="M324" s="243"/>
      <c r="N324" s="170"/>
      <c r="O324" s="211">
        <f t="shared" si="108"/>
        <v>0</v>
      </c>
      <c r="P324" s="171"/>
      <c r="Q324" s="299">
        <f t="shared" si="105"/>
        <v>0</v>
      </c>
    </row>
    <row r="325" spans="1:17" ht="12.75">
      <c r="A325" s="13" t="s">
        <v>57</v>
      </c>
      <c r="B325" s="54">
        <v>51</v>
      </c>
      <c r="C325" s="88">
        <v>63816.73</v>
      </c>
      <c r="D325" s="69">
        <f>1032.36</f>
        <v>1032.36</v>
      </c>
      <c r="E325" s="89"/>
      <c r="F325" s="135">
        <f t="shared" si="104"/>
        <v>64849.090000000004</v>
      </c>
      <c r="G325" s="169"/>
      <c r="H325" s="170"/>
      <c r="I325" s="211">
        <f t="shared" si="106"/>
        <v>64849.090000000004</v>
      </c>
      <c r="J325" s="169"/>
      <c r="K325" s="229"/>
      <c r="L325" s="261">
        <f t="shared" si="107"/>
        <v>64849.090000000004</v>
      </c>
      <c r="M325" s="243"/>
      <c r="N325" s="170"/>
      <c r="O325" s="211">
        <f t="shared" si="108"/>
        <v>64849.090000000004</v>
      </c>
      <c r="P325" s="171"/>
      <c r="Q325" s="299">
        <f t="shared" si="105"/>
        <v>64849.090000000004</v>
      </c>
    </row>
    <row r="326" spans="1:17" ht="12.75" hidden="1">
      <c r="A326" s="13" t="s">
        <v>74</v>
      </c>
      <c r="B326" s="54"/>
      <c r="C326" s="88"/>
      <c r="D326" s="69"/>
      <c r="E326" s="89"/>
      <c r="F326" s="135">
        <f t="shared" si="104"/>
        <v>0</v>
      </c>
      <c r="G326" s="169"/>
      <c r="H326" s="170"/>
      <c r="I326" s="211">
        <f t="shared" si="106"/>
        <v>0</v>
      </c>
      <c r="J326" s="169"/>
      <c r="K326" s="229"/>
      <c r="L326" s="261">
        <f t="shared" si="107"/>
        <v>0</v>
      </c>
      <c r="M326" s="243"/>
      <c r="N326" s="170"/>
      <c r="O326" s="211">
        <f t="shared" si="108"/>
        <v>0</v>
      </c>
      <c r="P326" s="171"/>
      <c r="Q326" s="299">
        <f t="shared" si="105"/>
        <v>0</v>
      </c>
    </row>
    <row r="327" spans="1:17" ht="12.75">
      <c r="A327" s="13" t="s">
        <v>337</v>
      </c>
      <c r="B327" s="54"/>
      <c r="C327" s="88"/>
      <c r="D327" s="69"/>
      <c r="E327" s="89"/>
      <c r="F327" s="135">
        <f t="shared" si="104"/>
        <v>0</v>
      </c>
      <c r="G327" s="169">
        <f>1074.6</f>
        <v>1074.6</v>
      </c>
      <c r="H327" s="170"/>
      <c r="I327" s="211">
        <f t="shared" si="106"/>
        <v>1074.6</v>
      </c>
      <c r="J327" s="169"/>
      <c r="K327" s="229"/>
      <c r="L327" s="261">
        <f t="shared" si="107"/>
        <v>1074.6</v>
      </c>
      <c r="M327" s="243"/>
      <c r="N327" s="170"/>
      <c r="O327" s="211">
        <f t="shared" si="108"/>
        <v>1074.6</v>
      </c>
      <c r="P327" s="171"/>
      <c r="Q327" s="299">
        <f t="shared" si="105"/>
        <v>1074.6</v>
      </c>
    </row>
    <row r="328" spans="1:17" ht="13.5" customHeight="1" hidden="1">
      <c r="A328" s="13" t="s">
        <v>58</v>
      </c>
      <c r="B328" s="54"/>
      <c r="C328" s="88"/>
      <c r="D328" s="69"/>
      <c r="E328" s="89"/>
      <c r="F328" s="135">
        <f t="shared" si="104"/>
        <v>0</v>
      </c>
      <c r="G328" s="169"/>
      <c r="H328" s="170"/>
      <c r="I328" s="211">
        <f t="shared" si="106"/>
        <v>0</v>
      </c>
      <c r="J328" s="169"/>
      <c r="K328" s="229"/>
      <c r="L328" s="261">
        <f t="shared" si="107"/>
        <v>0</v>
      </c>
      <c r="M328" s="243"/>
      <c r="N328" s="170"/>
      <c r="O328" s="211">
        <f t="shared" si="108"/>
        <v>0</v>
      </c>
      <c r="P328" s="171"/>
      <c r="Q328" s="299">
        <f t="shared" si="105"/>
        <v>0</v>
      </c>
    </row>
    <row r="329" spans="1:17" ht="12.75" hidden="1">
      <c r="A329" s="13" t="s">
        <v>245</v>
      </c>
      <c r="B329" s="54">
        <v>98008</v>
      </c>
      <c r="C329" s="88"/>
      <c r="D329" s="69"/>
      <c r="E329" s="89"/>
      <c r="F329" s="135">
        <f t="shared" si="104"/>
        <v>0</v>
      </c>
      <c r="G329" s="169"/>
      <c r="H329" s="170"/>
      <c r="I329" s="211">
        <f t="shared" si="106"/>
        <v>0</v>
      </c>
      <c r="J329" s="169"/>
      <c r="K329" s="229"/>
      <c r="L329" s="261">
        <f t="shared" si="107"/>
        <v>0</v>
      </c>
      <c r="M329" s="243"/>
      <c r="N329" s="170"/>
      <c r="O329" s="211">
        <f t="shared" si="108"/>
        <v>0</v>
      </c>
      <c r="P329" s="171"/>
      <c r="Q329" s="299">
        <f t="shared" si="105"/>
        <v>0</v>
      </c>
    </row>
    <row r="330" spans="1:17" ht="12.75">
      <c r="A330" s="13" t="s">
        <v>368</v>
      </c>
      <c r="B330" s="54">
        <v>98071</v>
      </c>
      <c r="C330" s="88"/>
      <c r="D330" s="69"/>
      <c r="E330" s="89"/>
      <c r="F330" s="135">
        <f t="shared" si="104"/>
        <v>0</v>
      </c>
      <c r="G330" s="169"/>
      <c r="H330" s="170"/>
      <c r="I330" s="211">
        <f t="shared" si="106"/>
        <v>0</v>
      </c>
      <c r="J330" s="169">
        <f>1000</f>
        <v>1000</v>
      </c>
      <c r="K330" s="229"/>
      <c r="L330" s="261">
        <f t="shared" si="107"/>
        <v>1000</v>
      </c>
      <c r="M330" s="243"/>
      <c r="N330" s="170"/>
      <c r="O330" s="211">
        <f t="shared" si="108"/>
        <v>1000</v>
      </c>
      <c r="P330" s="171"/>
      <c r="Q330" s="299">
        <f t="shared" si="105"/>
        <v>1000</v>
      </c>
    </row>
    <row r="331" spans="1:17" ht="12.75">
      <c r="A331" s="13" t="s">
        <v>59</v>
      </c>
      <c r="B331" s="54">
        <v>98074</v>
      </c>
      <c r="C331" s="70"/>
      <c r="D331" s="74"/>
      <c r="E331" s="155"/>
      <c r="F331" s="164">
        <f t="shared" si="104"/>
        <v>0</v>
      </c>
      <c r="G331" s="169"/>
      <c r="H331" s="170"/>
      <c r="I331" s="211">
        <f>F331+G331+H331</f>
        <v>0</v>
      </c>
      <c r="J331" s="169">
        <f>15</f>
        <v>15</v>
      </c>
      <c r="K331" s="229"/>
      <c r="L331" s="261">
        <f t="shared" si="107"/>
        <v>15</v>
      </c>
      <c r="M331" s="243"/>
      <c r="N331" s="170"/>
      <c r="O331" s="211">
        <f t="shared" si="108"/>
        <v>15</v>
      </c>
      <c r="P331" s="171"/>
      <c r="Q331" s="299">
        <f t="shared" si="105"/>
        <v>15</v>
      </c>
    </row>
    <row r="332" spans="1:17" ht="12.75" hidden="1">
      <c r="A332" s="13" t="s">
        <v>60</v>
      </c>
      <c r="B332" s="54"/>
      <c r="C332" s="88"/>
      <c r="D332" s="69"/>
      <c r="E332" s="89"/>
      <c r="F332" s="135">
        <f t="shared" si="104"/>
        <v>0</v>
      </c>
      <c r="G332" s="169"/>
      <c r="H332" s="170"/>
      <c r="I332" s="211">
        <f>F332+G332+H332</f>
        <v>0</v>
      </c>
      <c r="J332" s="169"/>
      <c r="K332" s="229"/>
      <c r="L332" s="261">
        <f t="shared" si="107"/>
        <v>0</v>
      </c>
      <c r="M332" s="243"/>
      <c r="N332" s="170"/>
      <c r="O332" s="211">
        <f t="shared" si="108"/>
        <v>0</v>
      </c>
      <c r="P332" s="171"/>
      <c r="Q332" s="299">
        <f t="shared" si="105"/>
        <v>0</v>
      </c>
    </row>
    <row r="333" spans="1:17" ht="12.75">
      <c r="A333" s="13" t="s">
        <v>338</v>
      </c>
      <c r="B333" s="54">
        <v>13014</v>
      </c>
      <c r="C333" s="88"/>
      <c r="D333" s="69"/>
      <c r="E333" s="89"/>
      <c r="F333" s="135">
        <f t="shared" si="104"/>
        <v>0</v>
      </c>
      <c r="G333" s="169">
        <f>217.5</f>
        <v>217.5</v>
      </c>
      <c r="H333" s="170"/>
      <c r="I333" s="211">
        <f>F333+G333+H333</f>
        <v>217.5</v>
      </c>
      <c r="J333" s="169"/>
      <c r="K333" s="229"/>
      <c r="L333" s="261">
        <f t="shared" si="107"/>
        <v>217.5</v>
      </c>
      <c r="M333" s="243"/>
      <c r="N333" s="170"/>
      <c r="O333" s="211">
        <f t="shared" si="108"/>
        <v>217.5</v>
      </c>
      <c r="P333" s="171"/>
      <c r="Q333" s="299">
        <f t="shared" si="105"/>
        <v>217.5</v>
      </c>
    </row>
    <row r="334" spans="1:17" ht="12.75">
      <c r="A334" s="13" t="s">
        <v>353</v>
      </c>
      <c r="B334" s="54">
        <v>13019</v>
      </c>
      <c r="C334" s="88"/>
      <c r="D334" s="69"/>
      <c r="E334" s="89"/>
      <c r="F334" s="135">
        <f t="shared" si="104"/>
        <v>0</v>
      </c>
      <c r="G334" s="169">
        <f>180.63</f>
        <v>180.63</v>
      </c>
      <c r="H334" s="170"/>
      <c r="I334" s="211">
        <f>F334+G334+H334</f>
        <v>180.63</v>
      </c>
      <c r="J334" s="169">
        <f>80.28</f>
        <v>80.28</v>
      </c>
      <c r="K334" s="229"/>
      <c r="L334" s="261">
        <f t="shared" si="107"/>
        <v>260.90999999999997</v>
      </c>
      <c r="M334" s="243"/>
      <c r="N334" s="170"/>
      <c r="O334" s="211">
        <f t="shared" si="108"/>
        <v>260.90999999999997</v>
      </c>
      <c r="P334" s="171"/>
      <c r="Q334" s="299">
        <f t="shared" si="105"/>
        <v>260.90999999999997</v>
      </c>
    </row>
    <row r="335" spans="1:17" ht="12.75">
      <c r="A335" s="16" t="s">
        <v>61</v>
      </c>
      <c r="B335" s="57">
        <v>4001</v>
      </c>
      <c r="C335" s="108"/>
      <c r="D335" s="74"/>
      <c r="E335" s="155"/>
      <c r="F335" s="164">
        <f t="shared" si="104"/>
        <v>0</v>
      </c>
      <c r="G335" s="181">
        <f>500</f>
        <v>500</v>
      </c>
      <c r="H335" s="182"/>
      <c r="I335" s="216">
        <f>F335+G335+H335</f>
        <v>500</v>
      </c>
      <c r="J335" s="181"/>
      <c r="K335" s="254"/>
      <c r="L335" s="266">
        <f>I335+J335+K335</f>
        <v>500</v>
      </c>
      <c r="M335" s="240"/>
      <c r="N335" s="182"/>
      <c r="O335" s="216">
        <f>L335+M335+N335</f>
        <v>500</v>
      </c>
      <c r="P335" s="296"/>
      <c r="Q335" s="295">
        <f t="shared" si="105"/>
        <v>500</v>
      </c>
    </row>
    <row r="336" spans="1:17" ht="12.75" hidden="1">
      <c r="A336" s="19" t="s">
        <v>53</v>
      </c>
      <c r="B336" s="58"/>
      <c r="C336" s="107">
        <f>C339+C338</f>
        <v>0</v>
      </c>
      <c r="D336" s="73">
        <f aca="true" t="shared" si="109" ref="D336:Q336">D339+D338</f>
        <v>0</v>
      </c>
      <c r="E336" s="123">
        <f t="shared" si="109"/>
        <v>0</v>
      </c>
      <c r="F336" s="139">
        <f t="shared" si="109"/>
        <v>0</v>
      </c>
      <c r="G336" s="177">
        <f t="shared" si="109"/>
        <v>0</v>
      </c>
      <c r="H336" s="178">
        <f t="shared" si="109"/>
        <v>0</v>
      </c>
      <c r="I336" s="214">
        <f t="shared" si="109"/>
        <v>0</v>
      </c>
      <c r="J336" s="177">
        <f t="shared" si="109"/>
        <v>0</v>
      </c>
      <c r="K336" s="218">
        <f t="shared" si="109"/>
        <v>0</v>
      </c>
      <c r="L336" s="264">
        <f t="shared" si="109"/>
        <v>0</v>
      </c>
      <c r="M336" s="218">
        <f t="shared" si="109"/>
        <v>0</v>
      </c>
      <c r="N336" s="178">
        <f t="shared" si="109"/>
        <v>0</v>
      </c>
      <c r="O336" s="214">
        <f t="shared" si="109"/>
        <v>0</v>
      </c>
      <c r="P336" s="177">
        <f t="shared" si="109"/>
        <v>0</v>
      </c>
      <c r="Q336" s="214">
        <f t="shared" si="109"/>
        <v>0</v>
      </c>
    </row>
    <row r="337" spans="1:17" ht="12.75" hidden="1">
      <c r="A337" s="15" t="s">
        <v>26</v>
      </c>
      <c r="B337" s="54"/>
      <c r="C337" s="88"/>
      <c r="D337" s="69"/>
      <c r="E337" s="89"/>
      <c r="F337" s="134"/>
      <c r="G337" s="169"/>
      <c r="H337" s="170"/>
      <c r="I337" s="210"/>
      <c r="J337" s="169"/>
      <c r="K337" s="229"/>
      <c r="L337" s="260"/>
      <c r="M337" s="243"/>
      <c r="N337" s="170"/>
      <c r="O337" s="210"/>
      <c r="P337" s="171"/>
      <c r="Q337" s="299"/>
    </row>
    <row r="338" spans="1:17" ht="12.75" hidden="1">
      <c r="A338" s="12" t="s">
        <v>54</v>
      </c>
      <c r="B338" s="54"/>
      <c r="C338" s="88"/>
      <c r="D338" s="69"/>
      <c r="E338" s="89"/>
      <c r="F338" s="135">
        <f>C338+D338+E338</f>
        <v>0</v>
      </c>
      <c r="G338" s="169"/>
      <c r="H338" s="170"/>
      <c r="I338" s="211">
        <f>F338+G338+H338</f>
        <v>0</v>
      </c>
      <c r="J338" s="169"/>
      <c r="K338" s="229"/>
      <c r="L338" s="261">
        <f>I338+J338+K338</f>
        <v>0</v>
      </c>
      <c r="M338" s="243"/>
      <c r="N338" s="170"/>
      <c r="O338" s="211">
        <f>L338+M338+N338</f>
        <v>0</v>
      </c>
      <c r="P338" s="171"/>
      <c r="Q338" s="299">
        <f>O338+P338</f>
        <v>0</v>
      </c>
    </row>
    <row r="339" spans="1:17" ht="12.75" hidden="1">
      <c r="A339" s="16" t="s">
        <v>75</v>
      </c>
      <c r="B339" s="57"/>
      <c r="C339" s="108"/>
      <c r="D339" s="74"/>
      <c r="E339" s="155"/>
      <c r="F339" s="164">
        <f>C339+D339+E339</f>
        <v>0</v>
      </c>
      <c r="G339" s="181"/>
      <c r="H339" s="182"/>
      <c r="I339" s="216">
        <f>F339+G339+H339</f>
        <v>0</v>
      </c>
      <c r="J339" s="181"/>
      <c r="K339" s="254"/>
      <c r="L339" s="266">
        <f>I339+J339+K339</f>
        <v>0</v>
      </c>
      <c r="M339" s="240"/>
      <c r="N339" s="182"/>
      <c r="O339" s="216">
        <f>L339+M339+N339</f>
        <v>0</v>
      </c>
      <c r="P339" s="296"/>
      <c r="Q339" s="295">
        <f>O339+P339</f>
        <v>0</v>
      </c>
    </row>
    <row r="340" spans="1:17" ht="12.75">
      <c r="A340" s="24" t="s">
        <v>159</v>
      </c>
      <c r="B340" s="59"/>
      <c r="C340" s="94">
        <f aca="true" t="shared" si="110" ref="C340:O340">C341+C366</f>
        <v>507908.87</v>
      </c>
      <c r="D340" s="68">
        <f t="shared" si="110"/>
        <v>1982387</v>
      </c>
      <c r="E340" s="95">
        <f t="shared" si="110"/>
        <v>0</v>
      </c>
      <c r="F340" s="134">
        <f t="shared" si="110"/>
        <v>2490295.8699999996</v>
      </c>
      <c r="G340" s="167">
        <f t="shared" si="110"/>
        <v>313758.22</v>
      </c>
      <c r="H340" s="168">
        <f t="shared" si="110"/>
        <v>82499.08</v>
      </c>
      <c r="I340" s="210">
        <f t="shared" si="110"/>
        <v>2886553.17</v>
      </c>
      <c r="J340" s="167">
        <f t="shared" si="110"/>
        <v>184259.28000000003</v>
      </c>
      <c r="K340" s="228">
        <f t="shared" si="110"/>
        <v>0</v>
      </c>
      <c r="L340" s="260">
        <f t="shared" si="110"/>
        <v>3070812.4499999997</v>
      </c>
      <c r="M340" s="228">
        <f t="shared" si="110"/>
        <v>152702.33000000002</v>
      </c>
      <c r="N340" s="168">
        <f t="shared" si="110"/>
        <v>29691.030000000002</v>
      </c>
      <c r="O340" s="210">
        <f t="shared" si="110"/>
        <v>3253205.81</v>
      </c>
      <c r="P340" s="167">
        <f>P341+P366</f>
        <v>-10706.650000000021</v>
      </c>
      <c r="Q340" s="210">
        <f>Q341+Q366</f>
        <v>3242499.16</v>
      </c>
    </row>
    <row r="341" spans="1:17" ht="12.75">
      <c r="A341" s="19" t="s">
        <v>48</v>
      </c>
      <c r="B341" s="58"/>
      <c r="C341" s="107">
        <f aca="true" t="shared" si="111" ref="C341:O341">SUM(C343:C354)</f>
        <v>63234.28</v>
      </c>
      <c r="D341" s="73">
        <f t="shared" si="111"/>
        <v>92523.76999999999</v>
      </c>
      <c r="E341" s="123">
        <f t="shared" si="111"/>
        <v>0</v>
      </c>
      <c r="F341" s="139">
        <f t="shared" si="111"/>
        <v>155758.05</v>
      </c>
      <c r="G341" s="177">
        <f t="shared" si="111"/>
        <v>41690.09999999999</v>
      </c>
      <c r="H341" s="178">
        <f t="shared" si="111"/>
        <v>4260.84</v>
      </c>
      <c r="I341" s="214">
        <f t="shared" si="111"/>
        <v>201708.99</v>
      </c>
      <c r="J341" s="177">
        <f t="shared" si="111"/>
        <v>-7995.93</v>
      </c>
      <c r="K341" s="218">
        <f t="shared" si="111"/>
        <v>0</v>
      </c>
      <c r="L341" s="264">
        <f t="shared" si="111"/>
        <v>193713.06</v>
      </c>
      <c r="M341" s="218">
        <f t="shared" si="111"/>
        <v>4011.45</v>
      </c>
      <c r="N341" s="178">
        <f t="shared" si="111"/>
        <v>4156.3</v>
      </c>
      <c r="O341" s="214">
        <f t="shared" si="111"/>
        <v>201880.81</v>
      </c>
      <c r="P341" s="177">
        <f>SUM(P343:P354)</f>
        <v>-2975.72</v>
      </c>
      <c r="Q341" s="214">
        <f>SUM(Q343:Q354)</f>
        <v>198905.09</v>
      </c>
    </row>
    <row r="342" spans="1:17" ht="12.75">
      <c r="A342" s="15" t="s">
        <v>26</v>
      </c>
      <c r="B342" s="54"/>
      <c r="C342" s="107"/>
      <c r="D342" s="82"/>
      <c r="E342" s="156"/>
      <c r="F342" s="139"/>
      <c r="G342" s="169"/>
      <c r="H342" s="170"/>
      <c r="I342" s="211"/>
      <c r="J342" s="169"/>
      <c r="K342" s="229"/>
      <c r="L342" s="261"/>
      <c r="M342" s="276"/>
      <c r="N342" s="170"/>
      <c r="O342" s="211"/>
      <c r="P342" s="171"/>
      <c r="Q342" s="299"/>
    </row>
    <row r="343" spans="1:17" ht="12.75">
      <c r="A343" s="17" t="s">
        <v>50</v>
      </c>
      <c r="B343" s="54"/>
      <c r="C343" s="88">
        <v>6645.87</v>
      </c>
      <c r="D343" s="76">
        <f>3655.15-50.81</f>
        <v>3604.34</v>
      </c>
      <c r="E343" s="102"/>
      <c r="F343" s="135">
        <f aca="true" t="shared" si="112" ref="F343:F365">C343+D343+E343</f>
        <v>10250.21</v>
      </c>
      <c r="G343" s="169"/>
      <c r="H343" s="170"/>
      <c r="I343" s="211">
        <f aca="true" t="shared" si="113" ref="I343:I353">F343+G343+H343</f>
        <v>10250.21</v>
      </c>
      <c r="J343" s="169"/>
      <c r="K343" s="229"/>
      <c r="L343" s="261">
        <f aca="true" t="shared" si="114" ref="L343:L364">I343+J343+K343</f>
        <v>10250.21</v>
      </c>
      <c r="M343" s="276">
        <f>-21.6</f>
        <v>-21.6</v>
      </c>
      <c r="N343" s="170"/>
      <c r="O343" s="211">
        <f aca="true" t="shared" si="115" ref="O343:O365">L343+M343+N343</f>
        <v>10228.609999999999</v>
      </c>
      <c r="P343" s="171"/>
      <c r="Q343" s="299">
        <f aca="true" t="shared" si="116" ref="Q343:Q364">O343+P343</f>
        <v>10228.609999999999</v>
      </c>
    </row>
    <row r="344" spans="1:17" ht="12.75">
      <c r="A344" s="17" t="s">
        <v>165</v>
      </c>
      <c r="B344" s="54">
        <v>1080</v>
      </c>
      <c r="C344" s="88"/>
      <c r="D344" s="76">
        <f>1246.76</f>
        <v>1246.76</v>
      </c>
      <c r="E344" s="102"/>
      <c r="F344" s="135">
        <f t="shared" si="112"/>
        <v>1246.76</v>
      </c>
      <c r="G344" s="169"/>
      <c r="H344" s="170"/>
      <c r="I344" s="211">
        <f t="shared" si="113"/>
        <v>1246.76</v>
      </c>
      <c r="J344" s="169"/>
      <c r="K344" s="229"/>
      <c r="L344" s="261">
        <f t="shared" si="114"/>
        <v>1246.76</v>
      </c>
      <c r="M344" s="276"/>
      <c r="N344" s="170"/>
      <c r="O344" s="211">
        <f t="shared" si="115"/>
        <v>1246.76</v>
      </c>
      <c r="P344" s="171"/>
      <c r="Q344" s="299">
        <f t="shared" si="116"/>
        <v>1246.76</v>
      </c>
    </row>
    <row r="345" spans="1:17" ht="12.75">
      <c r="A345" s="17" t="s">
        <v>166</v>
      </c>
      <c r="B345" s="132">
        <v>1081.1202</v>
      </c>
      <c r="C345" s="88">
        <v>1850</v>
      </c>
      <c r="D345" s="76">
        <f>223.01</f>
        <v>223.01</v>
      </c>
      <c r="E345" s="102"/>
      <c r="F345" s="135">
        <f t="shared" si="112"/>
        <v>2073.01</v>
      </c>
      <c r="G345" s="169"/>
      <c r="H345" s="170"/>
      <c r="I345" s="211">
        <f t="shared" si="113"/>
        <v>2073.01</v>
      </c>
      <c r="J345" s="169"/>
      <c r="K345" s="229"/>
      <c r="L345" s="261">
        <f t="shared" si="114"/>
        <v>2073.01</v>
      </c>
      <c r="M345" s="276"/>
      <c r="N345" s="170"/>
      <c r="O345" s="211">
        <f t="shared" si="115"/>
        <v>2073.01</v>
      </c>
      <c r="P345" s="171"/>
      <c r="Q345" s="299">
        <f t="shared" si="116"/>
        <v>2073.01</v>
      </c>
    </row>
    <row r="346" spans="1:17" ht="12.75">
      <c r="A346" s="55" t="s">
        <v>78</v>
      </c>
      <c r="B346" s="54"/>
      <c r="C346" s="88">
        <v>150</v>
      </c>
      <c r="D346" s="76"/>
      <c r="E346" s="102"/>
      <c r="F346" s="135">
        <f t="shared" si="112"/>
        <v>150</v>
      </c>
      <c r="G346" s="169"/>
      <c r="H346" s="170"/>
      <c r="I346" s="211">
        <f t="shared" si="113"/>
        <v>150</v>
      </c>
      <c r="J346" s="169"/>
      <c r="K346" s="229"/>
      <c r="L346" s="261">
        <f t="shared" si="114"/>
        <v>150</v>
      </c>
      <c r="M346" s="276"/>
      <c r="N346" s="170"/>
      <c r="O346" s="211">
        <f t="shared" si="115"/>
        <v>150</v>
      </c>
      <c r="P346" s="171"/>
      <c r="Q346" s="299">
        <f t="shared" si="116"/>
        <v>150</v>
      </c>
    </row>
    <row r="347" spans="1:17" ht="12.75">
      <c r="A347" s="13" t="s">
        <v>172</v>
      </c>
      <c r="B347" s="54"/>
      <c r="C347" s="88">
        <v>35554.41</v>
      </c>
      <c r="D347" s="76"/>
      <c r="E347" s="102"/>
      <c r="F347" s="135">
        <f t="shared" si="112"/>
        <v>35554.41</v>
      </c>
      <c r="G347" s="169">
        <f>5991.89</f>
        <v>5991.89</v>
      </c>
      <c r="H347" s="170"/>
      <c r="I347" s="211">
        <f t="shared" si="113"/>
        <v>41546.3</v>
      </c>
      <c r="J347" s="169"/>
      <c r="K347" s="229"/>
      <c r="L347" s="261">
        <f t="shared" si="114"/>
        <v>41546.3</v>
      </c>
      <c r="M347" s="276"/>
      <c r="N347" s="170"/>
      <c r="O347" s="211">
        <f t="shared" si="115"/>
        <v>41546.3</v>
      </c>
      <c r="P347" s="171"/>
      <c r="Q347" s="299">
        <f t="shared" si="116"/>
        <v>41546.3</v>
      </c>
    </row>
    <row r="348" spans="1:17" ht="12.75">
      <c r="A348" s="17" t="s">
        <v>223</v>
      </c>
      <c r="B348" s="54"/>
      <c r="C348" s="88"/>
      <c r="D348" s="76">
        <f>29824.19+5000</f>
        <v>34824.19</v>
      </c>
      <c r="E348" s="102"/>
      <c r="F348" s="135">
        <f t="shared" si="112"/>
        <v>34824.19</v>
      </c>
      <c r="G348" s="169">
        <f>32000</f>
        <v>32000</v>
      </c>
      <c r="H348" s="170"/>
      <c r="I348" s="211">
        <f t="shared" si="113"/>
        <v>66824.19</v>
      </c>
      <c r="J348" s="169">
        <f>-15000</f>
        <v>-15000</v>
      </c>
      <c r="K348" s="229"/>
      <c r="L348" s="261">
        <f t="shared" si="114"/>
        <v>51824.19</v>
      </c>
      <c r="M348" s="276"/>
      <c r="N348" s="170"/>
      <c r="O348" s="211">
        <f t="shared" si="115"/>
        <v>51824.19</v>
      </c>
      <c r="P348" s="171"/>
      <c r="Q348" s="299">
        <f t="shared" si="116"/>
        <v>51824.19</v>
      </c>
    </row>
    <row r="349" spans="1:17" ht="12.75" hidden="1">
      <c r="A349" s="13" t="s">
        <v>188</v>
      </c>
      <c r="B349" s="98">
        <v>212163</v>
      </c>
      <c r="C349" s="88"/>
      <c r="D349" s="76"/>
      <c r="E349" s="102"/>
      <c r="F349" s="135">
        <f t="shared" si="112"/>
        <v>0</v>
      </c>
      <c r="G349" s="169"/>
      <c r="H349" s="170"/>
      <c r="I349" s="211">
        <f t="shared" si="113"/>
        <v>0</v>
      </c>
      <c r="J349" s="169"/>
      <c r="K349" s="229"/>
      <c r="L349" s="261">
        <f t="shared" si="114"/>
        <v>0</v>
      </c>
      <c r="M349" s="276"/>
      <c r="N349" s="170"/>
      <c r="O349" s="211">
        <f t="shared" si="115"/>
        <v>0</v>
      </c>
      <c r="P349" s="171"/>
      <c r="Q349" s="299">
        <f t="shared" si="116"/>
        <v>0</v>
      </c>
    </row>
    <row r="350" spans="1:17" ht="12.75">
      <c r="A350" s="17" t="s">
        <v>162</v>
      </c>
      <c r="B350" s="98">
        <v>212162</v>
      </c>
      <c r="C350" s="88"/>
      <c r="D350" s="76"/>
      <c r="E350" s="102"/>
      <c r="F350" s="135">
        <f t="shared" si="112"/>
        <v>0</v>
      </c>
      <c r="G350" s="169">
        <f>4.84</f>
        <v>4.84</v>
      </c>
      <c r="H350" s="170"/>
      <c r="I350" s="211">
        <f t="shared" si="113"/>
        <v>4.84</v>
      </c>
      <c r="J350" s="169"/>
      <c r="K350" s="229"/>
      <c r="L350" s="261">
        <f t="shared" si="114"/>
        <v>4.84</v>
      </c>
      <c r="M350" s="276"/>
      <c r="N350" s="170"/>
      <c r="O350" s="211">
        <f t="shared" si="115"/>
        <v>4.84</v>
      </c>
      <c r="P350" s="171"/>
      <c r="Q350" s="299">
        <f t="shared" si="116"/>
        <v>4.84</v>
      </c>
    </row>
    <row r="351" spans="1:17" ht="12.75">
      <c r="A351" s="17" t="s">
        <v>300</v>
      </c>
      <c r="B351" s="98"/>
      <c r="C351" s="88"/>
      <c r="D351" s="76"/>
      <c r="E351" s="102"/>
      <c r="F351" s="135">
        <f t="shared" si="112"/>
        <v>0</v>
      </c>
      <c r="G351" s="169">
        <f>2821.82</f>
        <v>2821.82</v>
      </c>
      <c r="H351" s="170"/>
      <c r="I351" s="211">
        <f t="shared" si="113"/>
        <v>2821.82</v>
      </c>
      <c r="J351" s="169"/>
      <c r="K351" s="229"/>
      <c r="L351" s="261">
        <f t="shared" si="114"/>
        <v>2821.82</v>
      </c>
      <c r="M351" s="276"/>
      <c r="N351" s="170"/>
      <c r="O351" s="211">
        <f t="shared" si="115"/>
        <v>2821.82</v>
      </c>
      <c r="P351" s="171"/>
      <c r="Q351" s="299">
        <f t="shared" si="116"/>
        <v>2821.82</v>
      </c>
    </row>
    <row r="352" spans="1:17" ht="12.75">
      <c r="A352" s="17" t="s">
        <v>341</v>
      </c>
      <c r="B352" s="98"/>
      <c r="C352" s="88"/>
      <c r="D352" s="76"/>
      <c r="E352" s="102"/>
      <c r="F352" s="135">
        <f t="shared" si="112"/>
        <v>0</v>
      </c>
      <c r="G352" s="169">
        <f>2831.68</f>
        <v>2831.68</v>
      </c>
      <c r="H352" s="170">
        <f>3592.87</f>
        <v>3592.87</v>
      </c>
      <c r="I352" s="211">
        <f t="shared" si="113"/>
        <v>6424.549999999999</v>
      </c>
      <c r="J352" s="169"/>
      <c r="K352" s="229"/>
      <c r="L352" s="261">
        <f t="shared" si="114"/>
        <v>6424.549999999999</v>
      </c>
      <c r="M352" s="276"/>
      <c r="N352" s="170"/>
      <c r="O352" s="211">
        <f t="shared" si="115"/>
        <v>6424.549999999999</v>
      </c>
      <c r="P352" s="171">
        <f>-3592.87</f>
        <v>-3592.87</v>
      </c>
      <c r="Q352" s="299">
        <f t="shared" si="116"/>
        <v>2831.6799999999994</v>
      </c>
    </row>
    <row r="353" spans="1:17" ht="12.75">
      <c r="A353" s="17" t="s">
        <v>285</v>
      </c>
      <c r="B353" s="98"/>
      <c r="C353" s="88"/>
      <c r="D353" s="76"/>
      <c r="E353" s="102"/>
      <c r="F353" s="135">
        <f t="shared" si="112"/>
        <v>0</v>
      </c>
      <c r="G353" s="169">
        <f>62.02</f>
        <v>62.02</v>
      </c>
      <c r="H353" s="170"/>
      <c r="I353" s="211">
        <f t="shared" si="113"/>
        <v>62.02</v>
      </c>
      <c r="J353" s="169"/>
      <c r="K353" s="229"/>
      <c r="L353" s="261">
        <f t="shared" si="114"/>
        <v>62.02</v>
      </c>
      <c r="M353" s="276"/>
      <c r="N353" s="170"/>
      <c r="O353" s="211">
        <f t="shared" si="115"/>
        <v>62.02</v>
      </c>
      <c r="P353" s="171"/>
      <c r="Q353" s="299">
        <f t="shared" si="116"/>
        <v>62.02</v>
      </c>
    </row>
    <row r="354" spans="1:17" ht="12.75">
      <c r="A354" s="13" t="s">
        <v>75</v>
      </c>
      <c r="B354" s="54"/>
      <c r="C354" s="90">
        <f>SUM(C355:C365)</f>
        <v>19034</v>
      </c>
      <c r="D354" s="76">
        <f>SUM(D355:D365)</f>
        <v>52625.469999999994</v>
      </c>
      <c r="E354" s="102">
        <f aca="true" t="shared" si="117" ref="E354:Q354">SUM(E355:E365)</f>
        <v>0</v>
      </c>
      <c r="F354" s="141">
        <f t="shared" si="117"/>
        <v>71659.47</v>
      </c>
      <c r="G354" s="184">
        <f t="shared" si="117"/>
        <v>-2022.15</v>
      </c>
      <c r="H354" s="185">
        <f t="shared" si="117"/>
        <v>667.97</v>
      </c>
      <c r="I354" s="219">
        <f t="shared" si="117"/>
        <v>70305.29</v>
      </c>
      <c r="J354" s="184">
        <f t="shared" si="117"/>
        <v>7004.07</v>
      </c>
      <c r="K354" s="233">
        <f t="shared" si="117"/>
        <v>0</v>
      </c>
      <c r="L354" s="267">
        <f t="shared" si="117"/>
        <v>77309.36</v>
      </c>
      <c r="M354" s="233">
        <f t="shared" si="117"/>
        <v>4033.0499999999997</v>
      </c>
      <c r="N354" s="185">
        <f t="shared" si="117"/>
        <v>4156.3</v>
      </c>
      <c r="O354" s="219">
        <f t="shared" si="117"/>
        <v>85498.70999999999</v>
      </c>
      <c r="P354" s="184">
        <f t="shared" si="117"/>
        <v>617.15</v>
      </c>
      <c r="Q354" s="219">
        <f t="shared" si="117"/>
        <v>86115.86</v>
      </c>
    </row>
    <row r="355" spans="1:17" ht="12.75">
      <c r="A355" s="13" t="s">
        <v>210</v>
      </c>
      <c r="B355" s="54"/>
      <c r="C355" s="90">
        <v>14000</v>
      </c>
      <c r="D355" s="76">
        <f>240</f>
        <v>240</v>
      </c>
      <c r="E355" s="89"/>
      <c r="F355" s="135">
        <f t="shared" si="112"/>
        <v>14240</v>
      </c>
      <c r="G355" s="169">
        <f>-5991.89</f>
        <v>-5991.89</v>
      </c>
      <c r="H355" s="170"/>
      <c r="I355" s="211">
        <f aca="true" t="shared" si="118" ref="I355:I364">F355+G355+H355</f>
        <v>8248.11</v>
      </c>
      <c r="J355" s="169"/>
      <c r="K355" s="229"/>
      <c r="L355" s="261">
        <f t="shared" si="114"/>
        <v>8248.11</v>
      </c>
      <c r="M355" s="276"/>
      <c r="N355" s="170"/>
      <c r="O355" s="211">
        <f t="shared" si="115"/>
        <v>8248.11</v>
      </c>
      <c r="P355" s="171"/>
      <c r="Q355" s="299">
        <f t="shared" si="116"/>
        <v>8248.11</v>
      </c>
    </row>
    <row r="356" spans="1:17" ht="12.75">
      <c r="A356" s="13" t="s">
        <v>171</v>
      </c>
      <c r="B356" s="54"/>
      <c r="C356" s="90"/>
      <c r="D356" s="76">
        <f>115.35+1960.91+27279.71+500+6000-240</f>
        <v>35615.97</v>
      </c>
      <c r="E356" s="89"/>
      <c r="F356" s="135">
        <f t="shared" si="112"/>
        <v>35615.97</v>
      </c>
      <c r="G356" s="169">
        <f>109.2+1548.09</f>
        <v>1657.29</v>
      </c>
      <c r="H356" s="170"/>
      <c r="I356" s="211">
        <f t="shared" si="118"/>
        <v>37273.26</v>
      </c>
      <c r="J356" s="184">
        <f>3.02+51.26</f>
        <v>54.28</v>
      </c>
      <c r="K356" s="229"/>
      <c r="L356" s="261">
        <f t="shared" si="114"/>
        <v>37327.54</v>
      </c>
      <c r="M356" s="276"/>
      <c r="N356" s="170">
        <f>490</f>
        <v>490</v>
      </c>
      <c r="O356" s="211">
        <f t="shared" si="115"/>
        <v>37817.54</v>
      </c>
      <c r="P356" s="171"/>
      <c r="Q356" s="299">
        <f t="shared" si="116"/>
        <v>37817.54</v>
      </c>
    </row>
    <row r="357" spans="1:17" ht="12.75" hidden="1">
      <c r="A357" s="13" t="s">
        <v>257</v>
      </c>
      <c r="B357" s="54"/>
      <c r="C357" s="90"/>
      <c r="D357" s="83"/>
      <c r="E357" s="89"/>
      <c r="F357" s="135">
        <f t="shared" si="112"/>
        <v>0</v>
      </c>
      <c r="G357" s="169"/>
      <c r="H357" s="170"/>
      <c r="I357" s="211">
        <f t="shared" si="118"/>
        <v>0</v>
      </c>
      <c r="J357" s="169"/>
      <c r="K357" s="229"/>
      <c r="L357" s="261">
        <f t="shared" si="114"/>
        <v>0</v>
      </c>
      <c r="M357" s="276"/>
      <c r="N357" s="170"/>
      <c r="O357" s="211">
        <f t="shared" si="115"/>
        <v>0</v>
      </c>
      <c r="P357" s="171"/>
      <c r="Q357" s="299">
        <f t="shared" si="116"/>
        <v>0</v>
      </c>
    </row>
    <row r="358" spans="1:17" ht="12.75" hidden="1">
      <c r="A358" s="13" t="s">
        <v>197</v>
      </c>
      <c r="B358" s="54"/>
      <c r="C358" s="90"/>
      <c r="D358" s="76"/>
      <c r="E358" s="89"/>
      <c r="F358" s="135">
        <f t="shared" si="112"/>
        <v>0</v>
      </c>
      <c r="G358" s="169"/>
      <c r="H358" s="170"/>
      <c r="I358" s="211">
        <f t="shared" si="118"/>
        <v>0</v>
      </c>
      <c r="J358" s="169"/>
      <c r="K358" s="229"/>
      <c r="L358" s="261">
        <f t="shared" si="114"/>
        <v>0</v>
      </c>
      <c r="M358" s="276"/>
      <c r="N358" s="170"/>
      <c r="O358" s="211">
        <f t="shared" si="115"/>
        <v>0</v>
      </c>
      <c r="P358" s="171"/>
      <c r="Q358" s="299">
        <f t="shared" si="116"/>
        <v>0</v>
      </c>
    </row>
    <row r="359" spans="1:17" ht="12.75">
      <c r="A359" s="13" t="s">
        <v>222</v>
      </c>
      <c r="B359" s="54"/>
      <c r="C359" s="90"/>
      <c r="D359" s="76">
        <f>11169.53</f>
        <v>11169.53</v>
      </c>
      <c r="E359" s="89"/>
      <c r="F359" s="135">
        <f t="shared" si="112"/>
        <v>11169.53</v>
      </c>
      <c r="G359" s="169"/>
      <c r="H359" s="170"/>
      <c r="I359" s="211">
        <f t="shared" si="118"/>
        <v>11169.53</v>
      </c>
      <c r="J359" s="169"/>
      <c r="K359" s="229"/>
      <c r="L359" s="261">
        <f t="shared" si="114"/>
        <v>11169.53</v>
      </c>
      <c r="M359" s="276"/>
      <c r="N359" s="170"/>
      <c r="O359" s="211">
        <f t="shared" si="115"/>
        <v>11169.53</v>
      </c>
      <c r="P359" s="171"/>
      <c r="Q359" s="299">
        <f t="shared" si="116"/>
        <v>11169.53</v>
      </c>
    </row>
    <row r="360" spans="1:17" ht="12.75">
      <c r="A360" s="13" t="s">
        <v>170</v>
      </c>
      <c r="B360" s="54"/>
      <c r="C360" s="90"/>
      <c r="D360" s="76">
        <f>658+257</f>
        <v>915</v>
      </c>
      <c r="E360" s="89"/>
      <c r="F360" s="135">
        <f t="shared" si="112"/>
        <v>915</v>
      </c>
      <c r="G360" s="169">
        <f>123.42+340.78+638.88</f>
        <v>1103.08</v>
      </c>
      <c r="H360" s="170">
        <f>117.97+550</f>
        <v>667.97</v>
      </c>
      <c r="I360" s="211">
        <f t="shared" si="118"/>
        <v>2686.05</v>
      </c>
      <c r="J360" s="169">
        <f>89.55+37.57</f>
        <v>127.12</v>
      </c>
      <c r="K360" s="229"/>
      <c r="L360" s="261">
        <f t="shared" si="114"/>
        <v>2813.17</v>
      </c>
      <c r="M360" s="276">
        <f>418.18+247.23+3400</f>
        <v>4065.41</v>
      </c>
      <c r="N360" s="170">
        <f>36.3</f>
        <v>36.3</v>
      </c>
      <c r="O360" s="211">
        <f t="shared" si="115"/>
        <v>6914.88</v>
      </c>
      <c r="P360" s="171">
        <f>28.31</f>
        <v>28.31</v>
      </c>
      <c r="Q360" s="299">
        <f t="shared" si="116"/>
        <v>6943.1900000000005</v>
      </c>
    </row>
    <row r="361" spans="1:17" ht="12.75">
      <c r="A361" s="13" t="s">
        <v>314</v>
      </c>
      <c r="B361" s="54"/>
      <c r="C361" s="90"/>
      <c r="D361" s="76">
        <f>2967.13</f>
        <v>2967.13</v>
      </c>
      <c r="E361" s="89"/>
      <c r="F361" s="135">
        <f t="shared" si="112"/>
        <v>2967.13</v>
      </c>
      <c r="G361" s="169">
        <f>2200-1821.07-500</f>
        <v>-121.06999999999994</v>
      </c>
      <c r="H361" s="170"/>
      <c r="I361" s="211">
        <f t="shared" si="118"/>
        <v>2846.0600000000004</v>
      </c>
      <c r="J361" s="169">
        <f>2000</f>
        <v>2000</v>
      </c>
      <c r="K361" s="229"/>
      <c r="L361" s="261">
        <f t="shared" si="114"/>
        <v>4846.06</v>
      </c>
      <c r="M361" s="276">
        <f>-350</f>
        <v>-350</v>
      </c>
      <c r="N361" s="170"/>
      <c r="O361" s="211">
        <f t="shared" si="115"/>
        <v>4496.06</v>
      </c>
      <c r="P361" s="171"/>
      <c r="Q361" s="299">
        <f t="shared" si="116"/>
        <v>4496.06</v>
      </c>
    </row>
    <row r="362" spans="1:17" ht="12.75">
      <c r="A362" s="13" t="s">
        <v>176</v>
      </c>
      <c r="B362" s="54"/>
      <c r="C362" s="90"/>
      <c r="D362" s="76">
        <f>4893.45</f>
        <v>4893.45</v>
      </c>
      <c r="E362" s="89"/>
      <c r="F362" s="135">
        <f t="shared" si="112"/>
        <v>4893.45</v>
      </c>
      <c r="G362" s="169">
        <f>330.44</f>
        <v>330.44</v>
      </c>
      <c r="H362" s="170"/>
      <c r="I362" s="211">
        <f t="shared" si="118"/>
        <v>5223.889999999999</v>
      </c>
      <c r="J362" s="169">
        <f>-88.73-1438.6</f>
        <v>-1527.33</v>
      </c>
      <c r="K362" s="229"/>
      <c r="L362" s="261">
        <f t="shared" si="114"/>
        <v>3696.5599999999995</v>
      </c>
      <c r="M362" s="276">
        <f>118.81+13.83</f>
        <v>132.64000000000001</v>
      </c>
      <c r="N362" s="170"/>
      <c r="O362" s="211">
        <f t="shared" si="115"/>
        <v>3829.1999999999994</v>
      </c>
      <c r="P362" s="171"/>
      <c r="Q362" s="299">
        <f t="shared" si="116"/>
        <v>3829.1999999999994</v>
      </c>
    </row>
    <row r="363" spans="1:17" ht="12.75">
      <c r="A363" s="13" t="s">
        <v>175</v>
      </c>
      <c r="B363" s="54"/>
      <c r="C363" s="90">
        <v>3720</v>
      </c>
      <c r="D363" s="76">
        <f>-2866.85+1858.4-353.16-500</f>
        <v>-1861.61</v>
      </c>
      <c r="E363" s="89"/>
      <c r="F363" s="135">
        <f t="shared" si="112"/>
        <v>1858.39</v>
      </c>
      <c r="G363" s="169">
        <f>1000</f>
        <v>1000</v>
      </c>
      <c r="H363" s="170"/>
      <c r="I363" s="211">
        <f t="shared" si="118"/>
        <v>2858.3900000000003</v>
      </c>
      <c r="J363" s="169">
        <f>1350+4000+1000</f>
        <v>6350</v>
      </c>
      <c r="K363" s="229"/>
      <c r="L363" s="261">
        <f t="shared" si="114"/>
        <v>9208.39</v>
      </c>
      <c r="M363" s="276">
        <f>185</f>
        <v>185</v>
      </c>
      <c r="N363" s="170">
        <f>3630</f>
        <v>3630</v>
      </c>
      <c r="O363" s="211">
        <f t="shared" si="115"/>
        <v>13023.39</v>
      </c>
      <c r="P363" s="171">
        <f>580.12+8.72</f>
        <v>588.84</v>
      </c>
      <c r="Q363" s="299">
        <f t="shared" si="116"/>
        <v>13612.23</v>
      </c>
    </row>
    <row r="364" spans="1:17" ht="12.75">
      <c r="A364" s="13" t="s">
        <v>313</v>
      </c>
      <c r="B364" s="54"/>
      <c r="C364" s="90">
        <v>1314</v>
      </c>
      <c r="D364" s="76">
        <f>-400-914</f>
        <v>-1314</v>
      </c>
      <c r="E364" s="89"/>
      <c r="F364" s="135">
        <f t="shared" si="112"/>
        <v>0</v>
      </c>
      <c r="G364" s="169"/>
      <c r="H364" s="170"/>
      <c r="I364" s="211">
        <f t="shared" si="118"/>
        <v>0</v>
      </c>
      <c r="J364" s="169"/>
      <c r="K364" s="229"/>
      <c r="L364" s="261">
        <f t="shared" si="114"/>
        <v>0</v>
      </c>
      <c r="M364" s="276"/>
      <c r="N364" s="170"/>
      <c r="O364" s="211">
        <f t="shared" si="115"/>
        <v>0</v>
      </c>
      <c r="P364" s="171"/>
      <c r="Q364" s="299">
        <f t="shared" si="116"/>
        <v>0</v>
      </c>
    </row>
    <row r="365" spans="1:17" ht="12.75" hidden="1">
      <c r="A365" s="13" t="s">
        <v>231</v>
      </c>
      <c r="B365" s="54"/>
      <c r="C365" s="90"/>
      <c r="D365" s="83"/>
      <c r="E365" s="89"/>
      <c r="F365" s="135">
        <f t="shared" si="112"/>
        <v>0</v>
      </c>
      <c r="G365" s="169"/>
      <c r="H365" s="170"/>
      <c r="I365" s="211"/>
      <c r="J365" s="169"/>
      <c r="K365" s="229"/>
      <c r="L365" s="261"/>
      <c r="M365" s="276"/>
      <c r="N365" s="170"/>
      <c r="O365" s="211">
        <f t="shared" si="115"/>
        <v>0</v>
      </c>
      <c r="P365" s="171"/>
      <c r="Q365" s="299"/>
    </row>
    <row r="366" spans="1:17" ht="12.75">
      <c r="A366" s="19" t="s">
        <v>53</v>
      </c>
      <c r="B366" s="58"/>
      <c r="C366" s="107">
        <f aca="true" t="shared" si="119" ref="C366:Q366">SUM(C368:C384)</f>
        <v>444674.58999999997</v>
      </c>
      <c r="D366" s="73">
        <f t="shared" si="119"/>
        <v>1889863.23</v>
      </c>
      <c r="E366" s="123">
        <f t="shared" si="119"/>
        <v>0</v>
      </c>
      <c r="F366" s="139">
        <f t="shared" si="119"/>
        <v>2334537.82</v>
      </c>
      <c r="G366" s="177">
        <f t="shared" si="119"/>
        <v>272068.12</v>
      </c>
      <c r="H366" s="178">
        <f t="shared" si="119"/>
        <v>78238.24</v>
      </c>
      <c r="I366" s="214">
        <f t="shared" si="119"/>
        <v>2684844.1799999997</v>
      </c>
      <c r="J366" s="177">
        <f t="shared" si="119"/>
        <v>192255.21000000002</v>
      </c>
      <c r="K366" s="218">
        <f t="shared" si="119"/>
        <v>0</v>
      </c>
      <c r="L366" s="264">
        <f t="shared" si="119"/>
        <v>2877099.3899999997</v>
      </c>
      <c r="M366" s="218">
        <f t="shared" si="119"/>
        <v>148690.88</v>
      </c>
      <c r="N366" s="178">
        <f t="shared" si="119"/>
        <v>25534.730000000003</v>
      </c>
      <c r="O366" s="214">
        <f t="shared" si="119"/>
        <v>3051325</v>
      </c>
      <c r="P366" s="177">
        <f t="shared" si="119"/>
        <v>-7730.930000000022</v>
      </c>
      <c r="Q366" s="214">
        <f t="shared" si="119"/>
        <v>3043594.0700000003</v>
      </c>
    </row>
    <row r="367" spans="1:17" ht="12.75">
      <c r="A367" s="17" t="s">
        <v>26</v>
      </c>
      <c r="B367" s="54"/>
      <c r="C367" s="88"/>
      <c r="D367" s="69"/>
      <c r="E367" s="89"/>
      <c r="F367" s="135"/>
      <c r="G367" s="169"/>
      <c r="H367" s="170"/>
      <c r="I367" s="211"/>
      <c r="J367" s="169"/>
      <c r="K367" s="229"/>
      <c r="L367" s="261"/>
      <c r="M367" s="276"/>
      <c r="N367" s="170"/>
      <c r="O367" s="211"/>
      <c r="P367" s="171"/>
      <c r="Q367" s="299"/>
    </row>
    <row r="368" spans="1:17" ht="12.75" hidden="1">
      <c r="A368" s="17" t="s">
        <v>167</v>
      </c>
      <c r="B368" s="54"/>
      <c r="C368" s="88"/>
      <c r="D368" s="69"/>
      <c r="E368" s="89"/>
      <c r="F368" s="135">
        <f aca="true" t="shared" si="120" ref="F368:F397">C368+D368+E368</f>
        <v>0</v>
      </c>
      <c r="G368" s="169"/>
      <c r="H368" s="170"/>
      <c r="I368" s="211"/>
      <c r="J368" s="169"/>
      <c r="K368" s="229"/>
      <c r="L368" s="261"/>
      <c r="M368" s="276"/>
      <c r="N368" s="170"/>
      <c r="O368" s="211">
        <f aca="true" t="shared" si="121" ref="O368:O397">L368+M368+N368</f>
        <v>0</v>
      </c>
      <c r="P368" s="171"/>
      <c r="Q368" s="299"/>
    </row>
    <row r="369" spans="1:17" ht="12.75">
      <c r="A369" s="17" t="s">
        <v>166</v>
      </c>
      <c r="B369" s="132">
        <v>1081.1202</v>
      </c>
      <c r="C369" s="88">
        <v>6381</v>
      </c>
      <c r="D369" s="69">
        <f>1200+592.02</f>
        <v>1792.02</v>
      </c>
      <c r="E369" s="89"/>
      <c r="F369" s="135">
        <f t="shared" si="120"/>
        <v>8173.02</v>
      </c>
      <c r="G369" s="169"/>
      <c r="H369" s="170"/>
      <c r="I369" s="211">
        <f aca="true" t="shared" si="122" ref="I369:I383">F369+G369+H369</f>
        <v>8173.02</v>
      </c>
      <c r="J369" s="169"/>
      <c r="K369" s="229"/>
      <c r="L369" s="261">
        <f aca="true" t="shared" si="123" ref="L369:L382">I369+J369+K369</f>
        <v>8173.02</v>
      </c>
      <c r="M369" s="276"/>
      <c r="N369" s="170"/>
      <c r="O369" s="211">
        <f t="shared" si="121"/>
        <v>8173.02</v>
      </c>
      <c r="P369" s="171"/>
      <c r="Q369" s="299">
        <f aca="true" t="shared" si="124" ref="Q369:Q382">O369+P369</f>
        <v>8173.02</v>
      </c>
    </row>
    <row r="370" spans="1:18" ht="12.75">
      <c r="A370" s="17" t="s">
        <v>161</v>
      </c>
      <c r="B370" s="54"/>
      <c r="C370" s="88">
        <v>19868.59</v>
      </c>
      <c r="D370" s="69">
        <f>7479.76-15000</f>
        <v>-7520.24</v>
      </c>
      <c r="E370" s="89"/>
      <c r="F370" s="135">
        <f t="shared" si="120"/>
        <v>12348.35</v>
      </c>
      <c r="G370" s="169"/>
      <c r="H370" s="170"/>
      <c r="I370" s="211">
        <f t="shared" si="122"/>
        <v>12348.35</v>
      </c>
      <c r="J370" s="169"/>
      <c r="K370" s="229"/>
      <c r="L370" s="261">
        <f t="shared" si="123"/>
        <v>12348.35</v>
      </c>
      <c r="M370" s="276">
        <f>10000</f>
        <v>10000</v>
      </c>
      <c r="N370" s="170"/>
      <c r="O370" s="211">
        <f t="shared" si="121"/>
        <v>22348.35</v>
      </c>
      <c r="P370" s="171"/>
      <c r="Q370" s="299">
        <f t="shared" si="124"/>
        <v>22348.35</v>
      </c>
      <c r="R370" s="286"/>
    </row>
    <row r="371" spans="1:17" ht="12.75">
      <c r="A371" s="17" t="s">
        <v>268</v>
      </c>
      <c r="B371" s="54"/>
      <c r="C371" s="88">
        <v>5000</v>
      </c>
      <c r="D371" s="69"/>
      <c r="E371" s="89"/>
      <c r="F371" s="135">
        <f t="shared" si="120"/>
        <v>5000</v>
      </c>
      <c r="G371" s="169"/>
      <c r="H371" s="170"/>
      <c r="I371" s="211">
        <f t="shared" si="122"/>
        <v>5000</v>
      </c>
      <c r="J371" s="169"/>
      <c r="K371" s="229"/>
      <c r="L371" s="261">
        <f t="shared" si="123"/>
        <v>5000</v>
      </c>
      <c r="M371" s="276"/>
      <c r="N371" s="170"/>
      <c r="O371" s="211">
        <f t="shared" si="121"/>
        <v>5000</v>
      </c>
      <c r="P371" s="171"/>
      <c r="Q371" s="299">
        <f t="shared" si="124"/>
        <v>5000</v>
      </c>
    </row>
    <row r="372" spans="1:17" ht="12.75">
      <c r="A372" s="17" t="s">
        <v>277</v>
      </c>
      <c r="B372" s="54"/>
      <c r="C372" s="88"/>
      <c r="D372" s="76">
        <f>788.1</f>
        <v>788.1</v>
      </c>
      <c r="E372" s="102"/>
      <c r="F372" s="135">
        <f t="shared" si="120"/>
        <v>788.1</v>
      </c>
      <c r="G372" s="169"/>
      <c r="H372" s="170"/>
      <c r="I372" s="211">
        <f t="shared" si="122"/>
        <v>788.1</v>
      </c>
      <c r="J372" s="169"/>
      <c r="K372" s="229"/>
      <c r="L372" s="261">
        <f t="shared" si="123"/>
        <v>788.1</v>
      </c>
      <c r="M372" s="276"/>
      <c r="N372" s="170"/>
      <c r="O372" s="211">
        <f t="shared" si="121"/>
        <v>788.1</v>
      </c>
      <c r="P372" s="171"/>
      <c r="Q372" s="299">
        <f t="shared" si="124"/>
        <v>788.1</v>
      </c>
    </row>
    <row r="373" spans="1:17" ht="12.75">
      <c r="A373" s="96" t="s">
        <v>223</v>
      </c>
      <c r="B373" s="54"/>
      <c r="C373" s="88"/>
      <c r="D373" s="83">
        <f>56989.38+269393.98-5000</f>
        <v>321383.36</v>
      </c>
      <c r="E373" s="157"/>
      <c r="F373" s="135">
        <f t="shared" si="120"/>
        <v>321383.36</v>
      </c>
      <c r="G373" s="169">
        <f>-32000</f>
        <v>-32000</v>
      </c>
      <c r="H373" s="170"/>
      <c r="I373" s="211">
        <f t="shared" si="122"/>
        <v>289383.36</v>
      </c>
      <c r="J373" s="169">
        <f>15000+10000</f>
        <v>25000</v>
      </c>
      <c r="K373" s="229"/>
      <c r="L373" s="261">
        <f t="shared" si="123"/>
        <v>314383.36</v>
      </c>
      <c r="M373" s="276">
        <f>-101517.93</f>
        <v>-101517.93</v>
      </c>
      <c r="N373" s="170"/>
      <c r="O373" s="211">
        <f t="shared" si="121"/>
        <v>212865.43</v>
      </c>
      <c r="P373" s="171">
        <f>-10749.73+960.07</f>
        <v>-9789.66</v>
      </c>
      <c r="Q373" s="299">
        <f t="shared" si="124"/>
        <v>203075.77</v>
      </c>
    </row>
    <row r="374" spans="1:17" ht="12.75">
      <c r="A374" s="17" t="s">
        <v>278</v>
      </c>
      <c r="B374" s="98">
        <v>212163</v>
      </c>
      <c r="C374" s="88">
        <v>60000</v>
      </c>
      <c r="D374" s="76">
        <f>13780.39+40206.84</f>
        <v>53987.229999999996</v>
      </c>
      <c r="E374" s="102"/>
      <c r="F374" s="135">
        <f t="shared" si="120"/>
        <v>113987.23</v>
      </c>
      <c r="G374" s="169">
        <f>38284.6-6889.33</f>
        <v>31395.269999999997</v>
      </c>
      <c r="H374" s="170"/>
      <c r="I374" s="211">
        <f t="shared" si="122"/>
        <v>145382.5</v>
      </c>
      <c r="J374" s="169">
        <f>-171</f>
        <v>-171</v>
      </c>
      <c r="K374" s="229"/>
      <c r="L374" s="261">
        <f t="shared" si="123"/>
        <v>145211.5</v>
      </c>
      <c r="M374" s="276"/>
      <c r="N374" s="170"/>
      <c r="O374" s="211">
        <f t="shared" si="121"/>
        <v>145211.5</v>
      </c>
      <c r="P374" s="171"/>
      <c r="Q374" s="299">
        <f t="shared" si="124"/>
        <v>145211.5</v>
      </c>
    </row>
    <row r="375" spans="1:17" ht="12.75">
      <c r="A375" s="96" t="s">
        <v>379</v>
      </c>
      <c r="B375" s="98">
        <v>22777</v>
      </c>
      <c r="C375" s="88"/>
      <c r="D375" s="76"/>
      <c r="E375" s="102"/>
      <c r="F375" s="135"/>
      <c r="G375" s="169"/>
      <c r="H375" s="170"/>
      <c r="I375" s="211"/>
      <c r="J375" s="169"/>
      <c r="K375" s="229"/>
      <c r="L375" s="261">
        <f t="shared" si="123"/>
        <v>0</v>
      </c>
      <c r="M375" s="276">
        <f>97634.38</f>
        <v>97634.38</v>
      </c>
      <c r="N375" s="170">
        <f>1687.79</f>
        <v>1687.79</v>
      </c>
      <c r="O375" s="211">
        <f t="shared" si="121"/>
        <v>99322.17</v>
      </c>
      <c r="P375" s="171">
        <f>-1438.2</f>
        <v>-1438.2</v>
      </c>
      <c r="Q375" s="299">
        <f t="shared" si="124"/>
        <v>97883.97</v>
      </c>
    </row>
    <row r="376" spans="1:17" ht="12.75">
      <c r="A376" s="17" t="s">
        <v>286</v>
      </c>
      <c r="B376" s="98">
        <v>91628</v>
      </c>
      <c r="C376" s="88"/>
      <c r="D376" s="76">
        <f>308400</f>
        <v>308400</v>
      </c>
      <c r="E376" s="102"/>
      <c r="F376" s="135">
        <f t="shared" si="120"/>
        <v>308400</v>
      </c>
      <c r="G376" s="169">
        <f>34600</f>
        <v>34600</v>
      </c>
      <c r="H376" s="170"/>
      <c r="I376" s="211">
        <f t="shared" si="122"/>
        <v>343000</v>
      </c>
      <c r="J376" s="169"/>
      <c r="K376" s="229"/>
      <c r="L376" s="261">
        <f t="shared" si="123"/>
        <v>343000</v>
      </c>
      <c r="M376" s="276">
        <f>-2500-195000</f>
        <v>-197500</v>
      </c>
      <c r="N376" s="170"/>
      <c r="O376" s="211">
        <f t="shared" si="121"/>
        <v>145500</v>
      </c>
      <c r="P376" s="171">
        <f>-97431.98</f>
        <v>-97431.98</v>
      </c>
      <c r="Q376" s="299">
        <f t="shared" si="124"/>
        <v>48068.020000000004</v>
      </c>
    </row>
    <row r="377" spans="1:17" ht="12.75" hidden="1">
      <c r="A377" s="17" t="s">
        <v>262</v>
      </c>
      <c r="B377" s="98">
        <v>98858</v>
      </c>
      <c r="C377" s="88"/>
      <c r="D377" s="76"/>
      <c r="E377" s="102"/>
      <c r="F377" s="135">
        <f t="shared" si="120"/>
        <v>0</v>
      </c>
      <c r="G377" s="169"/>
      <c r="H377" s="170"/>
      <c r="I377" s="211">
        <f t="shared" si="122"/>
        <v>0</v>
      </c>
      <c r="J377" s="169"/>
      <c r="K377" s="229"/>
      <c r="L377" s="261">
        <f t="shared" si="123"/>
        <v>0</v>
      </c>
      <c r="M377" s="276"/>
      <c r="N377" s="170"/>
      <c r="O377" s="211">
        <f t="shared" si="121"/>
        <v>0</v>
      </c>
      <c r="P377" s="171"/>
      <c r="Q377" s="299">
        <f t="shared" si="124"/>
        <v>0</v>
      </c>
    </row>
    <row r="378" spans="1:17" ht="12.75">
      <c r="A378" s="17" t="s">
        <v>162</v>
      </c>
      <c r="B378" s="98">
        <v>212162</v>
      </c>
      <c r="C378" s="88"/>
      <c r="D378" s="76"/>
      <c r="E378" s="102"/>
      <c r="F378" s="135">
        <f t="shared" si="120"/>
        <v>0</v>
      </c>
      <c r="G378" s="169">
        <f>6884.49</f>
        <v>6884.49</v>
      </c>
      <c r="H378" s="170"/>
      <c r="I378" s="211">
        <f t="shared" si="122"/>
        <v>6884.49</v>
      </c>
      <c r="J378" s="169">
        <f>171</f>
        <v>171</v>
      </c>
      <c r="K378" s="229"/>
      <c r="L378" s="261">
        <f t="shared" si="123"/>
        <v>7055.49</v>
      </c>
      <c r="M378" s="276"/>
      <c r="N378" s="170"/>
      <c r="O378" s="211">
        <f t="shared" si="121"/>
        <v>7055.49</v>
      </c>
      <c r="P378" s="171"/>
      <c r="Q378" s="299">
        <f t="shared" si="124"/>
        <v>7055.49</v>
      </c>
    </row>
    <row r="379" spans="1:17" ht="12.75">
      <c r="A379" s="17" t="s">
        <v>300</v>
      </c>
      <c r="B379" s="98"/>
      <c r="C379" s="88"/>
      <c r="D379" s="76"/>
      <c r="E379" s="102"/>
      <c r="F379" s="135">
        <f t="shared" si="120"/>
        <v>0</v>
      </c>
      <c r="G379" s="169">
        <f>1777.95+5071.73</f>
        <v>6849.679999999999</v>
      </c>
      <c r="H379" s="170"/>
      <c r="I379" s="211">
        <f t="shared" si="122"/>
        <v>6849.679999999999</v>
      </c>
      <c r="J379" s="169">
        <f>2970.55</f>
        <v>2970.55</v>
      </c>
      <c r="K379" s="229"/>
      <c r="L379" s="261">
        <f t="shared" si="123"/>
        <v>9820.23</v>
      </c>
      <c r="M379" s="276"/>
      <c r="N379" s="170"/>
      <c r="O379" s="211">
        <f t="shared" si="121"/>
        <v>9820.23</v>
      </c>
      <c r="P379" s="171"/>
      <c r="Q379" s="299">
        <f t="shared" si="124"/>
        <v>9820.23</v>
      </c>
    </row>
    <row r="380" spans="1:17" ht="12.75">
      <c r="A380" s="17" t="s">
        <v>341</v>
      </c>
      <c r="B380" s="98"/>
      <c r="C380" s="88"/>
      <c r="D380" s="76"/>
      <c r="E380" s="102"/>
      <c r="F380" s="135">
        <f t="shared" si="120"/>
        <v>0</v>
      </c>
      <c r="G380" s="169"/>
      <c r="H380" s="170">
        <f>3014.38</f>
        <v>3014.38</v>
      </c>
      <c r="I380" s="211">
        <f t="shared" si="122"/>
        <v>3014.38</v>
      </c>
      <c r="J380" s="169"/>
      <c r="K380" s="229"/>
      <c r="L380" s="261">
        <f t="shared" si="123"/>
        <v>3014.38</v>
      </c>
      <c r="M380" s="276"/>
      <c r="N380" s="170"/>
      <c r="O380" s="211">
        <f t="shared" si="121"/>
        <v>3014.38</v>
      </c>
      <c r="P380" s="171">
        <f>-3014.38</f>
        <v>-3014.38</v>
      </c>
      <c r="Q380" s="299">
        <f t="shared" si="124"/>
        <v>0</v>
      </c>
    </row>
    <row r="381" spans="1:17" ht="12.75">
      <c r="A381" s="17" t="s">
        <v>285</v>
      </c>
      <c r="B381" s="98"/>
      <c r="C381" s="88"/>
      <c r="D381" s="76"/>
      <c r="E381" s="102"/>
      <c r="F381" s="135">
        <f t="shared" si="120"/>
        <v>0</v>
      </c>
      <c r="G381" s="169">
        <f>3871.69</f>
        <v>3871.69</v>
      </c>
      <c r="H381" s="170"/>
      <c r="I381" s="211">
        <f t="shared" si="122"/>
        <v>3871.69</v>
      </c>
      <c r="J381" s="169"/>
      <c r="K381" s="229"/>
      <c r="L381" s="261">
        <f t="shared" si="123"/>
        <v>3871.69</v>
      </c>
      <c r="M381" s="276"/>
      <c r="N381" s="170"/>
      <c r="O381" s="211">
        <f t="shared" si="121"/>
        <v>3871.69</v>
      </c>
      <c r="P381" s="171"/>
      <c r="Q381" s="299">
        <f t="shared" si="124"/>
        <v>3871.69</v>
      </c>
    </row>
    <row r="382" spans="1:17" ht="13.5" thickBot="1">
      <c r="A382" s="320" t="s">
        <v>320</v>
      </c>
      <c r="B382" s="322">
        <v>91628</v>
      </c>
      <c r="C382" s="310"/>
      <c r="D382" s="323">
        <f>218036</f>
        <v>218036</v>
      </c>
      <c r="E382" s="324"/>
      <c r="F382" s="313">
        <f t="shared" si="120"/>
        <v>218036</v>
      </c>
      <c r="G382" s="314">
        <f>14093.81</f>
        <v>14093.81</v>
      </c>
      <c r="H382" s="315"/>
      <c r="I382" s="316">
        <f t="shared" si="122"/>
        <v>232129.81</v>
      </c>
      <c r="J382" s="314">
        <f>48429-28130</f>
        <v>20299</v>
      </c>
      <c r="K382" s="317"/>
      <c r="L382" s="318">
        <f t="shared" si="123"/>
        <v>252428.81</v>
      </c>
      <c r="M382" s="319"/>
      <c r="N382" s="315"/>
      <c r="O382" s="316">
        <f t="shared" si="121"/>
        <v>252428.81</v>
      </c>
      <c r="P382" s="302">
        <f>-29678.61</f>
        <v>-29678.61</v>
      </c>
      <c r="Q382" s="303">
        <f t="shared" si="124"/>
        <v>222750.2</v>
      </c>
    </row>
    <row r="383" spans="1:17" ht="12.75" hidden="1">
      <c r="A383" s="17" t="s">
        <v>192</v>
      </c>
      <c r="B383" s="54"/>
      <c r="C383" s="88"/>
      <c r="D383" s="76"/>
      <c r="E383" s="102"/>
      <c r="F383" s="135">
        <f t="shared" si="120"/>
        <v>0</v>
      </c>
      <c r="G383" s="169"/>
      <c r="H383" s="170"/>
      <c r="I383" s="211">
        <f t="shared" si="122"/>
        <v>0</v>
      </c>
      <c r="J383" s="169"/>
      <c r="K383" s="229"/>
      <c r="L383" s="261"/>
      <c r="M383" s="276"/>
      <c r="N383" s="170"/>
      <c r="O383" s="211">
        <f t="shared" si="121"/>
        <v>0</v>
      </c>
      <c r="P383" s="171"/>
      <c r="Q383" s="299"/>
    </row>
    <row r="384" spans="1:17" ht="12.75">
      <c r="A384" s="17" t="s">
        <v>163</v>
      </c>
      <c r="B384" s="54"/>
      <c r="C384" s="88">
        <f>SUM(C385:C397)</f>
        <v>353425</v>
      </c>
      <c r="D384" s="69">
        <f>SUM(D385:D397)</f>
        <v>992996.7599999999</v>
      </c>
      <c r="E384" s="89">
        <f aca="true" t="shared" si="125" ref="E384:Q384">SUM(E385:E397)</f>
        <v>0</v>
      </c>
      <c r="F384" s="135">
        <f t="shared" si="125"/>
        <v>1346421.76</v>
      </c>
      <c r="G384" s="169">
        <f t="shared" si="125"/>
        <v>206373.18</v>
      </c>
      <c r="H384" s="170">
        <f t="shared" si="125"/>
        <v>75223.86</v>
      </c>
      <c r="I384" s="211">
        <f t="shared" si="125"/>
        <v>1628018.8</v>
      </c>
      <c r="J384" s="169">
        <f t="shared" si="125"/>
        <v>143985.66000000003</v>
      </c>
      <c r="K384" s="229">
        <f t="shared" si="125"/>
        <v>0</v>
      </c>
      <c r="L384" s="261">
        <f t="shared" si="125"/>
        <v>1772004.4599999997</v>
      </c>
      <c r="M384" s="229">
        <f t="shared" si="125"/>
        <v>340074.43</v>
      </c>
      <c r="N384" s="170">
        <f t="shared" si="125"/>
        <v>23846.940000000002</v>
      </c>
      <c r="O384" s="211">
        <f t="shared" si="125"/>
        <v>2135925.83</v>
      </c>
      <c r="P384" s="169">
        <f t="shared" si="125"/>
        <v>133621.9</v>
      </c>
      <c r="Q384" s="211">
        <f t="shared" si="125"/>
        <v>2269547.7300000004</v>
      </c>
    </row>
    <row r="385" spans="1:17" ht="12.75">
      <c r="A385" s="13" t="s">
        <v>210</v>
      </c>
      <c r="B385" s="54"/>
      <c r="C385" s="90">
        <v>1000</v>
      </c>
      <c r="D385" s="76"/>
      <c r="E385" s="89"/>
      <c r="F385" s="135">
        <f>C385+D385+E385</f>
        <v>1000</v>
      </c>
      <c r="G385" s="169"/>
      <c r="H385" s="170"/>
      <c r="I385" s="211">
        <f aca="true" t="shared" si="126" ref="I385:I397">F385+G385+H385</f>
        <v>1000</v>
      </c>
      <c r="J385" s="169"/>
      <c r="K385" s="229"/>
      <c r="L385" s="261">
        <f aca="true" t="shared" si="127" ref="L385:L397">I385+J385+K385</f>
        <v>1000</v>
      </c>
      <c r="M385" s="276"/>
      <c r="N385" s="170"/>
      <c r="O385" s="211">
        <f t="shared" si="121"/>
        <v>1000</v>
      </c>
      <c r="P385" s="171"/>
      <c r="Q385" s="299">
        <f aca="true" t="shared" si="128" ref="Q385:Q397">O385+P385</f>
        <v>1000</v>
      </c>
    </row>
    <row r="386" spans="1:17" ht="12.75">
      <c r="A386" s="13" t="s">
        <v>171</v>
      </c>
      <c r="B386" s="54"/>
      <c r="C386" s="90"/>
      <c r="D386" s="76">
        <f>411.59+112602.92+6996.98+1000+5200+2716.73-6000</f>
        <v>122928.21999999999</v>
      </c>
      <c r="E386" s="89"/>
      <c r="F386" s="135">
        <f>C386+D386+E386</f>
        <v>122928.21999999999</v>
      </c>
      <c r="G386" s="169">
        <f>20956.06+10000+7890+500</f>
        <v>39346.06</v>
      </c>
      <c r="H386" s="170"/>
      <c r="I386" s="211">
        <f t="shared" si="126"/>
        <v>162274.27999999997</v>
      </c>
      <c r="J386" s="169">
        <f>25000+3567.6</f>
        <v>28567.6</v>
      </c>
      <c r="K386" s="229"/>
      <c r="L386" s="261">
        <f t="shared" si="127"/>
        <v>190841.87999999998</v>
      </c>
      <c r="M386" s="276">
        <f>6000-10000+13000</f>
        <v>9000</v>
      </c>
      <c r="N386" s="170">
        <f>-490</f>
        <v>-490</v>
      </c>
      <c r="O386" s="211">
        <f t="shared" si="121"/>
        <v>199351.87999999998</v>
      </c>
      <c r="P386" s="171"/>
      <c r="Q386" s="299">
        <f t="shared" si="128"/>
        <v>199351.87999999998</v>
      </c>
    </row>
    <row r="387" spans="1:17" ht="12.75">
      <c r="A387" s="13" t="s">
        <v>305</v>
      </c>
      <c r="B387" s="54"/>
      <c r="C387" s="90">
        <v>4625</v>
      </c>
      <c r="D387" s="76"/>
      <c r="E387" s="89"/>
      <c r="F387" s="135">
        <f>C387+D387+E387</f>
        <v>4625</v>
      </c>
      <c r="G387" s="169"/>
      <c r="H387" s="170"/>
      <c r="I387" s="211">
        <f t="shared" si="126"/>
        <v>4625</v>
      </c>
      <c r="J387" s="169"/>
      <c r="K387" s="229"/>
      <c r="L387" s="261">
        <f t="shared" si="127"/>
        <v>4625</v>
      </c>
      <c r="M387" s="276"/>
      <c r="N387" s="170"/>
      <c r="O387" s="211">
        <f t="shared" si="121"/>
        <v>4625</v>
      </c>
      <c r="P387" s="171"/>
      <c r="Q387" s="299">
        <f t="shared" si="128"/>
        <v>4625</v>
      </c>
    </row>
    <row r="388" spans="1:17" ht="12.75">
      <c r="A388" s="13" t="s">
        <v>257</v>
      </c>
      <c r="B388" s="54"/>
      <c r="C388" s="90">
        <v>6000</v>
      </c>
      <c r="D388" s="76"/>
      <c r="E388" s="89"/>
      <c r="F388" s="135">
        <f t="shared" si="120"/>
        <v>6000</v>
      </c>
      <c r="G388" s="169"/>
      <c r="H388" s="170"/>
      <c r="I388" s="211">
        <f t="shared" si="126"/>
        <v>6000</v>
      </c>
      <c r="J388" s="169"/>
      <c r="K388" s="229"/>
      <c r="L388" s="261">
        <f t="shared" si="127"/>
        <v>6000</v>
      </c>
      <c r="M388" s="276"/>
      <c r="N388" s="170"/>
      <c r="O388" s="211">
        <f t="shared" si="121"/>
        <v>6000</v>
      </c>
      <c r="P388" s="171"/>
      <c r="Q388" s="299">
        <f t="shared" si="128"/>
        <v>6000</v>
      </c>
    </row>
    <row r="389" spans="1:17" ht="12.75">
      <c r="A389" s="13" t="s">
        <v>222</v>
      </c>
      <c r="B389" s="54"/>
      <c r="C389" s="90">
        <v>153000</v>
      </c>
      <c r="D389" s="76">
        <f>421.02+20.45+154988.18+22521.82</f>
        <v>177951.47</v>
      </c>
      <c r="E389" s="89"/>
      <c r="F389" s="135">
        <f t="shared" si="120"/>
        <v>330951.47</v>
      </c>
      <c r="G389" s="169">
        <f>58.5+605.48+847.41</f>
        <v>1511.3899999999999</v>
      </c>
      <c r="H389" s="170"/>
      <c r="I389" s="211">
        <f t="shared" si="126"/>
        <v>332462.86</v>
      </c>
      <c r="J389" s="169">
        <f>44790.97+268.26+552.11</f>
        <v>45611.340000000004</v>
      </c>
      <c r="K389" s="229"/>
      <c r="L389" s="261">
        <f t="shared" si="127"/>
        <v>378074.2</v>
      </c>
      <c r="M389" s="276">
        <f>595.51+101867.04+10000+649.42+25000-6000</f>
        <v>132111.96999999997</v>
      </c>
      <c r="N389" s="170"/>
      <c r="O389" s="211">
        <f t="shared" si="121"/>
        <v>510186.17</v>
      </c>
      <c r="P389" s="171">
        <f>73418.36</f>
        <v>73418.36</v>
      </c>
      <c r="Q389" s="299">
        <f t="shared" si="128"/>
        <v>583604.53</v>
      </c>
    </row>
    <row r="390" spans="1:17" ht="12.75">
      <c r="A390" s="13" t="s">
        <v>170</v>
      </c>
      <c r="B390" s="54"/>
      <c r="C390" s="90">
        <v>17000</v>
      </c>
      <c r="D390" s="76">
        <f>27.8+95.35+53.69+296.6+1820.61+43.56+32.67+1250.1+378.53+1105.7+331.06+25920.31+2342.88+37.51</f>
        <v>33736.37</v>
      </c>
      <c r="E390" s="89"/>
      <c r="F390" s="135">
        <f t="shared" si="120"/>
        <v>50736.37</v>
      </c>
      <c r="G390" s="169">
        <f>2235.15+1395.36+473.19+888.29+1022.02+3267.88+1929.08+1792.43+43.56+303.71+402.08+1600.49+1155.19+396.88+2178.63+71.65+2571.46</f>
        <v>21727.05</v>
      </c>
      <c r="H390" s="170">
        <f>78793.08</f>
        <v>78793.08</v>
      </c>
      <c r="I390" s="211">
        <f t="shared" si="126"/>
        <v>151256.5</v>
      </c>
      <c r="J390" s="169">
        <f>1687.7+1699.65+922.18+326.13+882.16+257.91+3123.74+3306.48+2158.3+988.57+3373.67+3490.56+43.56+1.6+3189.05+1745.02+2331.65+2194.59+423.5+1238.85+48.62+6000+1726.93</f>
        <v>41160.420000000006</v>
      </c>
      <c r="K390" s="229"/>
      <c r="L390" s="261">
        <f t="shared" si="127"/>
        <v>192416.92</v>
      </c>
      <c r="M390" s="276">
        <f>1088.53+1874.92+3045.13+2371.5+1012.39+3560.57+1470.16+1205.68+2735.13+12.1+53.12+1690.23+1419.6+60.5+1362.98+982.64-6000+633.12+971.06-3400+419.2+5873.63+2234.42+53.24+4541.8+229.9</f>
        <v>29501.549999999996</v>
      </c>
      <c r="N390" s="170">
        <f>17945.49</f>
        <v>17945.49</v>
      </c>
      <c r="O390" s="211">
        <f t="shared" si="121"/>
        <v>239863.96</v>
      </c>
      <c r="P390" s="171">
        <f>953.16+2133.97+4519.62+1181.05+847.65+3040.2+4483.27+1045.35+1328.23+30.25+7021.3+65.34</f>
        <v>26649.389999999996</v>
      </c>
      <c r="Q390" s="299">
        <f t="shared" si="128"/>
        <v>266513.35</v>
      </c>
    </row>
    <row r="391" spans="1:17" ht="12.75">
      <c r="A391" s="13" t="s">
        <v>173</v>
      </c>
      <c r="B391" s="54"/>
      <c r="C391" s="90">
        <v>16800</v>
      </c>
      <c r="D391" s="76">
        <f>8755.95+1633.61+87162.5+8949.75+5400+1646.64+37754.41</f>
        <v>151302.86</v>
      </c>
      <c r="E391" s="89"/>
      <c r="F391" s="135">
        <f t="shared" si="120"/>
        <v>168102.86</v>
      </c>
      <c r="G391" s="169">
        <f>363.78+8034.18+2.01+7800-1700-400-2200-2428.93+1116.53</f>
        <v>10587.570000000002</v>
      </c>
      <c r="H391" s="170"/>
      <c r="I391" s="211">
        <f t="shared" si="126"/>
        <v>178690.43</v>
      </c>
      <c r="J391" s="169">
        <f>15468.7+3199.56+75.06+30.69-2000+5000</f>
        <v>21774.010000000002</v>
      </c>
      <c r="K391" s="229"/>
      <c r="L391" s="261">
        <f t="shared" si="127"/>
        <v>200464.44</v>
      </c>
      <c r="M391" s="276">
        <f>1542.56+335.24+1500+350+30925.71</f>
        <v>34653.51</v>
      </c>
      <c r="N391" s="170"/>
      <c r="O391" s="211">
        <f t="shared" si="121"/>
        <v>235117.95</v>
      </c>
      <c r="P391" s="171">
        <f>3105.18+9065.2</f>
        <v>12170.380000000001</v>
      </c>
      <c r="Q391" s="299">
        <f t="shared" si="128"/>
        <v>247288.33000000002</v>
      </c>
    </row>
    <row r="392" spans="1:17" ht="12.75">
      <c r="A392" s="13" t="s">
        <v>176</v>
      </c>
      <c r="B392" s="54"/>
      <c r="C392" s="90">
        <v>3000</v>
      </c>
      <c r="D392" s="76">
        <f>1317.26+402.71+874.2+29.04+1214.15+39.93+642.25+1771.34+2262.44+24.88+13748.19+1634.34+39.93</f>
        <v>24000.66</v>
      </c>
      <c r="E392" s="89"/>
      <c r="F392" s="135">
        <f t="shared" si="120"/>
        <v>27000.66</v>
      </c>
      <c r="G392" s="169">
        <f>249.06+1164.13+850.14+1964.43+5211.33+2287.19+1318.58+1673.66+5770.22+797.77+1374.56+3044.26+1331.6</f>
        <v>27036.93</v>
      </c>
      <c r="H392" s="170"/>
      <c r="I392" s="211">
        <f t="shared" si="126"/>
        <v>54037.59</v>
      </c>
      <c r="J392" s="169">
        <f>840.38+5353.67+1127.64+999.04+1297.36+1142.11+765.74+1513.92+39.93+1436.09+4411.34+2257.35+88.73+1438.6+1979.93</f>
        <v>24691.829999999998</v>
      </c>
      <c r="K392" s="229"/>
      <c r="L392" s="261">
        <f t="shared" si="127"/>
        <v>78729.42</v>
      </c>
      <c r="M392" s="276">
        <f>36.3+3402.14+1157.58+1455.81+2685.77+37.75-13.83+2803.68+5517.76+1751.61</f>
        <v>18834.57</v>
      </c>
      <c r="N392" s="170"/>
      <c r="O392" s="211">
        <f t="shared" si="121"/>
        <v>97563.98999999999</v>
      </c>
      <c r="P392" s="171">
        <f>2353.79+8582.98+1996.43</f>
        <v>12933.2</v>
      </c>
      <c r="Q392" s="299">
        <f t="shared" si="128"/>
        <v>110497.18999999999</v>
      </c>
    </row>
    <row r="393" spans="1:17" ht="12.75">
      <c r="A393" s="13" t="s">
        <v>175</v>
      </c>
      <c r="B393" s="54"/>
      <c r="C393" s="90">
        <v>6000</v>
      </c>
      <c r="D393" s="69">
        <f>60090+625.27+614+927.27+3423.26+450.08+695.67+1097.44+3055.76+110037.64+819.82+276.96+881.22+313.48+100000</f>
        <v>283307.87</v>
      </c>
      <c r="E393" s="89"/>
      <c r="F393" s="135">
        <f t="shared" si="120"/>
        <v>289307.87</v>
      </c>
      <c r="G393" s="169">
        <f>323.56+990.18+1222.96+742.6+1124.52+1792+1240.9+702.94+2517.94+1016.04+1750.35+316.35+1579.75+1937.33+1323.3+6859.13-1000+334.69+4250</f>
        <v>29024.539999999997</v>
      </c>
      <c r="H393" s="170"/>
      <c r="I393" s="211">
        <f t="shared" si="126"/>
        <v>318332.41</v>
      </c>
      <c r="J393" s="169">
        <f>1024.31+314.01+1202.45+1193.05+674.38+1195.32+18.51+1167.7-1350-4000-1000+47</f>
        <v>486.72999999999956</v>
      </c>
      <c r="K393" s="229"/>
      <c r="L393" s="261">
        <f t="shared" si="127"/>
        <v>318819.13999999996</v>
      </c>
      <c r="M393" s="276">
        <f>2004.55+47+2914.67+1773.73+10888.44+7.08+8.71+95.83+7015.46+101517.93</f>
        <v>126273.4</v>
      </c>
      <c r="N393" s="170">
        <f>-3630</f>
        <v>-3630</v>
      </c>
      <c r="O393" s="211">
        <f t="shared" si="121"/>
        <v>441462.5399999999</v>
      </c>
      <c r="P393" s="171">
        <f>13606.43+9311.68+10749.73-960.07+5932.24+3129.71+2036.51-8.72</f>
        <v>43797.509999999995</v>
      </c>
      <c r="Q393" s="299">
        <f t="shared" si="128"/>
        <v>485260.04999999993</v>
      </c>
    </row>
    <row r="394" spans="1:17" ht="12.75" hidden="1">
      <c r="A394" s="13" t="s">
        <v>201</v>
      </c>
      <c r="B394" s="54">
        <v>2088</v>
      </c>
      <c r="C394" s="90"/>
      <c r="D394" s="69"/>
      <c r="E394" s="89"/>
      <c r="F394" s="135">
        <f t="shared" si="120"/>
        <v>0</v>
      </c>
      <c r="G394" s="169"/>
      <c r="H394" s="170"/>
      <c r="I394" s="211">
        <f t="shared" si="126"/>
        <v>0</v>
      </c>
      <c r="J394" s="169"/>
      <c r="K394" s="229"/>
      <c r="L394" s="261">
        <f t="shared" si="127"/>
        <v>0</v>
      </c>
      <c r="M394" s="276"/>
      <c r="N394" s="170"/>
      <c r="O394" s="211">
        <f t="shared" si="121"/>
        <v>0</v>
      </c>
      <c r="P394" s="171"/>
      <c r="Q394" s="299">
        <f t="shared" si="128"/>
        <v>0</v>
      </c>
    </row>
    <row r="395" spans="1:17" ht="12.75">
      <c r="A395" s="13" t="s">
        <v>269</v>
      </c>
      <c r="B395" s="54">
        <v>2088</v>
      </c>
      <c r="C395" s="90"/>
      <c r="D395" s="69">
        <f>64395.89</f>
        <v>64395.89</v>
      </c>
      <c r="E395" s="89"/>
      <c r="F395" s="135">
        <f t="shared" si="120"/>
        <v>64395.89</v>
      </c>
      <c r="G395" s="169">
        <f>228.4</f>
        <v>228.4</v>
      </c>
      <c r="H395" s="170"/>
      <c r="I395" s="211">
        <f t="shared" si="126"/>
        <v>64624.29</v>
      </c>
      <c r="J395" s="169">
        <f>44205.52-44790.97+42930.51</f>
        <v>42345.06</v>
      </c>
      <c r="K395" s="229"/>
      <c r="L395" s="261">
        <f t="shared" si="127"/>
        <v>106969.35</v>
      </c>
      <c r="M395" s="276">
        <f>-101867.04+14881.6+5728.96+62209.51+88295.88</f>
        <v>69248.91000000003</v>
      </c>
      <c r="N395" s="170"/>
      <c r="O395" s="211">
        <f t="shared" si="121"/>
        <v>176218.26000000004</v>
      </c>
      <c r="P395" s="171">
        <f>17368.17+25853.97+4925.08-73418.36</f>
        <v>-25271.14</v>
      </c>
      <c r="Q395" s="299">
        <f t="shared" si="128"/>
        <v>150947.12000000005</v>
      </c>
    </row>
    <row r="396" spans="1:17" ht="12.75">
      <c r="A396" s="17" t="s">
        <v>231</v>
      </c>
      <c r="B396" s="54">
        <v>2077</v>
      </c>
      <c r="C396" s="90">
        <v>146000</v>
      </c>
      <c r="D396" s="69">
        <f>127505.62-18.07-795.31-402.71-524.52-4536.95-95.35-3812.64-32.22-17.42-25.95-385.35-26.14-20.3-1759.43-1084.22-1357.46-331.06-24.88+1907.6-5400-1352+15000-40000-25.95-36.24</f>
        <v>82349.04999999997</v>
      </c>
      <c r="E396" s="89"/>
      <c r="F396" s="135">
        <f t="shared" si="120"/>
        <v>228349.05</v>
      </c>
      <c r="G396" s="169">
        <f>-2693.12-161.89-510.08-1952.81-283.91-1267.08-1372.31-532.25-1306.97-1087.88-1907.6-1792.43-26.14-303.71-123.42-52.05-518.55-379.63-396.88-39.36-1542.88-1374.56-1826.56-800.12-1525.09+1105.32+10000+6000-10000-726</f>
        <v>-17397.96</v>
      </c>
      <c r="H396" s="170">
        <f>-2980.5</f>
        <v>-2980.5</v>
      </c>
      <c r="I396" s="211">
        <f t="shared" si="126"/>
        <v>207970.59</v>
      </c>
      <c r="J396" s="169">
        <f>-4.48-840.38-3212.2-727.61-649.38-548.95-164.2-529.3-1058.16-14.77-1297.36-2376.41-685.27-647.49-497.01-1594.14-2094.34-26.14-984.05-2579.63-25.95-818.01-916.34-1398.99-1156.66-2646.8-423.5-371.65-2257.35+30000+5000-25000-1286.95</f>
        <v>-21833.47</v>
      </c>
      <c r="K396" s="229"/>
      <c r="L396" s="261">
        <f t="shared" si="127"/>
        <v>186137.12</v>
      </c>
      <c r="M396" s="276">
        <f>-21.78-653.12-752.43-1124.95-1827.08-1462.67-959.15-1713.48-875.63-933.28-1611.46-37.75-12.1-23.57-907.99-45.98-778.55-667.58-379.87-696.82-1999.32-5517.76-1138.55-1340.65-15.97-3722.87-229.9-13000-500+6000</f>
        <v>-36950.26</v>
      </c>
      <c r="N396" s="170"/>
      <c r="O396" s="211">
        <f t="shared" si="121"/>
        <v>149186.86</v>
      </c>
      <c r="P396" s="171">
        <f>-845.4-2110.88-1627.82-939.83-772.34-2339.91-8582.98-1996.43-2760.89-627.21-1223.26-30.25-3947.53-4.68</f>
        <v>-27809.409999999996</v>
      </c>
      <c r="Q396" s="299">
        <f t="shared" si="128"/>
        <v>121377.44999999998</v>
      </c>
    </row>
    <row r="397" spans="1:17" ht="12.75">
      <c r="A397" s="23" t="s">
        <v>270</v>
      </c>
      <c r="B397" s="57">
        <v>2099</v>
      </c>
      <c r="C397" s="108"/>
      <c r="D397" s="74">
        <f>81712.55+11950.2-2441.18-970.87-9.73-521.95-349.68-8755.95-27766.53-19658.78-625.27-21.48-1633.61-614-296.6-927.27-3423.26-11.62-450.08-695.67-1214.15-1820.61-13.98-256.9-421.02-17.42-1097.44-3055.76-12.37-11.91-1250.1-378.53-21.47-904.98-20.45-8949.75-257-819.82-276.96+21.48-881.22+929.62-1646.64-1634.34+7646.42-313.48+40000-13.98-1.27+5229.18</f>
        <v>53024.37000000003</v>
      </c>
      <c r="E397" s="155"/>
      <c r="F397" s="164">
        <f t="shared" si="120"/>
        <v>53024.37000000003</v>
      </c>
      <c r="G397" s="181">
        <f>334.69+17906.13+3730.65+2496.78+3572.4+45726.99+5312.1+4489.75-782.54-87.17-58.5-363.78-1164.13-340.06-2235.15-8034.18-323.56-990.18-1222.96-742.6-1395.36-11.62-189.28-1124.52-13000-2029.3-2.01-5211.33-914.88-1792-1240.9-702.94-2517.94-1016.04-356.04-11.61-585.78-1022.02-3267.88-1750.35-605.48-340.78-21.48+18.55+5500-17.42-6100.66-988.91+7114.8+4599.77+6100.66+4039.43+5071.73+4967.28+3401.93-1600.49-279.22+780.76-775.56-316.35-1579.75-1937.33-2178.63-32.29-1028.58-1217.7-1323.3-847.41-531.48-87.24-6859.13+48615.18-334.69-10000-6000-1116.53+16983.93+4152.71</f>
        <v>94309.20000000003</v>
      </c>
      <c r="H397" s="182">
        <f>-78911.05+78872.33-550</f>
        <v>-588.7200000000012</v>
      </c>
      <c r="I397" s="216">
        <f t="shared" si="126"/>
        <v>146744.85000000006</v>
      </c>
      <c r="J397" s="181">
        <f>3979.69+2779.33+10841.31+3021.93-85.07-1024.31-314.01-1202.45-1687.7-1699.65-2141.47-400.03-349.66-373.23-161.93-352.86-9523.46-15468.7-3199.56-280.71-747.33-456.84-1193.05-3306.48-75.06-674.38-268.26-1510.81-988.57-268.73-1779.53-1396.22-1195.32-17.42+958.69+13000-74.39+2970.55-529.87-609.42-13.98-927.01-519.75-932.66-1037.93-552.11-1764.54-30.69-867.2-18.51-1167.7-48.62+3080+10888.44+5748.14-5000-5000-30000-47-692.98+7618.15-1726.93</f>
        <v>-38817.85999999999</v>
      </c>
      <c r="K397" s="254"/>
      <c r="L397" s="266">
        <f t="shared" si="127"/>
        <v>107926.99000000008</v>
      </c>
      <c r="M397" s="246">
        <f>-14.52-435.41-3520.95-405.15-749.97-1218.05-908.83-53.24-1847.09-594.53-522.53-1074.31-595.51-1205.68-185-2004.55-2735.13-47-447.73-782.24-666.43-1542.56-1419.6-14.52-584.43-315.06+3806-2914.67-253.25-274.24+7094.9+1458.42+11401.55-1500-10888.44-5873.63-7.08-8.71-95.83-649.42-804.36-613.06+6808.51-893.77-37.27-818.93+4787.44+1500.76+991.59-30925.71</f>
        <v>-42599.22000000001</v>
      </c>
      <c r="N397" s="182">
        <f>4681.59+1609.85+3730.01-17981.79+17981.79</f>
        <v>10021.45</v>
      </c>
      <c r="O397" s="216">
        <f t="shared" si="121"/>
        <v>75349.22000000007</v>
      </c>
      <c r="P397" s="296">
        <f>6859.14+3921.41+189.88+477.16+17685.59-107.76-23.09-2891.8-241.22-75.31-3040.2-13.88-3105.18-1722.38-418.14-104.97-3073.77-88.97-5932.24-3129.71-2036.51-580.12+2558.63+3432.47+3329.64+5864.94</f>
        <v>17733.609999999997</v>
      </c>
      <c r="Q397" s="295">
        <f t="shared" si="128"/>
        <v>93082.83000000007</v>
      </c>
    </row>
    <row r="398" spans="1:17" ht="12.75">
      <c r="A398" s="10" t="s">
        <v>88</v>
      </c>
      <c r="B398" s="58"/>
      <c r="C398" s="94">
        <f aca="true" t="shared" si="129" ref="C398:O398">C399+C430</f>
        <v>326309.76</v>
      </c>
      <c r="D398" s="68">
        <f t="shared" si="129"/>
        <v>1178559.49</v>
      </c>
      <c r="E398" s="95">
        <f t="shared" si="129"/>
        <v>50</v>
      </c>
      <c r="F398" s="134">
        <f t="shared" si="129"/>
        <v>1504919.25</v>
      </c>
      <c r="G398" s="167">
        <f t="shared" si="129"/>
        <v>127309.81999999999</v>
      </c>
      <c r="H398" s="168">
        <f t="shared" si="129"/>
        <v>664.86</v>
      </c>
      <c r="I398" s="210">
        <f t="shared" si="129"/>
        <v>1632893.9300000002</v>
      </c>
      <c r="J398" s="167">
        <f t="shared" si="129"/>
        <v>112646.27</v>
      </c>
      <c r="K398" s="228">
        <f t="shared" si="129"/>
        <v>0</v>
      </c>
      <c r="L398" s="260">
        <f t="shared" si="129"/>
        <v>1745540.2</v>
      </c>
      <c r="M398" s="228">
        <f t="shared" si="129"/>
        <v>4551.120000000001</v>
      </c>
      <c r="N398" s="168">
        <f t="shared" si="129"/>
        <v>0</v>
      </c>
      <c r="O398" s="210">
        <f t="shared" si="129"/>
        <v>1750091.3199999998</v>
      </c>
      <c r="P398" s="167">
        <f>P399+P430</f>
        <v>9999.359999999997</v>
      </c>
      <c r="Q398" s="210">
        <f>Q399+Q430</f>
        <v>1760090.6800000002</v>
      </c>
    </row>
    <row r="399" spans="1:17" ht="12.75">
      <c r="A399" s="19" t="s">
        <v>48</v>
      </c>
      <c r="B399" s="58"/>
      <c r="C399" s="107">
        <f aca="true" t="shared" si="130" ref="C399:O399">SUM(C401:C429)</f>
        <v>326309.76</v>
      </c>
      <c r="D399" s="73">
        <f t="shared" si="130"/>
        <v>1178559.49</v>
      </c>
      <c r="E399" s="123">
        <f t="shared" si="130"/>
        <v>50</v>
      </c>
      <c r="F399" s="139">
        <f t="shared" si="130"/>
        <v>1504919.25</v>
      </c>
      <c r="G399" s="177">
        <f t="shared" si="130"/>
        <v>127309.81999999999</v>
      </c>
      <c r="H399" s="178">
        <f t="shared" si="130"/>
        <v>664.86</v>
      </c>
      <c r="I399" s="214">
        <f t="shared" si="130"/>
        <v>1632893.9300000002</v>
      </c>
      <c r="J399" s="177">
        <f t="shared" si="130"/>
        <v>112646.27</v>
      </c>
      <c r="K399" s="218">
        <f t="shared" si="130"/>
        <v>0</v>
      </c>
      <c r="L399" s="264">
        <f t="shared" si="130"/>
        <v>1745540.2</v>
      </c>
      <c r="M399" s="218">
        <f t="shared" si="130"/>
        <v>4551.120000000001</v>
      </c>
      <c r="N399" s="178">
        <f t="shared" si="130"/>
        <v>0</v>
      </c>
      <c r="O399" s="214">
        <f t="shared" si="130"/>
        <v>1750091.3199999998</v>
      </c>
      <c r="P399" s="177">
        <f>SUM(P401:P429)</f>
        <v>9999.359999999997</v>
      </c>
      <c r="Q399" s="214">
        <f>SUM(Q401:Q429)</f>
        <v>1760090.6800000002</v>
      </c>
    </row>
    <row r="400" spans="1:17" ht="12.75">
      <c r="A400" s="15" t="s">
        <v>26</v>
      </c>
      <c r="B400" s="54"/>
      <c r="C400" s="88"/>
      <c r="D400" s="69"/>
      <c r="E400" s="89"/>
      <c r="F400" s="135"/>
      <c r="G400" s="169"/>
      <c r="H400" s="170"/>
      <c r="I400" s="211"/>
      <c r="J400" s="169"/>
      <c r="K400" s="229"/>
      <c r="L400" s="261"/>
      <c r="M400" s="243"/>
      <c r="N400" s="170"/>
      <c r="O400" s="211"/>
      <c r="P400" s="171"/>
      <c r="Q400" s="299"/>
    </row>
    <row r="401" spans="1:17" ht="12.75">
      <c r="A401" s="153" t="s">
        <v>89</v>
      </c>
      <c r="B401" s="60"/>
      <c r="C401" s="88">
        <v>255000</v>
      </c>
      <c r="D401" s="69"/>
      <c r="E401" s="89">
        <f>50</f>
        <v>50</v>
      </c>
      <c r="F401" s="135">
        <f aca="true" t="shared" si="131" ref="F401:F429">C401+D401+E401</f>
        <v>255050</v>
      </c>
      <c r="G401" s="169"/>
      <c r="H401" s="170"/>
      <c r="I401" s="211">
        <f>F401+G401+H401</f>
        <v>255050</v>
      </c>
      <c r="J401" s="169"/>
      <c r="K401" s="229"/>
      <c r="L401" s="261">
        <f>I401+J401+K401</f>
        <v>255050</v>
      </c>
      <c r="M401" s="243">
        <f>9492.78</f>
        <v>9492.78</v>
      </c>
      <c r="N401" s="170"/>
      <c r="O401" s="211">
        <f>L401+M401+N401</f>
        <v>264542.78</v>
      </c>
      <c r="P401" s="171"/>
      <c r="Q401" s="299">
        <f>O401+P401</f>
        <v>264542.78</v>
      </c>
    </row>
    <row r="402" spans="1:17" ht="12.75" hidden="1">
      <c r="A402" s="55" t="s">
        <v>198</v>
      </c>
      <c r="B402" s="60"/>
      <c r="C402" s="88"/>
      <c r="D402" s="69">
        <f>400+2000</f>
        <v>2400</v>
      </c>
      <c r="E402" s="89"/>
      <c r="F402" s="135">
        <f t="shared" si="131"/>
        <v>2400</v>
      </c>
      <c r="G402" s="169"/>
      <c r="H402" s="170"/>
      <c r="I402" s="211">
        <f aca="true" t="shared" si="132" ref="I402:I426">F402+G402+H402</f>
        <v>2400</v>
      </c>
      <c r="J402" s="169"/>
      <c r="K402" s="229"/>
      <c r="L402" s="261">
        <f aca="true" t="shared" si="133" ref="L402:L429">I402+J402+K402</f>
        <v>2400</v>
      </c>
      <c r="M402" s="243">
        <f>-2400</f>
        <v>-2400</v>
      </c>
      <c r="N402" s="170"/>
      <c r="O402" s="211">
        <f aca="true" t="shared" si="134" ref="O402:O429">L402+M402+N402</f>
        <v>0</v>
      </c>
      <c r="P402" s="171"/>
      <c r="Q402" s="299">
        <f aca="true" t="shared" si="135" ref="Q402:Q429">O402+P402</f>
        <v>0</v>
      </c>
    </row>
    <row r="403" spans="1:17" ht="12.75" hidden="1">
      <c r="A403" s="13" t="s">
        <v>140</v>
      </c>
      <c r="B403" s="54"/>
      <c r="C403" s="88"/>
      <c r="D403" s="69"/>
      <c r="E403" s="89"/>
      <c r="F403" s="135">
        <f t="shared" si="131"/>
        <v>0</v>
      </c>
      <c r="G403" s="169"/>
      <c r="H403" s="170"/>
      <c r="I403" s="211">
        <f t="shared" si="132"/>
        <v>0</v>
      </c>
      <c r="J403" s="169"/>
      <c r="K403" s="229"/>
      <c r="L403" s="261">
        <f t="shared" si="133"/>
        <v>0</v>
      </c>
      <c r="M403" s="243"/>
      <c r="N403" s="170"/>
      <c r="O403" s="211">
        <f t="shared" si="134"/>
        <v>0</v>
      </c>
      <c r="P403" s="171"/>
      <c r="Q403" s="299">
        <f t="shared" si="135"/>
        <v>0</v>
      </c>
    </row>
    <row r="404" spans="1:17" ht="12.75">
      <c r="A404" s="13" t="s">
        <v>156</v>
      </c>
      <c r="B404" s="54"/>
      <c r="C404" s="88">
        <v>60000</v>
      </c>
      <c r="D404" s="69">
        <f>425.8</f>
        <v>425.8</v>
      </c>
      <c r="E404" s="89"/>
      <c r="F404" s="135">
        <f t="shared" si="131"/>
        <v>60425.8</v>
      </c>
      <c r="G404" s="169">
        <f>2.06</f>
        <v>2.06</v>
      </c>
      <c r="H404" s="170"/>
      <c r="I404" s="211">
        <f t="shared" si="132"/>
        <v>60427.86</v>
      </c>
      <c r="J404" s="169"/>
      <c r="K404" s="229"/>
      <c r="L404" s="261">
        <f t="shared" si="133"/>
        <v>60427.86</v>
      </c>
      <c r="M404" s="243">
        <f>-5092.78</f>
        <v>-5092.78</v>
      </c>
      <c r="N404" s="170"/>
      <c r="O404" s="211">
        <f t="shared" si="134"/>
        <v>55335.08</v>
      </c>
      <c r="P404" s="171"/>
      <c r="Q404" s="299">
        <f t="shared" si="135"/>
        <v>55335.08</v>
      </c>
    </row>
    <row r="405" spans="1:17" ht="12.75">
      <c r="A405" s="13" t="s">
        <v>50</v>
      </c>
      <c r="B405" s="54"/>
      <c r="C405" s="88">
        <v>10809.76</v>
      </c>
      <c r="D405" s="69">
        <f>-3</f>
        <v>-3</v>
      </c>
      <c r="E405" s="89"/>
      <c r="F405" s="135">
        <f t="shared" si="131"/>
        <v>10806.76</v>
      </c>
      <c r="G405" s="169">
        <f>155</f>
        <v>155</v>
      </c>
      <c r="H405" s="170"/>
      <c r="I405" s="211">
        <f t="shared" si="132"/>
        <v>10961.76</v>
      </c>
      <c r="J405" s="169">
        <f>-200</f>
        <v>-200</v>
      </c>
      <c r="K405" s="229"/>
      <c r="L405" s="261">
        <f t="shared" si="133"/>
        <v>10761.76</v>
      </c>
      <c r="M405" s="243">
        <f>-2000</f>
        <v>-2000</v>
      </c>
      <c r="N405" s="170"/>
      <c r="O405" s="211">
        <f t="shared" si="134"/>
        <v>8761.76</v>
      </c>
      <c r="P405" s="171"/>
      <c r="Q405" s="299">
        <f t="shared" si="135"/>
        <v>8761.76</v>
      </c>
    </row>
    <row r="406" spans="1:17" ht="12.75" hidden="1">
      <c r="A406" s="13" t="s">
        <v>64</v>
      </c>
      <c r="B406" s="54"/>
      <c r="C406" s="88"/>
      <c r="D406" s="69"/>
      <c r="E406" s="89"/>
      <c r="F406" s="135">
        <f t="shared" si="131"/>
        <v>0</v>
      </c>
      <c r="G406" s="169"/>
      <c r="H406" s="170"/>
      <c r="I406" s="211">
        <f t="shared" si="132"/>
        <v>0</v>
      </c>
      <c r="J406" s="169"/>
      <c r="K406" s="229"/>
      <c r="L406" s="261">
        <f t="shared" si="133"/>
        <v>0</v>
      </c>
      <c r="M406" s="243"/>
      <c r="N406" s="170"/>
      <c r="O406" s="211">
        <f t="shared" si="134"/>
        <v>0</v>
      </c>
      <c r="P406" s="171"/>
      <c r="Q406" s="299">
        <f t="shared" si="135"/>
        <v>0</v>
      </c>
    </row>
    <row r="407" spans="1:17" ht="12.75">
      <c r="A407" s="13" t="s">
        <v>253</v>
      </c>
      <c r="B407" s="54">
        <v>13013</v>
      </c>
      <c r="C407" s="88"/>
      <c r="D407" s="69">
        <f>463.21</f>
        <v>463.21</v>
      </c>
      <c r="E407" s="89"/>
      <c r="F407" s="135">
        <f t="shared" si="131"/>
        <v>463.21</v>
      </c>
      <c r="G407" s="169"/>
      <c r="H407" s="170">
        <f>664.86</f>
        <v>664.86</v>
      </c>
      <c r="I407" s="211">
        <f t="shared" si="132"/>
        <v>1128.07</v>
      </c>
      <c r="J407" s="169">
        <f>664.86+736.1</f>
        <v>1400.96</v>
      </c>
      <c r="K407" s="229"/>
      <c r="L407" s="261">
        <f t="shared" si="133"/>
        <v>2529.0299999999997</v>
      </c>
      <c r="M407" s="243">
        <f>-664.86</f>
        <v>-664.86</v>
      </c>
      <c r="N407" s="170"/>
      <c r="O407" s="211">
        <f t="shared" si="134"/>
        <v>1864.1699999999996</v>
      </c>
      <c r="P407" s="171">
        <f>588.56+916.33</f>
        <v>1504.8899999999999</v>
      </c>
      <c r="Q407" s="299">
        <f t="shared" si="135"/>
        <v>3369.0599999999995</v>
      </c>
    </row>
    <row r="408" spans="1:19" ht="12.75">
      <c r="A408" s="55" t="s">
        <v>315</v>
      </c>
      <c r="B408" s="54">
        <v>2177</v>
      </c>
      <c r="C408" s="88"/>
      <c r="D408" s="69">
        <f>2745.51</f>
        <v>2745.51</v>
      </c>
      <c r="E408" s="89"/>
      <c r="F408" s="135">
        <f t="shared" si="131"/>
        <v>2745.51</v>
      </c>
      <c r="G408" s="169">
        <f>-370.31</f>
        <v>-370.31</v>
      </c>
      <c r="H408" s="170"/>
      <c r="I408" s="211">
        <f t="shared" si="132"/>
        <v>2375.2000000000003</v>
      </c>
      <c r="J408" s="169"/>
      <c r="K408" s="229"/>
      <c r="L408" s="261">
        <f t="shared" si="133"/>
        <v>2375.2000000000003</v>
      </c>
      <c r="M408" s="243"/>
      <c r="N408" s="170"/>
      <c r="O408" s="211">
        <f t="shared" si="134"/>
        <v>2375.2000000000003</v>
      </c>
      <c r="P408" s="171"/>
      <c r="Q408" s="299">
        <f t="shared" si="135"/>
        <v>2375.2000000000003</v>
      </c>
      <c r="R408" s="91"/>
      <c r="S408" s="91"/>
    </row>
    <row r="409" spans="1:19" ht="12.75">
      <c r="A409" s="13" t="s">
        <v>316</v>
      </c>
      <c r="B409" s="54">
        <v>2073</v>
      </c>
      <c r="C409" s="88"/>
      <c r="D409" s="69">
        <f>6780.2</f>
        <v>6780.2</v>
      </c>
      <c r="E409" s="89"/>
      <c r="F409" s="135">
        <f t="shared" si="131"/>
        <v>6780.2</v>
      </c>
      <c r="G409" s="169"/>
      <c r="H409" s="170"/>
      <c r="I409" s="211">
        <f t="shared" si="132"/>
        <v>6780.2</v>
      </c>
      <c r="J409" s="169"/>
      <c r="K409" s="229"/>
      <c r="L409" s="261">
        <f t="shared" si="133"/>
        <v>6780.2</v>
      </c>
      <c r="M409" s="243"/>
      <c r="N409" s="170"/>
      <c r="O409" s="211">
        <f t="shared" si="134"/>
        <v>6780.2</v>
      </c>
      <c r="P409" s="171"/>
      <c r="Q409" s="299">
        <f t="shared" si="135"/>
        <v>6780.2</v>
      </c>
      <c r="R409" s="91"/>
      <c r="S409" s="91"/>
    </row>
    <row r="410" spans="1:19" ht="12.75">
      <c r="A410" s="13" t="s">
        <v>339</v>
      </c>
      <c r="B410" s="54"/>
      <c r="C410" s="88"/>
      <c r="D410" s="69"/>
      <c r="E410" s="89"/>
      <c r="F410" s="135">
        <f t="shared" si="131"/>
        <v>0</v>
      </c>
      <c r="G410" s="169">
        <f>7377.27</f>
        <v>7377.27</v>
      </c>
      <c r="H410" s="170"/>
      <c r="I410" s="211">
        <f t="shared" si="132"/>
        <v>7377.27</v>
      </c>
      <c r="J410" s="169"/>
      <c r="K410" s="229"/>
      <c r="L410" s="261">
        <f t="shared" si="133"/>
        <v>7377.27</v>
      </c>
      <c r="M410" s="243"/>
      <c r="N410" s="170"/>
      <c r="O410" s="211">
        <f t="shared" si="134"/>
        <v>7377.27</v>
      </c>
      <c r="P410" s="171"/>
      <c r="Q410" s="299">
        <f t="shared" si="135"/>
        <v>7377.27</v>
      </c>
      <c r="R410" s="91"/>
      <c r="S410" s="91"/>
    </row>
    <row r="411" spans="1:19" ht="12.75">
      <c r="A411" s="13" t="s">
        <v>317</v>
      </c>
      <c r="B411" s="54">
        <v>1230</v>
      </c>
      <c r="C411" s="88"/>
      <c r="D411" s="69">
        <f>18084.73</f>
        <v>18084.73</v>
      </c>
      <c r="E411" s="89"/>
      <c r="F411" s="135">
        <f t="shared" si="131"/>
        <v>18084.73</v>
      </c>
      <c r="G411" s="169"/>
      <c r="H411" s="170"/>
      <c r="I411" s="211">
        <f t="shared" si="132"/>
        <v>18084.73</v>
      </c>
      <c r="J411" s="169"/>
      <c r="K411" s="229"/>
      <c r="L411" s="261">
        <f t="shared" si="133"/>
        <v>18084.73</v>
      </c>
      <c r="M411" s="243"/>
      <c r="N411" s="170"/>
      <c r="O411" s="211">
        <f t="shared" si="134"/>
        <v>18084.73</v>
      </c>
      <c r="P411" s="171"/>
      <c r="Q411" s="299">
        <f t="shared" si="135"/>
        <v>18084.73</v>
      </c>
      <c r="R411" s="91"/>
      <c r="S411" s="91"/>
    </row>
    <row r="412" spans="1:19" ht="12.75">
      <c r="A412" s="13" t="s">
        <v>357</v>
      </c>
      <c r="B412" s="54">
        <v>1230</v>
      </c>
      <c r="C412" s="88"/>
      <c r="D412" s="69"/>
      <c r="E412" s="89"/>
      <c r="F412" s="135"/>
      <c r="G412" s="169"/>
      <c r="H412" s="170"/>
      <c r="I412" s="211">
        <f t="shared" si="132"/>
        <v>0</v>
      </c>
      <c r="J412" s="169">
        <f>59055.51</f>
        <v>59055.51</v>
      </c>
      <c r="K412" s="229"/>
      <c r="L412" s="261">
        <f t="shared" si="133"/>
        <v>59055.51</v>
      </c>
      <c r="M412" s="243">
        <f>105.37</f>
        <v>105.37</v>
      </c>
      <c r="N412" s="170"/>
      <c r="O412" s="211">
        <f t="shared" si="134"/>
        <v>59160.880000000005</v>
      </c>
      <c r="P412" s="171"/>
      <c r="Q412" s="299">
        <f t="shared" si="135"/>
        <v>59160.880000000005</v>
      </c>
      <c r="R412" s="91"/>
      <c r="S412" s="91"/>
    </row>
    <row r="413" spans="1:19" ht="12.75">
      <c r="A413" s="55" t="s">
        <v>333</v>
      </c>
      <c r="B413" s="54">
        <v>2178</v>
      </c>
      <c r="C413" s="88"/>
      <c r="D413" s="69">
        <f>2601.7</f>
        <v>2601.7</v>
      </c>
      <c r="E413" s="89"/>
      <c r="F413" s="135">
        <f t="shared" si="131"/>
        <v>2601.7</v>
      </c>
      <c r="G413" s="169"/>
      <c r="H413" s="170"/>
      <c r="I413" s="211">
        <f t="shared" si="132"/>
        <v>2601.7</v>
      </c>
      <c r="J413" s="169"/>
      <c r="K413" s="229"/>
      <c r="L413" s="261">
        <f t="shared" si="133"/>
        <v>2601.7</v>
      </c>
      <c r="M413" s="243"/>
      <c r="N413" s="170"/>
      <c r="O413" s="211">
        <f t="shared" si="134"/>
        <v>2601.7</v>
      </c>
      <c r="P413" s="171"/>
      <c r="Q413" s="299">
        <f t="shared" si="135"/>
        <v>2601.7</v>
      </c>
      <c r="R413" s="91"/>
      <c r="S413" s="91"/>
    </row>
    <row r="414" spans="1:19" ht="12.75">
      <c r="A414" s="55" t="s">
        <v>340</v>
      </c>
      <c r="B414" s="54"/>
      <c r="C414" s="88"/>
      <c r="D414" s="69"/>
      <c r="E414" s="89"/>
      <c r="F414" s="135">
        <f t="shared" si="131"/>
        <v>0</v>
      </c>
      <c r="G414" s="169">
        <f>88.03</f>
        <v>88.03</v>
      </c>
      <c r="H414" s="170"/>
      <c r="I414" s="211">
        <f t="shared" si="132"/>
        <v>88.03</v>
      </c>
      <c r="J414" s="169"/>
      <c r="K414" s="229"/>
      <c r="L414" s="261">
        <f t="shared" si="133"/>
        <v>88.03</v>
      </c>
      <c r="M414" s="243">
        <f>1300.81</f>
        <v>1300.81</v>
      </c>
      <c r="N414" s="170"/>
      <c r="O414" s="211">
        <f t="shared" si="134"/>
        <v>1388.84</v>
      </c>
      <c r="P414" s="171"/>
      <c r="Q414" s="299">
        <f t="shared" si="135"/>
        <v>1388.84</v>
      </c>
      <c r="R414" s="91"/>
      <c r="S414" s="91"/>
    </row>
    <row r="415" spans="1:19" ht="12.75">
      <c r="A415" s="13" t="s">
        <v>318</v>
      </c>
      <c r="B415" s="54">
        <v>2080</v>
      </c>
      <c r="C415" s="88"/>
      <c r="D415" s="69">
        <f>4908.96</f>
        <v>4908.96</v>
      </c>
      <c r="E415" s="89"/>
      <c r="F415" s="135">
        <f t="shared" si="131"/>
        <v>4908.96</v>
      </c>
      <c r="G415" s="169"/>
      <c r="H415" s="170"/>
      <c r="I415" s="211">
        <f t="shared" si="132"/>
        <v>4908.96</v>
      </c>
      <c r="J415" s="169"/>
      <c r="K415" s="229"/>
      <c r="L415" s="261">
        <f t="shared" si="133"/>
        <v>4908.96</v>
      </c>
      <c r="M415" s="243"/>
      <c r="N415" s="170"/>
      <c r="O415" s="211">
        <f t="shared" si="134"/>
        <v>4908.96</v>
      </c>
      <c r="P415" s="171"/>
      <c r="Q415" s="299">
        <f t="shared" si="135"/>
        <v>4908.96</v>
      </c>
      <c r="R415" s="91"/>
      <c r="S415" s="91"/>
    </row>
    <row r="416" spans="1:18" ht="12.75">
      <c r="A416" s="13" t="s">
        <v>350</v>
      </c>
      <c r="B416" s="54"/>
      <c r="C416" s="88"/>
      <c r="D416" s="69"/>
      <c r="E416" s="89"/>
      <c r="F416" s="135">
        <f t="shared" si="131"/>
        <v>0</v>
      </c>
      <c r="G416" s="169">
        <f>2528.99</f>
        <v>2528.99</v>
      </c>
      <c r="H416" s="170"/>
      <c r="I416" s="211">
        <f t="shared" si="132"/>
        <v>2528.99</v>
      </c>
      <c r="J416" s="169"/>
      <c r="K416" s="229"/>
      <c r="L416" s="261">
        <f t="shared" si="133"/>
        <v>2528.99</v>
      </c>
      <c r="M416" s="243">
        <f>2856.56</f>
        <v>2856.56</v>
      </c>
      <c r="N416" s="170"/>
      <c r="O416" s="211">
        <f t="shared" si="134"/>
        <v>5385.549999999999</v>
      </c>
      <c r="P416" s="171"/>
      <c r="Q416" s="299">
        <f t="shared" si="135"/>
        <v>5385.549999999999</v>
      </c>
      <c r="R416" s="91"/>
    </row>
    <row r="417" spans="1:18" ht="12.75">
      <c r="A417" s="13" t="s">
        <v>319</v>
      </c>
      <c r="B417" s="54">
        <v>1233</v>
      </c>
      <c r="C417" s="88"/>
      <c r="D417" s="69">
        <f>5872.48</f>
        <v>5872.48</v>
      </c>
      <c r="E417" s="89"/>
      <c r="F417" s="135">
        <f t="shared" si="131"/>
        <v>5872.48</v>
      </c>
      <c r="G417" s="169"/>
      <c r="H417" s="170"/>
      <c r="I417" s="211">
        <f t="shared" si="132"/>
        <v>5872.48</v>
      </c>
      <c r="J417" s="169"/>
      <c r="K417" s="229"/>
      <c r="L417" s="261">
        <f t="shared" si="133"/>
        <v>5872.48</v>
      </c>
      <c r="M417" s="243"/>
      <c r="N417" s="170"/>
      <c r="O417" s="211">
        <f t="shared" si="134"/>
        <v>5872.48</v>
      </c>
      <c r="P417" s="171"/>
      <c r="Q417" s="299">
        <f t="shared" si="135"/>
        <v>5872.48</v>
      </c>
      <c r="R417" s="91"/>
    </row>
    <row r="418" spans="1:18" ht="12.75">
      <c r="A418" s="13" t="s">
        <v>354</v>
      </c>
      <c r="B418" s="54">
        <v>1233</v>
      </c>
      <c r="C418" s="88"/>
      <c r="D418" s="69"/>
      <c r="E418" s="89"/>
      <c r="F418" s="135">
        <f t="shared" si="131"/>
        <v>0</v>
      </c>
      <c r="G418" s="169">
        <f>9203.05</f>
        <v>9203.05</v>
      </c>
      <c r="H418" s="170"/>
      <c r="I418" s="211">
        <f t="shared" si="132"/>
        <v>9203.05</v>
      </c>
      <c r="J418" s="169"/>
      <c r="K418" s="229"/>
      <c r="L418" s="261">
        <f t="shared" si="133"/>
        <v>9203.05</v>
      </c>
      <c r="M418" s="243"/>
      <c r="N418" s="170"/>
      <c r="O418" s="211">
        <f t="shared" si="134"/>
        <v>9203.05</v>
      </c>
      <c r="P418" s="171">
        <f>8740.3</f>
        <v>8740.3</v>
      </c>
      <c r="Q418" s="299">
        <f t="shared" si="135"/>
        <v>17943.35</v>
      </c>
      <c r="R418" s="91"/>
    </row>
    <row r="419" spans="1:19" ht="12.75">
      <c r="A419" s="22" t="s">
        <v>193</v>
      </c>
      <c r="B419" s="54">
        <v>13305</v>
      </c>
      <c r="C419" s="88"/>
      <c r="D419" s="69">
        <f>1100267.08</f>
        <v>1100267.08</v>
      </c>
      <c r="E419" s="89"/>
      <c r="F419" s="135">
        <f t="shared" si="131"/>
        <v>1100267.08</v>
      </c>
      <c r="G419" s="169"/>
      <c r="H419" s="170"/>
      <c r="I419" s="211">
        <f t="shared" si="132"/>
        <v>1100267.08</v>
      </c>
      <c r="J419" s="169">
        <f>40414.14</f>
        <v>40414.14</v>
      </c>
      <c r="K419" s="229"/>
      <c r="L419" s="261">
        <f t="shared" si="133"/>
        <v>1140681.22</v>
      </c>
      <c r="M419" s="243"/>
      <c r="N419" s="170"/>
      <c r="O419" s="211">
        <f t="shared" si="134"/>
        <v>1140681.22</v>
      </c>
      <c r="P419" s="171"/>
      <c r="Q419" s="299">
        <f t="shared" si="135"/>
        <v>1140681.22</v>
      </c>
      <c r="R419" s="91"/>
      <c r="S419" s="91"/>
    </row>
    <row r="420" spans="1:17" ht="12.75">
      <c r="A420" s="13" t="s">
        <v>90</v>
      </c>
      <c r="B420" s="54">
        <v>13307</v>
      </c>
      <c r="C420" s="88"/>
      <c r="D420" s="69">
        <f>7000</f>
        <v>7000</v>
      </c>
      <c r="E420" s="89"/>
      <c r="F420" s="135">
        <f t="shared" si="131"/>
        <v>7000</v>
      </c>
      <c r="G420" s="169"/>
      <c r="H420" s="170"/>
      <c r="I420" s="211">
        <f t="shared" si="132"/>
        <v>7000</v>
      </c>
      <c r="J420" s="169"/>
      <c r="K420" s="229"/>
      <c r="L420" s="261">
        <f t="shared" si="133"/>
        <v>7000</v>
      </c>
      <c r="M420" s="243"/>
      <c r="N420" s="170"/>
      <c r="O420" s="211">
        <f t="shared" si="134"/>
        <v>7000</v>
      </c>
      <c r="P420" s="171"/>
      <c r="Q420" s="299">
        <f t="shared" si="135"/>
        <v>7000</v>
      </c>
    </row>
    <row r="421" spans="1:18" ht="12.75">
      <c r="A421" s="13" t="s">
        <v>139</v>
      </c>
      <c r="B421" s="54">
        <v>14032</v>
      </c>
      <c r="C421" s="88"/>
      <c r="D421" s="69"/>
      <c r="E421" s="89"/>
      <c r="F421" s="135">
        <f t="shared" si="131"/>
        <v>0</v>
      </c>
      <c r="G421" s="169">
        <f>192</f>
        <v>192</v>
      </c>
      <c r="H421" s="170"/>
      <c r="I421" s="211">
        <f t="shared" si="132"/>
        <v>192</v>
      </c>
      <c r="J421" s="169"/>
      <c r="K421" s="229"/>
      <c r="L421" s="261">
        <f t="shared" si="133"/>
        <v>192</v>
      </c>
      <c r="M421" s="243"/>
      <c r="N421" s="170"/>
      <c r="O421" s="211">
        <f t="shared" si="134"/>
        <v>192</v>
      </c>
      <c r="P421" s="171"/>
      <c r="Q421" s="299">
        <f t="shared" si="135"/>
        <v>192</v>
      </c>
      <c r="R421" s="91"/>
    </row>
    <row r="422" spans="1:17" ht="12.75">
      <c r="A422" s="22" t="s">
        <v>332</v>
      </c>
      <c r="B422" s="54">
        <v>13351</v>
      </c>
      <c r="C422" s="88"/>
      <c r="D422" s="69">
        <f>2618.88</f>
        <v>2618.88</v>
      </c>
      <c r="E422" s="89"/>
      <c r="F422" s="135">
        <f t="shared" si="131"/>
        <v>2618.88</v>
      </c>
      <c r="G422" s="169"/>
      <c r="H422" s="170"/>
      <c r="I422" s="211">
        <f t="shared" si="132"/>
        <v>2618.88</v>
      </c>
      <c r="J422" s="169"/>
      <c r="K422" s="229"/>
      <c r="L422" s="261">
        <f t="shared" si="133"/>
        <v>2618.88</v>
      </c>
      <c r="M422" s="243"/>
      <c r="N422" s="170"/>
      <c r="O422" s="211">
        <f t="shared" si="134"/>
        <v>2618.88</v>
      </c>
      <c r="P422" s="171"/>
      <c r="Q422" s="299">
        <f t="shared" si="135"/>
        <v>2618.88</v>
      </c>
    </row>
    <row r="423" spans="1:17" ht="12.75">
      <c r="A423" s="33" t="s">
        <v>322</v>
      </c>
      <c r="B423" s="54">
        <v>13351</v>
      </c>
      <c r="C423" s="88"/>
      <c r="D423" s="69">
        <f>380</f>
        <v>380</v>
      </c>
      <c r="E423" s="89"/>
      <c r="F423" s="135">
        <f t="shared" si="131"/>
        <v>380</v>
      </c>
      <c r="G423" s="169"/>
      <c r="H423" s="170"/>
      <c r="I423" s="211">
        <f t="shared" si="132"/>
        <v>380</v>
      </c>
      <c r="J423" s="169"/>
      <c r="K423" s="229"/>
      <c r="L423" s="261">
        <f t="shared" si="133"/>
        <v>380</v>
      </c>
      <c r="M423" s="243"/>
      <c r="N423" s="170"/>
      <c r="O423" s="211">
        <f t="shared" si="134"/>
        <v>380</v>
      </c>
      <c r="P423" s="171">
        <f>-39.95</f>
        <v>-39.95</v>
      </c>
      <c r="Q423" s="299">
        <f t="shared" si="135"/>
        <v>340.05</v>
      </c>
    </row>
    <row r="424" spans="1:17" ht="12.75">
      <c r="A424" s="33" t="s">
        <v>349</v>
      </c>
      <c r="B424" s="54">
        <v>13351</v>
      </c>
      <c r="C424" s="88"/>
      <c r="D424" s="69"/>
      <c r="E424" s="89"/>
      <c r="F424" s="135">
        <f t="shared" si="131"/>
        <v>0</v>
      </c>
      <c r="G424" s="169">
        <f>98768.08</f>
        <v>98768.08</v>
      </c>
      <c r="H424" s="170"/>
      <c r="I424" s="211">
        <f t="shared" si="132"/>
        <v>98768.08</v>
      </c>
      <c r="J424" s="169"/>
      <c r="K424" s="229"/>
      <c r="L424" s="261">
        <f t="shared" si="133"/>
        <v>98768.08</v>
      </c>
      <c r="M424" s="243">
        <f>246.09</f>
        <v>246.09</v>
      </c>
      <c r="N424" s="170"/>
      <c r="O424" s="211">
        <f t="shared" si="134"/>
        <v>99014.17</v>
      </c>
      <c r="P424" s="171">
        <f>-153.54</f>
        <v>-153.54</v>
      </c>
      <c r="Q424" s="299">
        <f t="shared" si="135"/>
        <v>98860.63</v>
      </c>
    </row>
    <row r="425" spans="1:17" ht="12.75">
      <c r="A425" s="33" t="s">
        <v>356</v>
      </c>
      <c r="B425" s="54">
        <v>13351</v>
      </c>
      <c r="C425" s="88"/>
      <c r="D425" s="69"/>
      <c r="E425" s="89"/>
      <c r="F425" s="135"/>
      <c r="G425" s="169"/>
      <c r="H425" s="170"/>
      <c r="I425" s="211">
        <f t="shared" si="132"/>
        <v>0</v>
      </c>
      <c r="J425" s="169">
        <f>24975.66</f>
        <v>24975.66</v>
      </c>
      <c r="K425" s="229"/>
      <c r="L425" s="261">
        <f t="shared" si="133"/>
        <v>24975.66</v>
      </c>
      <c r="M425" s="243"/>
      <c r="N425" s="170"/>
      <c r="O425" s="211">
        <f t="shared" si="134"/>
        <v>24975.66</v>
      </c>
      <c r="P425" s="171"/>
      <c r="Q425" s="299">
        <f t="shared" si="135"/>
        <v>24975.66</v>
      </c>
    </row>
    <row r="426" spans="1:17" ht="12.75">
      <c r="A426" s="17" t="s">
        <v>351</v>
      </c>
      <c r="B426" s="54">
        <v>13351</v>
      </c>
      <c r="C426" s="88"/>
      <c r="D426" s="69"/>
      <c r="E426" s="89"/>
      <c r="F426" s="135">
        <f t="shared" si="131"/>
        <v>0</v>
      </c>
      <c r="G426" s="169">
        <f>1851.11</f>
        <v>1851.11</v>
      </c>
      <c r="H426" s="170"/>
      <c r="I426" s="211">
        <f t="shared" si="132"/>
        <v>1851.11</v>
      </c>
      <c r="J426" s="169"/>
      <c r="K426" s="229"/>
      <c r="L426" s="261">
        <f t="shared" si="133"/>
        <v>1851.11</v>
      </c>
      <c r="M426" s="243"/>
      <c r="N426" s="170"/>
      <c r="O426" s="211">
        <f t="shared" si="134"/>
        <v>1851.11</v>
      </c>
      <c r="P426" s="171"/>
      <c r="Q426" s="299">
        <f t="shared" si="135"/>
        <v>1851.11</v>
      </c>
    </row>
    <row r="427" spans="1:17" ht="12.75" hidden="1">
      <c r="A427" s="22" t="s">
        <v>146</v>
      </c>
      <c r="B427" s="54">
        <v>4359</v>
      </c>
      <c r="C427" s="88"/>
      <c r="D427" s="69"/>
      <c r="E427" s="89"/>
      <c r="F427" s="135">
        <f t="shared" si="131"/>
        <v>0</v>
      </c>
      <c r="G427" s="169"/>
      <c r="H427" s="170"/>
      <c r="I427" s="211">
        <f>F427+G427+H427</f>
        <v>0</v>
      </c>
      <c r="J427" s="169"/>
      <c r="K427" s="229"/>
      <c r="L427" s="261">
        <f t="shared" si="133"/>
        <v>0</v>
      </c>
      <c r="M427" s="243"/>
      <c r="N427" s="170"/>
      <c r="O427" s="211">
        <f t="shared" si="134"/>
        <v>0</v>
      </c>
      <c r="P427" s="171"/>
      <c r="Q427" s="299">
        <f t="shared" si="135"/>
        <v>0</v>
      </c>
    </row>
    <row r="428" spans="1:17" ht="12.75" hidden="1">
      <c r="A428" s="55" t="s">
        <v>298</v>
      </c>
      <c r="B428" s="54"/>
      <c r="C428" s="88"/>
      <c r="D428" s="69"/>
      <c r="E428" s="89"/>
      <c r="F428" s="135">
        <f t="shared" si="131"/>
        <v>0</v>
      </c>
      <c r="G428" s="169"/>
      <c r="H428" s="170"/>
      <c r="I428" s="211">
        <f>F428+G428+H428</f>
        <v>0</v>
      </c>
      <c r="J428" s="169"/>
      <c r="K428" s="229"/>
      <c r="L428" s="261">
        <f t="shared" si="133"/>
        <v>0</v>
      </c>
      <c r="M428" s="243"/>
      <c r="N428" s="170"/>
      <c r="O428" s="211">
        <f t="shared" si="134"/>
        <v>0</v>
      </c>
      <c r="P428" s="171"/>
      <c r="Q428" s="299">
        <f t="shared" si="135"/>
        <v>0</v>
      </c>
    </row>
    <row r="429" spans="1:17" ht="12.75">
      <c r="A429" s="16" t="s">
        <v>74</v>
      </c>
      <c r="B429" s="57"/>
      <c r="C429" s="108">
        <v>500</v>
      </c>
      <c r="D429" s="74">
        <f>2866.85+408.21+6495.7+3719.4+22.78+1340.77+8804.07+3+353.16</f>
        <v>24013.94</v>
      </c>
      <c r="E429" s="155"/>
      <c r="F429" s="164">
        <f t="shared" si="131"/>
        <v>24513.94</v>
      </c>
      <c r="G429" s="181">
        <f>13000-5500-396.47+371.29+39.72</f>
        <v>7514.54</v>
      </c>
      <c r="H429" s="182"/>
      <c r="I429" s="216">
        <f>F429+G429+H429</f>
        <v>32028.48</v>
      </c>
      <c r="J429" s="283">
        <f>-13000</f>
        <v>-13000</v>
      </c>
      <c r="K429" s="254"/>
      <c r="L429" s="266">
        <f t="shared" si="133"/>
        <v>19028.48</v>
      </c>
      <c r="M429" s="240">
        <f>707.15</f>
        <v>707.15</v>
      </c>
      <c r="N429" s="182"/>
      <c r="O429" s="216">
        <f t="shared" si="134"/>
        <v>19735.63</v>
      </c>
      <c r="P429" s="296">
        <f>-52.34</f>
        <v>-52.34</v>
      </c>
      <c r="Q429" s="295">
        <f t="shared" si="135"/>
        <v>19683.29</v>
      </c>
    </row>
    <row r="430" spans="1:17" ht="12.75" hidden="1">
      <c r="A430" s="19" t="s">
        <v>53</v>
      </c>
      <c r="B430" s="58"/>
      <c r="C430" s="107">
        <f>SUM(C432:C434)</f>
        <v>0</v>
      </c>
      <c r="D430" s="73">
        <f aca="true" t="shared" si="136" ref="D430:Q430">SUM(D432:D434)</f>
        <v>0</v>
      </c>
      <c r="E430" s="123">
        <f t="shared" si="136"/>
        <v>0</v>
      </c>
      <c r="F430" s="139">
        <f t="shared" si="136"/>
        <v>0</v>
      </c>
      <c r="G430" s="177">
        <f t="shared" si="136"/>
        <v>0</v>
      </c>
      <c r="H430" s="178">
        <f t="shared" si="136"/>
        <v>0</v>
      </c>
      <c r="I430" s="214">
        <f t="shared" si="136"/>
        <v>0</v>
      </c>
      <c r="J430" s="177">
        <f t="shared" si="136"/>
        <v>0</v>
      </c>
      <c r="K430" s="218">
        <f t="shared" si="136"/>
        <v>0</v>
      </c>
      <c r="L430" s="264">
        <f t="shared" si="136"/>
        <v>0</v>
      </c>
      <c r="M430" s="242">
        <f t="shared" si="136"/>
        <v>0</v>
      </c>
      <c r="N430" s="178">
        <f t="shared" si="136"/>
        <v>0</v>
      </c>
      <c r="O430" s="214">
        <f t="shared" si="136"/>
        <v>0</v>
      </c>
      <c r="P430" s="177">
        <f t="shared" si="136"/>
        <v>0</v>
      </c>
      <c r="Q430" s="214">
        <f t="shared" si="136"/>
        <v>0</v>
      </c>
    </row>
    <row r="431" spans="1:17" ht="12.75" hidden="1">
      <c r="A431" s="15" t="s">
        <v>26</v>
      </c>
      <c r="B431" s="54"/>
      <c r="C431" s="88"/>
      <c r="D431" s="69"/>
      <c r="E431" s="89"/>
      <c r="F431" s="135"/>
      <c r="G431" s="169"/>
      <c r="H431" s="170"/>
      <c r="I431" s="211"/>
      <c r="J431" s="169"/>
      <c r="K431" s="229"/>
      <c r="L431" s="261"/>
      <c r="M431" s="243"/>
      <c r="N431" s="170"/>
      <c r="O431" s="211"/>
      <c r="P431" s="171"/>
      <c r="Q431" s="299"/>
    </row>
    <row r="432" spans="1:17" ht="12.75" hidden="1">
      <c r="A432" s="13" t="s">
        <v>82</v>
      </c>
      <c r="B432" s="54"/>
      <c r="C432" s="88"/>
      <c r="D432" s="69"/>
      <c r="E432" s="89"/>
      <c r="F432" s="135">
        <f>C432+D432+E432</f>
        <v>0</v>
      </c>
      <c r="G432" s="169"/>
      <c r="H432" s="170"/>
      <c r="I432" s="211">
        <f>F432+G432+H432</f>
        <v>0</v>
      </c>
      <c r="J432" s="169"/>
      <c r="K432" s="229"/>
      <c r="L432" s="261">
        <f>I432+J432+K432</f>
        <v>0</v>
      </c>
      <c r="M432" s="243"/>
      <c r="N432" s="170"/>
      <c r="O432" s="211">
        <f>L432+M432+N432</f>
        <v>0</v>
      </c>
      <c r="P432" s="171"/>
      <c r="Q432" s="299">
        <f>O432+P432</f>
        <v>0</v>
      </c>
    </row>
    <row r="433" spans="1:17" ht="12.75" hidden="1">
      <c r="A433" s="13" t="s">
        <v>54</v>
      </c>
      <c r="B433" s="54"/>
      <c r="C433" s="88"/>
      <c r="D433" s="69"/>
      <c r="E433" s="89"/>
      <c r="F433" s="135">
        <f>C433+D433+E433</f>
        <v>0</v>
      </c>
      <c r="G433" s="169"/>
      <c r="H433" s="170"/>
      <c r="I433" s="211">
        <f>F433+G433+H433</f>
        <v>0</v>
      </c>
      <c r="J433" s="169"/>
      <c r="K433" s="229"/>
      <c r="L433" s="261">
        <f>I433+J433+K433</f>
        <v>0</v>
      </c>
      <c r="M433" s="243"/>
      <c r="N433" s="170"/>
      <c r="O433" s="211">
        <f>L433+M433+N433</f>
        <v>0</v>
      </c>
      <c r="P433" s="171"/>
      <c r="Q433" s="299">
        <f>O433+P433</f>
        <v>0</v>
      </c>
    </row>
    <row r="434" spans="1:17" ht="12.75" hidden="1">
      <c r="A434" s="16" t="s">
        <v>74</v>
      </c>
      <c r="B434" s="57"/>
      <c r="C434" s="108"/>
      <c r="D434" s="74"/>
      <c r="E434" s="155"/>
      <c r="F434" s="164">
        <f>C434+D434+E434</f>
        <v>0</v>
      </c>
      <c r="G434" s="181"/>
      <c r="H434" s="182"/>
      <c r="I434" s="216">
        <f>F434+G434+H434</f>
        <v>0</v>
      </c>
      <c r="J434" s="169"/>
      <c r="K434" s="229"/>
      <c r="L434" s="261">
        <f>I434+J434+K434</f>
        <v>0</v>
      </c>
      <c r="M434" s="243"/>
      <c r="N434" s="170"/>
      <c r="O434" s="211">
        <f>L434+M434+N434</f>
        <v>0</v>
      </c>
      <c r="P434" s="171"/>
      <c r="Q434" s="299">
        <f>O434+P434</f>
        <v>0</v>
      </c>
    </row>
    <row r="435" spans="1:17" ht="12.75">
      <c r="A435" s="14" t="s">
        <v>312</v>
      </c>
      <c r="B435" s="58"/>
      <c r="C435" s="94">
        <f aca="true" t="shared" si="137" ref="C435:O435">C436+C450</f>
        <v>7686.07</v>
      </c>
      <c r="D435" s="68">
        <f t="shared" si="137"/>
        <v>6649.75</v>
      </c>
      <c r="E435" s="95">
        <f t="shared" si="137"/>
        <v>0</v>
      </c>
      <c r="F435" s="134">
        <f t="shared" si="137"/>
        <v>14335.820000000002</v>
      </c>
      <c r="G435" s="167">
        <f t="shared" si="137"/>
        <v>1058.17</v>
      </c>
      <c r="H435" s="168">
        <f t="shared" si="137"/>
        <v>0</v>
      </c>
      <c r="I435" s="210">
        <f t="shared" si="137"/>
        <v>15393.990000000002</v>
      </c>
      <c r="J435" s="167">
        <f t="shared" si="137"/>
        <v>205.39</v>
      </c>
      <c r="K435" s="228">
        <f t="shared" si="137"/>
        <v>0</v>
      </c>
      <c r="L435" s="260">
        <f t="shared" si="137"/>
        <v>15599.380000000001</v>
      </c>
      <c r="M435" s="228">
        <f t="shared" si="137"/>
        <v>991.59</v>
      </c>
      <c r="N435" s="168">
        <f t="shared" si="137"/>
        <v>0</v>
      </c>
      <c r="O435" s="210">
        <f t="shared" si="137"/>
        <v>16590.97</v>
      </c>
      <c r="P435" s="167">
        <f>P436+P450</f>
        <v>-812.93</v>
      </c>
      <c r="Q435" s="210">
        <f>Q436+Q450</f>
        <v>15778.04</v>
      </c>
    </row>
    <row r="436" spans="1:17" ht="12.75">
      <c r="A436" s="19" t="s">
        <v>48</v>
      </c>
      <c r="B436" s="58"/>
      <c r="C436" s="107">
        <f aca="true" t="shared" si="138" ref="C436:O436">SUM(C438:C449)</f>
        <v>7686.07</v>
      </c>
      <c r="D436" s="73">
        <f t="shared" si="138"/>
        <v>5678.88</v>
      </c>
      <c r="E436" s="123">
        <f t="shared" si="138"/>
        <v>0</v>
      </c>
      <c r="F436" s="139">
        <f t="shared" si="138"/>
        <v>13364.95</v>
      </c>
      <c r="G436" s="177">
        <f t="shared" si="138"/>
        <v>1058.17</v>
      </c>
      <c r="H436" s="178">
        <f t="shared" si="138"/>
        <v>-242</v>
      </c>
      <c r="I436" s="214">
        <f t="shared" si="138"/>
        <v>14181.12</v>
      </c>
      <c r="J436" s="177">
        <f t="shared" si="138"/>
        <v>131</v>
      </c>
      <c r="K436" s="218">
        <f t="shared" si="138"/>
        <v>0</v>
      </c>
      <c r="L436" s="264">
        <f t="shared" si="138"/>
        <v>14312.12</v>
      </c>
      <c r="M436" s="218">
        <f t="shared" si="138"/>
        <v>991.59</v>
      </c>
      <c r="N436" s="178">
        <f t="shared" si="138"/>
        <v>0</v>
      </c>
      <c r="O436" s="214">
        <f t="shared" si="138"/>
        <v>15303.710000000001</v>
      </c>
      <c r="P436" s="177">
        <f>SUM(P438:P449)</f>
        <v>-812.93</v>
      </c>
      <c r="Q436" s="214">
        <f>SUM(Q438:Q449)</f>
        <v>14490.78</v>
      </c>
    </row>
    <row r="437" spans="1:17" ht="12.75">
      <c r="A437" s="15" t="s">
        <v>26</v>
      </c>
      <c r="B437" s="54"/>
      <c r="C437" s="88"/>
      <c r="D437" s="69"/>
      <c r="E437" s="89"/>
      <c r="F437" s="134"/>
      <c r="G437" s="169"/>
      <c r="H437" s="170"/>
      <c r="I437" s="210"/>
      <c r="J437" s="169"/>
      <c r="K437" s="229"/>
      <c r="L437" s="260"/>
      <c r="M437" s="243"/>
      <c r="N437" s="170"/>
      <c r="O437" s="210"/>
      <c r="P437" s="171"/>
      <c r="Q437" s="299"/>
    </row>
    <row r="438" spans="1:17" ht="12.75">
      <c r="A438" s="13" t="s">
        <v>50</v>
      </c>
      <c r="B438" s="54"/>
      <c r="C438" s="88">
        <v>7686.07</v>
      </c>
      <c r="D438" s="69">
        <f>500+486.2</f>
        <v>986.2</v>
      </c>
      <c r="E438" s="89"/>
      <c r="F438" s="135">
        <f aca="true" t="shared" si="139" ref="F438:F449">C438+D438+E438</f>
        <v>8672.27</v>
      </c>
      <c r="G438" s="169">
        <f>99.48</f>
        <v>99.48</v>
      </c>
      <c r="H438" s="170">
        <f>-242</f>
        <v>-242</v>
      </c>
      <c r="I438" s="211">
        <f>F438+G438+H438</f>
        <v>8529.75</v>
      </c>
      <c r="J438" s="169">
        <f>131</f>
        <v>131</v>
      </c>
      <c r="K438" s="229"/>
      <c r="L438" s="261">
        <f>I438+J438+K438</f>
        <v>8660.75</v>
      </c>
      <c r="M438" s="243"/>
      <c r="N438" s="170"/>
      <c r="O438" s="211">
        <f>L438+M438+N438</f>
        <v>8660.75</v>
      </c>
      <c r="P438" s="171"/>
      <c r="Q438" s="299">
        <f>O438+P438</f>
        <v>8660.75</v>
      </c>
    </row>
    <row r="439" spans="1:17" ht="12.75" hidden="1">
      <c r="A439" s="17" t="s">
        <v>195</v>
      </c>
      <c r="B439" s="54"/>
      <c r="C439" s="88"/>
      <c r="D439" s="69"/>
      <c r="E439" s="89"/>
      <c r="F439" s="135">
        <f t="shared" si="139"/>
        <v>0</v>
      </c>
      <c r="G439" s="169"/>
      <c r="H439" s="170"/>
      <c r="I439" s="211">
        <f aca="true" t="shared" si="140" ref="I439:I449">F439+G439+H439</f>
        <v>0</v>
      </c>
      <c r="J439" s="169"/>
      <c r="K439" s="229"/>
      <c r="L439" s="261">
        <f aca="true" t="shared" si="141" ref="L439:L448">I439+J439+K439</f>
        <v>0</v>
      </c>
      <c r="M439" s="243"/>
      <c r="N439" s="170"/>
      <c r="O439" s="211">
        <f aca="true" t="shared" si="142" ref="O439:O449">L439+M439+N439</f>
        <v>0</v>
      </c>
      <c r="P439" s="171"/>
      <c r="Q439" s="299">
        <f aca="true" t="shared" si="143" ref="Q439:Q448">O439+P439</f>
        <v>0</v>
      </c>
    </row>
    <row r="440" spans="1:17" ht="12.75" hidden="1">
      <c r="A440" s="17" t="s">
        <v>196</v>
      </c>
      <c r="B440" s="54"/>
      <c r="C440" s="88"/>
      <c r="D440" s="69"/>
      <c r="E440" s="89"/>
      <c r="F440" s="135">
        <f t="shared" si="139"/>
        <v>0</v>
      </c>
      <c r="G440" s="169"/>
      <c r="H440" s="170"/>
      <c r="I440" s="211">
        <f t="shared" si="140"/>
        <v>0</v>
      </c>
      <c r="J440" s="169"/>
      <c r="K440" s="229"/>
      <c r="L440" s="261">
        <f t="shared" si="141"/>
        <v>0</v>
      </c>
      <c r="M440" s="243"/>
      <c r="N440" s="170"/>
      <c r="O440" s="211">
        <f t="shared" si="142"/>
        <v>0</v>
      </c>
      <c r="P440" s="171"/>
      <c r="Q440" s="299">
        <f t="shared" si="143"/>
        <v>0</v>
      </c>
    </row>
    <row r="441" spans="1:17" ht="12.75" hidden="1">
      <c r="A441" s="17" t="s">
        <v>199</v>
      </c>
      <c r="B441" s="54">
        <v>1400</v>
      </c>
      <c r="C441" s="88"/>
      <c r="D441" s="76"/>
      <c r="E441" s="89"/>
      <c r="F441" s="135">
        <f t="shared" si="139"/>
        <v>0</v>
      </c>
      <c r="G441" s="169"/>
      <c r="H441" s="170"/>
      <c r="I441" s="211">
        <f t="shared" si="140"/>
        <v>0</v>
      </c>
      <c r="J441" s="169"/>
      <c r="K441" s="229"/>
      <c r="L441" s="261">
        <f t="shared" si="141"/>
        <v>0</v>
      </c>
      <c r="M441" s="243"/>
      <c r="N441" s="170"/>
      <c r="O441" s="211">
        <f t="shared" si="142"/>
        <v>0</v>
      </c>
      <c r="P441" s="171"/>
      <c r="Q441" s="299">
        <f t="shared" si="143"/>
        <v>0</v>
      </c>
    </row>
    <row r="442" spans="1:17" ht="12.75">
      <c r="A442" s="13" t="s">
        <v>74</v>
      </c>
      <c r="B442" s="54"/>
      <c r="C442" s="88"/>
      <c r="D442" s="83">
        <f>400+2441.18+16.5</f>
        <v>2857.68</v>
      </c>
      <c r="E442" s="89"/>
      <c r="F442" s="135">
        <f t="shared" si="139"/>
        <v>2857.68</v>
      </c>
      <c r="G442" s="169"/>
      <c r="H442" s="170"/>
      <c r="I442" s="211">
        <f t="shared" si="140"/>
        <v>2857.68</v>
      </c>
      <c r="J442" s="169"/>
      <c r="K442" s="229"/>
      <c r="L442" s="261">
        <f t="shared" si="141"/>
        <v>2857.68</v>
      </c>
      <c r="M442" s="243"/>
      <c r="N442" s="170"/>
      <c r="O442" s="211">
        <f t="shared" si="142"/>
        <v>2857.68</v>
      </c>
      <c r="P442" s="171"/>
      <c r="Q442" s="299">
        <f t="shared" si="143"/>
        <v>2857.68</v>
      </c>
    </row>
    <row r="443" spans="1:17" ht="12.75" hidden="1">
      <c r="A443" s="13" t="s">
        <v>64</v>
      </c>
      <c r="B443" s="54"/>
      <c r="C443" s="88"/>
      <c r="D443" s="69"/>
      <c r="E443" s="89"/>
      <c r="F443" s="135">
        <f t="shared" si="139"/>
        <v>0</v>
      </c>
      <c r="G443" s="169"/>
      <c r="H443" s="170"/>
      <c r="I443" s="211">
        <f t="shared" si="140"/>
        <v>0</v>
      </c>
      <c r="J443" s="184"/>
      <c r="K443" s="229"/>
      <c r="L443" s="261">
        <f t="shared" si="141"/>
        <v>0</v>
      </c>
      <c r="M443" s="243"/>
      <c r="N443" s="170"/>
      <c r="O443" s="211">
        <f t="shared" si="142"/>
        <v>0</v>
      </c>
      <c r="P443" s="171"/>
      <c r="Q443" s="299">
        <f t="shared" si="143"/>
        <v>0</v>
      </c>
    </row>
    <row r="444" spans="1:17" ht="12.75" hidden="1">
      <c r="A444" s="13" t="s">
        <v>153</v>
      </c>
      <c r="B444" s="54"/>
      <c r="C444" s="88"/>
      <c r="D444" s="69"/>
      <c r="E444" s="89"/>
      <c r="F444" s="135">
        <f t="shared" si="139"/>
        <v>0</v>
      </c>
      <c r="G444" s="169"/>
      <c r="H444" s="170"/>
      <c r="I444" s="211">
        <f t="shared" si="140"/>
        <v>0</v>
      </c>
      <c r="J444" s="184"/>
      <c r="K444" s="229"/>
      <c r="L444" s="261">
        <f t="shared" si="141"/>
        <v>0</v>
      </c>
      <c r="M444" s="243"/>
      <c r="N444" s="170"/>
      <c r="O444" s="211">
        <f t="shared" si="142"/>
        <v>0</v>
      </c>
      <c r="P444" s="171"/>
      <c r="Q444" s="299">
        <f t="shared" si="143"/>
        <v>0</v>
      </c>
    </row>
    <row r="445" spans="1:17" ht="12.75">
      <c r="A445" s="13" t="s">
        <v>287</v>
      </c>
      <c r="B445" s="54">
        <v>14034</v>
      </c>
      <c r="C445" s="88"/>
      <c r="D445" s="69">
        <f>1835</f>
        <v>1835</v>
      </c>
      <c r="E445" s="89"/>
      <c r="F445" s="135">
        <f t="shared" si="139"/>
        <v>1835</v>
      </c>
      <c r="G445" s="169"/>
      <c r="H445" s="170"/>
      <c r="I445" s="211">
        <f t="shared" si="140"/>
        <v>1835</v>
      </c>
      <c r="J445" s="184"/>
      <c r="K445" s="229"/>
      <c r="L445" s="261">
        <f t="shared" si="141"/>
        <v>1835</v>
      </c>
      <c r="M445" s="243"/>
      <c r="N445" s="170"/>
      <c r="O445" s="211">
        <f t="shared" si="142"/>
        <v>1835</v>
      </c>
      <c r="P445" s="171">
        <f>-812.93</f>
        <v>-812.93</v>
      </c>
      <c r="Q445" s="299">
        <f t="shared" si="143"/>
        <v>1022.07</v>
      </c>
    </row>
    <row r="446" spans="1:17" ht="12.75" hidden="1">
      <c r="A446" s="13" t="s">
        <v>244</v>
      </c>
      <c r="B446" s="54">
        <v>98035</v>
      </c>
      <c r="C446" s="88"/>
      <c r="D446" s="69"/>
      <c r="E446" s="89"/>
      <c r="F446" s="135">
        <f t="shared" si="139"/>
        <v>0</v>
      </c>
      <c r="G446" s="169"/>
      <c r="H446" s="170"/>
      <c r="I446" s="211">
        <f t="shared" si="140"/>
        <v>0</v>
      </c>
      <c r="J446" s="184"/>
      <c r="K446" s="229"/>
      <c r="L446" s="261">
        <f t="shared" si="141"/>
        <v>0</v>
      </c>
      <c r="M446" s="243"/>
      <c r="N446" s="170"/>
      <c r="O446" s="211">
        <f t="shared" si="142"/>
        <v>0</v>
      </c>
      <c r="P446" s="171"/>
      <c r="Q446" s="299">
        <f t="shared" si="143"/>
        <v>0</v>
      </c>
    </row>
    <row r="447" spans="1:17" ht="12.75" hidden="1">
      <c r="A447" s="13" t="s">
        <v>364</v>
      </c>
      <c r="B447" s="54">
        <v>17055</v>
      </c>
      <c r="C447" s="88"/>
      <c r="D447" s="69"/>
      <c r="E447" s="89"/>
      <c r="F447" s="135"/>
      <c r="G447" s="169"/>
      <c r="H447" s="170"/>
      <c r="I447" s="211">
        <f t="shared" si="140"/>
        <v>0</v>
      </c>
      <c r="J447" s="184"/>
      <c r="K447" s="229"/>
      <c r="L447" s="261">
        <f t="shared" si="141"/>
        <v>0</v>
      </c>
      <c r="M447" s="243"/>
      <c r="N447" s="170"/>
      <c r="O447" s="211">
        <f t="shared" si="142"/>
        <v>0</v>
      </c>
      <c r="P447" s="171"/>
      <c r="Q447" s="299">
        <f t="shared" si="143"/>
        <v>0</v>
      </c>
    </row>
    <row r="448" spans="1:17" ht="12.75">
      <c r="A448" s="13" t="s">
        <v>347</v>
      </c>
      <c r="B448" s="101" t="s">
        <v>225</v>
      </c>
      <c r="C448" s="88"/>
      <c r="D448" s="69"/>
      <c r="E448" s="89"/>
      <c r="F448" s="135">
        <f t="shared" si="139"/>
        <v>0</v>
      </c>
      <c r="G448" s="169">
        <f>958.69</f>
        <v>958.69</v>
      </c>
      <c r="H448" s="170"/>
      <c r="I448" s="211">
        <f t="shared" si="140"/>
        <v>958.69</v>
      </c>
      <c r="J448" s="184"/>
      <c r="K448" s="229"/>
      <c r="L448" s="261">
        <f t="shared" si="141"/>
        <v>958.69</v>
      </c>
      <c r="M448" s="243">
        <f>991.59</f>
        <v>991.59</v>
      </c>
      <c r="N448" s="170"/>
      <c r="O448" s="211">
        <f t="shared" si="142"/>
        <v>1950.2800000000002</v>
      </c>
      <c r="P448" s="171"/>
      <c r="Q448" s="299">
        <f t="shared" si="143"/>
        <v>1950.2800000000002</v>
      </c>
    </row>
    <row r="449" spans="1:17" ht="12.75" hidden="1">
      <c r="A449" s="13" t="s">
        <v>224</v>
      </c>
      <c r="B449" s="54">
        <v>33064</v>
      </c>
      <c r="C449" s="88"/>
      <c r="D449" s="69"/>
      <c r="E449" s="89"/>
      <c r="F449" s="135">
        <f t="shared" si="139"/>
        <v>0</v>
      </c>
      <c r="G449" s="169"/>
      <c r="H449" s="170"/>
      <c r="I449" s="211">
        <f t="shared" si="140"/>
        <v>0</v>
      </c>
      <c r="J449" s="184"/>
      <c r="K449" s="229"/>
      <c r="L449" s="261"/>
      <c r="M449" s="243"/>
      <c r="N449" s="170"/>
      <c r="O449" s="211">
        <f t="shared" si="142"/>
        <v>0</v>
      </c>
      <c r="P449" s="171"/>
      <c r="Q449" s="299"/>
    </row>
    <row r="450" spans="1:17" ht="12.75">
      <c r="A450" s="19" t="s">
        <v>53</v>
      </c>
      <c r="B450" s="58"/>
      <c r="C450" s="107">
        <f>SUM(C452:C458)</f>
        <v>0</v>
      </c>
      <c r="D450" s="73">
        <f aca="true" t="shared" si="144" ref="D450:K450">SUM(D452:D458)</f>
        <v>970.87</v>
      </c>
      <c r="E450" s="123">
        <f t="shared" si="144"/>
        <v>0</v>
      </c>
      <c r="F450" s="139">
        <f t="shared" si="144"/>
        <v>970.87</v>
      </c>
      <c r="G450" s="177">
        <f t="shared" si="144"/>
        <v>0</v>
      </c>
      <c r="H450" s="178">
        <f t="shared" si="144"/>
        <v>242</v>
      </c>
      <c r="I450" s="214">
        <f t="shared" si="144"/>
        <v>1212.87</v>
      </c>
      <c r="J450" s="177">
        <f t="shared" si="144"/>
        <v>74.39</v>
      </c>
      <c r="K450" s="218">
        <f t="shared" si="144"/>
        <v>0</v>
      </c>
      <c r="L450" s="264">
        <f aca="true" t="shared" si="145" ref="L450:Q450">SUM(L452:L458)</f>
        <v>1287.26</v>
      </c>
      <c r="M450" s="218">
        <f t="shared" si="145"/>
        <v>0</v>
      </c>
      <c r="N450" s="178">
        <f t="shared" si="145"/>
        <v>0</v>
      </c>
      <c r="O450" s="214">
        <f t="shared" si="145"/>
        <v>1287.26</v>
      </c>
      <c r="P450" s="177">
        <f t="shared" si="145"/>
        <v>0</v>
      </c>
      <c r="Q450" s="214">
        <f t="shared" si="145"/>
        <v>1287.26</v>
      </c>
    </row>
    <row r="451" spans="1:17" ht="12.75">
      <c r="A451" s="15" t="s">
        <v>26</v>
      </c>
      <c r="B451" s="54"/>
      <c r="C451" s="88"/>
      <c r="D451" s="69"/>
      <c r="E451" s="89"/>
      <c r="F451" s="135"/>
      <c r="G451" s="169"/>
      <c r="H451" s="170"/>
      <c r="I451" s="211"/>
      <c r="J451" s="169"/>
      <c r="K451" s="229"/>
      <c r="L451" s="261"/>
      <c r="M451" s="243"/>
      <c r="N451" s="170"/>
      <c r="O451" s="211"/>
      <c r="P451" s="171"/>
      <c r="Q451" s="299"/>
    </row>
    <row r="452" spans="1:17" ht="12.75" hidden="1">
      <c r="A452" s="17" t="s">
        <v>68</v>
      </c>
      <c r="B452" s="54"/>
      <c r="C452" s="88"/>
      <c r="D452" s="69"/>
      <c r="E452" s="89"/>
      <c r="F452" s="135">
        <f aca="true" t="shared" si="146" ref="F452:F458">C452+D452+E452</f>
        <v>0</v>
      </c>
      <c r="G452" s="169"/>
      <c r="H452" s="170"/>
      <c r="I452" s="211">
        <f aca="true" t="shared" si="147" ref="I452:I458">F452+G452+H452</f>
        <v>0</v>
      </c>
      <c r="J452" s="169"/>
      <c r="K452" s="229"/>
      <c r="L452" s="261">
        <f aca="true" t="shared" si="148" ref="L452:L458">I452+J452+K452</f>
        <v>0</v>
      </c>
      <c r="M452" s="243"/>
      <c r="N452" s="170"/>
      <c r="O452" s="211">
        <f aca="true" t="shared" si="149" ref="O452:O458">L452+M452+N452</f>
        <v>0</v>
      </c>
      <c r="P452" s="171"/>
      <c r="Q452" s="299">
        <f>O452+P452</f>
        <v>0</v>
      </c>
    </row>
    <row r="453" spans="1:17" ht="12.75" hidden="1">
      <c r="A453" s="17" t="s">
        <v>182</v>
      </c>
      <c r="B453" s="54"/>
      <c r="C453" s="88"/>
      <c r="D453" s="69"/>
      <c r="E453" s="89"/>
      <c r="F453" s="135">
        <f t="shared" si="146"/>
        <v>0</v>
      </c>
      <c r="G453" s="169"/>
      <c r="H453" s="170"/>
      <c r="I453" s="211">
        <f t="shared" si="147"/>
        <v>0</v>
      </c>
      <c r="J453" s="169"/>
      <c r="K453" s="229"/>
      <c r="L453" s="261">
        <f t="shared" si="148"/>
        <v>0</v>
      </c>
      <c r="M453" s="243"/>
      <c r="N453" s="170"/>
      <c r="O453" s="211">
        <f t="shared" si="149"/>
        <v>0</v>
      </c>
      <c r="P453" s="171"/>
      <c r="Q453" s="299"/>
    </row>
    <row r="454" spans="1:17" ht="12.75" hidden="1">
      <c r="A454" s="17" t="s">
        <v>183</v>
      </c>
      <c r="B454" s="54"/>
      <c r="C454" s="88"/>
      <c r="D454" s="69"/>
      <c r="E454" s="89"/>
      <c r="F454" s="135">
        <f t="shared" si="146"/>
        <v>0</v>
      </c>
      <c r="G454" s="169"/>
      <c r="H454" s="170"/>
      <c r="I454" s="211">
        <f t="shared" si="147"/>
        <v>0</v>
      </c>
      <c r="J454" s="169"/>
      <c r="K454" s="229"/>
      <c r="L454" s="261">
        <f t="shared" si="148"/>
        <v>0</v>
      </c>
      <c r="M454" s="243"/>
      <c r="N454" s="170"/>
      <c r="O454" s="211">
        <f t="shared" si="149"/>
        <v>0</v>
      </c>
      <c r="P454" s="171"/>
      <c r="Q454" s="299"/>
    </row>
    <row r="455" spans="1:17" ht="12.75" hidden="1">
      <c r="A455" s="17" t="s">
        <v>174</v>
      </c>
      <c r="B455" s="54"/>
      <c r="C455" s="88"/>
      <c r="D455" s="69"/>
      <c r="E455" s="89"/>
      <c r="F455" s="135">
        <f t="shared" si="146"/>
        <v>0</v>
      </c>
      <c r="G455" s="169"/>
      <c r="H455" s="170"/>
      <c r="I455" s="211">
        <f t="shared" si="147"/>
        <v>0</v>
      </c>
      <c r="J455" s="169"/>
      <c r="K455" s="229"/>
      <c r="L455" s="261">
        <f t="shared" si="148"/>
        <v>0</v>
      </c>
      <c r="M455" s="243"/>
      <c r="N455" s="170"/>
      <c r="O455" s="211">
        <f t="shared" si="149"/>
        <v>0</v>
      </c>
      <c r="P455" s="171"/>
      <c r="Q455" s="299"/>
    </row>
    <row r="456" spans="1:17" ht="12.75" hidden="1">
      <c r="A456" s="13" t="s">
        <v>54</v>
      </c>
      <c r="B456" s="54"/>
      <c r="C456" s="88"/>
      <c r="D456" s="69"/>
      <c r="E456" s="89"/>
      <c r="F456" s="135">
        <f t="shared" si="146"/>
        <v>0</v>
      </c>
      <c r="G456" s="169"/>
      <c r="H456" s="170"/>
      <c r="I456" s="211">
        <f t="shared" si="147"/>
        <v>0</v>
      </c>
      <c r="J456" s="169"/>
      <c r="K456" s="229"/>
      <c r="L456" s="261">
        <f t="shared" si="148"/>
        <v>0</v>
      </c>
      <c r="M456" s="243"/>
      <c r="N456" s="170"/>
      <c r="O456" s="211">
        <f t="shared" si="149"/>
        <v>0</v>
      </c>
      <c r="P456" s="171"/>
      <c r="Q456" s="299">
        <f>O456+P456</f>
        <v>0</v>
      </c>
    </row>
    <row r="457" spans="1:17" ht="12.75">
      <c r="A457" s="13" t="s">
        <v>74</v>
      </c>
      <c r="B457" s="54"/>
      <c r="C457" s="88"/>
      <c r="D457" s="69">
        <f>970.87</f>
        <v>970.87</v>
      </c>
      <c r="E457" s="89"/>
      <c r="F457" s="135">
        <f t="shared" si="146"/>
        <v>970.87</v>
      </c>
      <c r="G457" s="169"/>
      <c r="H457" s="170"/>
      <c r="I457" s="211">
        <f t="shared" si="147"/>
        <v>970.87</v>
      </c>
      <c r="J457" s="169">
        <f>74.39</f>
        <v>74.39</v>
      </c>
      <c r="K457" s="229"/>
      <c r="L457" s="261">
        <f t="shared" si="148"/>
        <v>1045.26</v>
      </c>
      <c r="M457" s="243"/>
      <c r="N457" s="170"/>
      <c r="O457" s="211">
        <f t="shared" si="149"/>
        <v>1045.26</v>
      </c>
      <c r="P457" s="171"/>
      <c r="Q457" s="299">
        <f>O457+P457</f>
        <v>1045.26</v>
      </c>
    </row>
    <row r="458" spans="1:17" ht="12.75">
      <c r="A458" s="150" t="s">
        <v>355</v>
      </c>
      <c r="B458" s="57"/>
      <c r="C458" s="108"/>
      <c r="D458" s="74"/>
      <c r="E458" s="155"/>
      <c r="F458" s="164">
        <f t="shared" si="146"/>
        <v>0</v>
      </c>
      <c r="G458" s="181"/>
      <c r="H458" s="182">
        <f>242</f>
        <v>242</v>
      </c>
      <c r="I458" s="216">
        <f t="shared" si="147"/>
        <v>242</v>
      </c>
      <c r="J458" s="181"/>
      <c r="K458" s="254"/>
      <c r="L458" s="266">
        <f t="shared" si="148"/>
        <v>242</v>
      </c>
      <c r="M458" s="240"/>
      <c r="N458" s="182"/>
      <c r="O458" s="216">
        <f t="shared" si="149"/>
        <v>242</v>
      </c>
      <c r="P458" s="296"/>
      <c r="Q458" s="295">
        <f>O458+P458</f>
        <v>242</v>
      </c>
    </row>
    <row r="459" spans="1:17" ht="12.75">
      <c r="A459" s="10" t="s">
        <v>91</v>
      </c>
      <c r="B459" s="58"/>
      <c r="C459" s="94">
        <f>C460+C463</f>
        <v>3304.9</v>
      </c>
      <c r="D459" s="68">
        <f aca="true" t="shared" si="150" ref="D459:O459">D460+D463</f>
        <v>0</v>
      </c>
      <c r="E459" s="95">
        <f t="shared" si="150"/>
        <v>0</v>
      </c>
      <c r="F459" s="134">
        <f t="shared" si="150"/>
        <v>3304.9</v>
      </c>
      <c r="G459" s="167">
        <f t="shared" si="150"/>
        <v>0</v>
      </c>
      <c r="H459" s="168">
        <f t="shared" si="150"/>
        <v>0</v>
      </c>
      <c r="I459" s="210">
        <f t="shared" si="150"/>
        <v>3304.9</v>
      </c>
      <c r="J459" s="167">
        <f t="shared" si="150"/>
        <v>0</v>
      </c>
      <c r="K459" s="228">
        <f t="shared" si="150"/>
        <v>0</v>
      </c>
      <c r="L459" s="260">
        <f t="shared" si="150"/>
        <v>3304.9</v>
      </c>
      <c r="M459" s="228">
        <f t="shared" si="150"/>
        <v>0</v>
      </c>
      <c r="N459" s="168">
        <f t="shared" si="150"/>
        <v>0</v>
      </c>
      <c r="O459" s="210">
        <f t="shared" si="150"/>
        <v>3304.9</v>
      </c>
      <c r="P459" s="167">
        <f>P460+P463</f>
        <v>0</v>
      </c>
      <c r="Q459" s="210">
        <f>Q460+Q463</f>
        <v>3304.9</v>
      </c>
    </row>
    <row r="460" spans="1:17" ht="12.75">
      <c r="A460" s="19" t="s">
        <v>48</v>
      </c>
      <c r="B460" s="58"/>
      <c r="C460" s="107">
        <f>SUM(C462:C462)</f>
        <v>3304.9</v>
      </c>
      <c r="D460" s="73">
        <f aca="true" t="shared" si="151" ref="D460:O460">SUM(D462:D462)</f>
        <v>0</v>
      </c>
      <c r="E460" s="123">
        <f t="shared" si="151"/>
        <v>0</v>
      </c>
      <c r="F460" s="139">
        <f t="shared" si="151"/>
        <v>3304.9</v>
      </c>
      <c r="G460" s="177">
        <f t="shared" si="151"/>
        <v>0</v>
      </c>
      <c r="H460" s="178">
        <f t="shared" si="151"/>
        <v>0</v>
      </c>
      <c r="I460" s="214">
        <f t="shared" si="151"/>
        <v>3304.9</v>
      </c>
      <c r="J460" s="177">
        <f t="shared" si="151"/>
        <v>0</v>
      </c>
      <c r="K460" s="218">
        <f t="shared" si="151"/>
        <v>0</v>
      </c>
      <c r="L460" s="264">
        <f t="shared" si="151"/>
        <v>3304.9</v>
      </c>
      <c r="M460" s="218">
        <f t="shared" si="151"/>
        <v>0</v>
      </c>
      <c r="N460" s="178">
        <f t="shared" si="151"/>
        <v>0</v>
      </c>
      <c r="O460" s="214">
        <f t="shared" si="151"/>
        <v>3304.9</v>
      </c>
      <c r="P460" s="177">
        <f>SUM(P462:P462)</f>
        <v>0</v>
      </c>
      <c r="Q460" s="214">
        <f>SUM(Q462:Q462)</f>
        <v>3304.9</v>
      </c>
    </row>
    <row r="461" spans="1:17" ht="12.75">
      <c r="A461" s="15" t="s">
        <v>26</v>
      </c>
      <c r="B461" s="54"/>
      <c r="C461" s="88"/>
      <c r="D461" s="69"/>
      <c r="E461" s="89"/>
      <c r="F461" s="134"/>
      <c r="G461" s="169"/>
      <c r="H461" s="170"/>
      <c r="I461" s="210"/>
      <c r="J461" s="169"/>
      <c r="K461" s="229"/>
      <c r="L461" s="260"/>
      <c r="M461" s="243"/>
      <c r="N461" s="170"/>
      <c r="O461" s="210"/>
      <c r="P461" s="171"/>
      <c r="Q461" s="299"/>
    </row>
    <row r="462" spans="1:17" ht="12.75">
      <c r="A462" s="16" t="s">
        <v>50</v>
      </c>
      <c r="B462" s="57"/>
      <c r="C462" s="110">
        <v>3304.9</v>
      </c>
      <c r="D462" s="74"/>
      <c r="E462" s="155"/>
      <c r="F462" s="164">
        <f>C462+D462+E462</f>
        <v>3304.9</v>
      </c>
      <c r="G462" s="181"/>
      <c r="H462" s="182"/>
      <c r="I462" s="216">
        <f>F462+G462+H462</f>
        <v>3304.9</v>
      </c>
      <c r="J462" s="181"/>
      <c r="K462" s="254"/>
      <c r="L462" s="266">
        <f>I462+J462+K462</f>
        <v>3304.9</v>
      </c>
      <c r="M462" s="240"/>
      <c r="N462" s="182"/>
      <c r="O462" s="216">
        <f>L462+M462+N462</f>
        <v>3304.9</v>
      </c>
      <c r="P462" s="296"/>
      <c r="Q462" s="295">
        <f>O462+P462</f>
        <v>3304.9</v>
      </c>
    </row>
    <row r="463" spans="1:17" ht="12.75" hidden="1">
      <c r="A463" s="19" t="s">
        <v>53</v>
      </c>
      <c r="B463" s="58"/>
      <c r="C463" s="107">
        <f aca="true" t="shared" si="152" ref="C463:Q463">SUM(C465:C465)</f>
        <v>0</v>
      </c>
      <c r="D463" s="73">
        <f t="shared" si="152"/>
        <v>0</v>
      </c>
      <c r="E463" s="123">
        <f t="shared" si="152"/>
        <v>0</v>
      </c>
      <c r="F463" s="139">
        <f t="shared" si="152"/>
        <v>0</v>
      </c>
      <c r="G463" s="177">
        <f t="shared" si="152"/>
        <v>0</v>
      </c>
      <c r="H463" s="178">
        <f t="shared" si="152"/>
        <v>0</v>
      </c>
      <c r="I463" s="214">
        <f t="shared" si="152"/>
        <v>0</v>
      </c>
      <c r="J463" s="177">
        <f t="shared" si="152"/>
        <v>0</v>
      </c>
      <c r="K463" s="218">
        <f t="shared" si="152"/>
        <v>0</v>
      </c>
      <c r="L463" s="264">
        <f t="shared" si="152"/>
        <v>0</v>
      </c>
      <c r="M463" s="218">
        <f t="shared" si="152"/>
        <v>0</v>
      </c>
      <c r="N463" s="178">
        <f t="shared" si="152"/>
        <v>0</v>
      </c>
      <c r="O463" s="214">
        <f t="shared" si="152"/>
        <v>0</v>
      </c>
      <c r="P463" s="177">
        <f t="shared" si="152"/>
        <v>0</v>
      </c>
      <c r="Q463" s="214">
        <f t="shared" si="152"/>
        <v>0</v>
      </c>
    </row>
    <row r="464" spans="1:17" ht="12.75" hidden="1">
      <c r="A464" s="15" t="s">
        <v>26</v>
      </c>
      <c r="B464" s="54"/>
      <c r="C464" s="88"/>
      <c r="D464" s="69"/>
      <c r="E464" s="89"/>
      <c r="F464" s="135"/>
      <c r="G464" s="169"/>
      <c r="H464" s="170"/>
      <c r="I464" s="211"/>
      <c r="J464" s="169"/>
      <c r="K464" s="229"/>
      <c r="L464" s="261"/>
      <c r="M464" s="243"/>
      <c r="N464" s="170"/>
      <c r="O464" s="211"/>
      <c r="P464" s="171"/>
      <c r="Q464" s="299"/>
    </row>
    <row r="465" spans="1:17" ht="12.75" hidden="1">
      <c r="A465" s="16" t="s">
        <v>54</v>
      </c>
      <c r="B465" s="57"/>
      <c r="C465" s="108"/>
      <c r="D465" s="74"/>
      <c r="E465" s="155"/>
      <c r="F465" s="164">
        <f>C465+D465+E465</f>
        <v>0</v>
      </c>
      <c r="G465" s="181"/>
      <c r="H465" s="182"/>
      <c r="I465" s="216">
        <f>F465+G465+H465</f>
        <v>0</v>
      </c>
      <c r="J465" s="181"/>
      <c r="K465" s="254"/>
      <c r="L465" s="266">
        <f>I465+J465+K465</f>
        <v>0</v>
      </c>
      <c r="M465" s="240"/>
      <c r="N465" s="182"/>
      <c r="O465" s="216">
        <f>L465+M465+N465</f>
        <v>0</v>
      </c>
      <c r="P465" s="296"/>
      <c r="Q465" s="295">
        <f>O465+P465</f>
        <v>0</v>
      </c>
    </row>
    <row r="466" spans="1:17" ht="12.75">
      <c r="A466" s="10" t="s">
        <v>92</v>
      </c>
      <c r="B466" s="58"/>
      <c r="C466" s="94">
        <f aca="true" t="shared" si="153" ref="C466:Q466">C467</f>
        <v>39795.34</v>
      </c>
      <c r="D466" s="68">
        <f t="shared" si="153"/>
        <v>45884.28</v>
      </c>
      <c r="E466" s="95">
        <f t="shared" si="153"/>
        <v>0</v>
      </c>
      <c r="F466" s="134">
        <f t="shared" si="153"/>
        <v>85679.62000000001</v>
      </c>
      <c r="G466" s="167">
        <f t="shared" si="153"/>
        <v>12516.16</v>
      </c>
      <c r="H466" s="168">
        <f t="shared" si="153"/>
        <v>20518.21</v>
      </c>
      <c r="I466" s="210">
        <f t="shared" si="153"/>
        <v>118713.99</v>
      </c>
      <c r="J466" s="167">
        <f t="shared" si="153"/>
        <v>56110.18</v>
      </c>
      <c r="K466" s="228">
        <f t="shared" si="153"/>
        <v>0</v>
      </c>
      <c r="L466" s="260">
        <f t="shared" si="153"/>
        <v>174824.16999999998</v>
      </c>
      <c r="M466" s="228">
        <f t="shared" si="153"/>
        <v>2867.72</v>
      </c>
      <c r="N466" s="168">
        <f t="shared" si="153"/>
        <v>0</v>
      </c>
      <c r="O466" s="210">
        <f t="shared" si="153"/>
        <v>177691.88999999998</v>
      </c>
      <c r="P466" s="167">
        <f t="shared" si="153"/>
        <v>3760.5</v>
      </c>
      <c r="Q466" s="210">
        <f t="shared" si="153"/>
        <v>181452.38999999998</v>
      </c>
    </row>
    <row r="467" spans="1:17" ht="12.75">
      <c r="A467" s="19" t="s">
        <v>48</v>
      </c>
      <c r="B467" s="58"/>
      <c r="C467" s="107">
        <f>SUM(C469:C472)</f>
        <v>39795.34</v>
      </c>
      <c r="D467" s="73">
        <f aca="true" t="shared" si="154" ref="D467:O467">SUM(D469:D472)</f>
        <v>45884.28</v>
      </c>
      <c r="E467" s="123">
        <f t="shared" si="154"/>
        <v>0</v>
      </c>
      <c r="F467" s="139">
        <f t="shared" si="154"/>
        <v>85679.62000000001</v>
      </c>
      <c r="G467" s="177">
        <f t="shared" si="154"/>
        <v>12516.16</v>
      </c>
      <c r="H467" s="178">
        <f t="shared" si="154"/>
        <v>20518.21</v>
      </c>
      <c r="I467" s="214">
        <f t="shared" si="154"/>
        <v>118713.99</v>
      </c>
      <c r="J467" s="177">
        <f t="shared" si="154"/>
        <v>56110.18</v>
      </c>
      <c r="K467" s="218">
        <f t="shared" si="154"/>
        <v>0</v>
      </c>
      <c r="L467" s="264">
        <f t="shared" si="154"/>
        <v>174824.16999999998</v>
      </c>
      <c r="M467" s="218">
        <f t="shared" si="154"/>
        <v>2867.72</v>
      </c>
      <c r="N467" s="178">
        <f t="shared" si="154"/>
        <v>0</v>
      </c>
      <c r="O467" s="214">
        <f t="shared" si="154"/>
        <v>177691.88999999998</v>
      </c>
      <c r="P467" s="177">
        <f>SUM(P469:P472)</f>
        <v>3760.5</v>
      </c>
      <c r="Q467" s="214">
        <f>SUM(Q469:Q472)</f>
        <v>181452.38999999998</v>
      </c>
    </row>
    <row r="468" spans="1:17" ht="12.75">
      <c r="A468" s="15" t="s">
        <v>26</v>
      </c>
      <c r="B468" s="54"/>
      <c r="C468" s="94"/>
      <c r="D468" s="68"/>
      <c r="E468" s="95"/>
      <c r="F468" s="134"/>
      <c r="G468" s="167"/>
      <c r="H468" s="168"/>
      <c r="I468" s="210"/>
      <c r="J468" s="167"/>
      <c r="K468" s="228"/>
      <c r="L468" s="260"/>
      <c r="M468" s="241"/>
      <c r="N468" s="168"/>
      <c r="O468" s="210"/>
      <c r="P468" s="171"/>
      <c r="Q468" s="299"/>
    </row>
    <row r="469" spans="1:17" ht="12.75">
      <c r="A469" s="55" t="s">
        <v>184</v>
      </c>
      <c r="B469" s="54"/>
      <c r="C469" s="88">
        <v>4295.34</v>
      </c>
      <c r="D469" s="69">
        <f>712.32</f>
        <v>712.32</v>
      </c>
      <c r="E469" s="89"/>
      <c r="F469" s="135">
        <f>C469+D469+E469</f>
        <v>5007.66</v>
      </c>
      <c r="G469" s="169">
        <f>14179.66+195+61.35</f>
        <v>14436.01</v>
      </c>
      <c r="H469" s="170">
        <f>1947.07+18571.14</f>
        <v>20518.21</v>
      </c>
      <c r="I469" s="211">
        <f>F469+G469+H469</f>
        <v>39961.88</v>
      </c>
      <c r="J469" s="184">
        <f>55420.18+490+200</f>
        <v>56110.18</v>
      </c>
      <c r="K469" s="229"/>
      <c r="L469" s="261">
        <f>I469+J469+K469</f>
        <v>96072.06</v>
      </c>
      <c r="M469" s="243">
        <f>3051.27-183.55</f>
        <v>2867.72</v>
      </c>
      <c r="N469" s="170"/>
      <c r="O469" s="211">
        <f>L469+M469+N469</f>
        <v>98939.78</v>
      </c>
      <c r="P469" s="171">
        <f>13.5+3000+747</f>
        <v>3760.5</v>
      </c>
      <c r="Q469" s="299">
        <f>O469+P469</f>
        <v>102700.28</v>
      </c>
    </row>
    <row r="470" spans="1:17" ht="12.75">
      <c r="A470" s="55" t="s">
        <v>93</v>
      </c>
      <c r="B470" s="54"/>
      <c r="C470" s="88"/>
      <c r="D470" s="76">
        <f>34675.19</f>
        <v>34675.19</v>
      </c>
      <c r="E470" s="89"/>
      <c r="F470" s="135">
        <f>C470+D470+E470</f>
        <v>34675.19</v>
      </c>
      <c r="G470" s="169">
        <f>-1919.85</f>
        <v>-1919.85</v>
      </c>
      <c r="H470" s="170"/>
      <c r="I470" s="211">
        <f>F470+G470+H470</f>
        <v>32755.340000000004</v>
      </c>
      <c r="J470" s="169"/>
      <c r="K470" s="229"/>
      <c r="L470" s="261">
        <f>I470+J470+K470</f>
        <v>32755.340000000004</v>
      </c>
      <c r="M470" s="243"/>
      <c r="N470" s="170"/>
      <c r="O470" s="211">
        <f>L470+M470+N470</f>
        <v>32755.340000000004</v>
      </c>
      <c r="P470" s="171"/>
      <c r="Q470" s="299">
        <f>O470+P470</f>
        <v>32755.340000000004</v>
      </c>
    </row>
    <row r="471" spans="1:17" ht="12.75">
      <c r="A471" s="55" t="s">
        <v>94</v>
      </c>
      <c r="B471" s="54"/>
      <c r="C471" s="88"/>
      <c r="D471" s="69">
        <f>10496.77</f>
        <v>10496.77</v>
      </c>
      <c r="E471" s="89"/>
      <c r="F471" s="135">
        <f>C471+D471+E471</f>
        <v>10496.77</v>
      </c>
      <c r="G471" s="169"/>
      <c r="H471" s="170"/>
      <c r="I471" s="211">
        <f>F471+G471+H471</f>
        <v>10496.77</v>
      </c>
      <c r="J471" s="169"/>
      <c r="K471" s="229"/>
      <c r="L471" s="261">
        <f>I471+J471+K471</f>
        <v>10496.77</v>
      </c>
      <c r="M471" s="243"/>
      <c r="N471" s="170"/>
      <c r="O471" s="211">
        <f>L471+M471+N471</f>
        <v>10496.77</v>
      </c>
      <c r="P471" s="171"/>
      <c r="Q471" s="299">
        <f>O471+P471</f>
        <v>10496.77</v>
      </c>
    </row>
    <row r="472" spans="1:17" ht="12.75">
      <c r="A472" s="16" t="s">
        <v>50</v>
      </c>
      <c r="B472" s="57"/>
      <c r="C472" s="108">
        <v>35500</v>
      </c>
      <c r="D472" s="74"/>
      <c r="E472" s="155"/>
      <c r="F472" s="164">
        <f>C472+D472+E472</f>
        <v>35500</v>
      </c>
      <c r="G472" s="181"/>
      <c r="H472" s="182"/>
      <c r="I472" s="216">
        <f>F472+G472+H472</f>
        <v>35500</v>
      </c>
      <c r="J472" s="181"/>
      <c r="K472" s="254"/>
      <c r="L472" s="266">
        <f>I472+J472+K472</f>
        <v>35500</v>
      </c>
      <c r="M472" s="240"/>
      <c r="N472" s="182"/>
      <c r="O472" s="216">
        <f>L472+M472+N472</f>
        <v>35500</v>
      </c>
      <c r="P472" s="296"/>
      <c r="Q472" s="295">
        <f>O472+P472</f>
        <v>35500</v>
      </c>
    </row>
    <row r="473" spans="1:17" ht="12.75">
      <c r="A473" s="10" t="s">
        <v>160</v>
      </c>
      <c r="B473" s="58"/>
      <c r="C473" s="94">
        <f aca="true" t="shared" si="155" ref="C473:O473">C474+C488</f>
        <v>85202</v>
      </c>
      <c r="D473" s="68">
        <f t="shared" si="155"/>
        <v>66390.33</v>
      </c>
      <c r="E473" s="95">
        <f t="shared" si="155"/>
        <v>2012</v>
      </c>
      <c r="F473" s="134">
        <f t="shared" si="155"/>
        <v>153604.33000000002</v>
      </c>
      <c r="G473" s="167">
        <f t="shared" si="155"/>
        <v>16442.07</v>
      </c>
      <c r="H473" s="168">
        <f t="shared" si="155"/>
        <v>25545.53</v>
      </c>
      <c r="I473" s="210">
        <f t="shared" si="155"/>
        <v>195591.93000000002</v>
      </c>
      <c r="J473" s="167">
        <f t="shared" si="155"/>
        <v>7853.919999999998</v>
      </c>
      <c r="K473" s="228">
        <f t="shared" si="155"/>
        <v>16850.79</v>
      </c>
      <c r="L473" s="260">
        <f t="shared" si="155"/>
        <v>220296.64</v>
      </c>
      <c r="M473" s="228">
        <f t="shared" si="155"/>
        <v>7572.349999999999</v>
      </c>
      <c r="N473" s="168">
        <f t="shared" si="155"/>
        <v>18470</v>
      </c>
      <c r="O473" s="210">
        <f t="shared" si="155"/>
        <v>246338.99000000002</v>
      </c>
      <c r="P473" s="167">
        <f>P474+P488</f>
        <v>0</v>
      </c>
      <c r="Q473" s="210">
        <f>Q474+Q488</f>
        <v>246338.99000000002</v>
      </c>
    </row>
    <row r="474" spans="1:17" ht="12.75">
      <c r="A474" s="19" t="s">
        <v>48</v>
      </c>
      <c r="B474" s="58"/>
      <c r="C474" s="107">
        <f>SUM(C476:C487)</f>
        <v>85202</v>
      </c>
      <c r="D474" s="73">
        <f>SUM(D476:D487)</f>
        <v>7190.330000000001</v>
      </c>
      <c r="E474" s="123">
        <f>SUM(E475:E487)</f>
        <v>660.5</v>
      </c>
      <c r="F474" s="139">
        <f>SUM(F476:F487)</f>
        <v>93052.83</v>
      </c>
      <c r="G474" s="177">
        <f aca="true" t="shared" si="156" ref="G474:O474">SUM(G475:G487)</f>
        <v>-10539.900000000001</v>
      </c>
      <c r="H474" s="178">
        <f t="shared" si="156"/>
        <v>8499.53</v>
      </c>
      <c r="I474" s="214">
        <f t="shared" si="156"/>
        <v>91012.46000000002</v>
      </c>
      <c r="J474" s="177">
        <f t="shared" si="156"/>
        <v>-1483.1100000000001</v>
      </c>
      <c r="K474" s="218">
        <f t="shared" si="156"/>
        <v>2072</v>
      </c>
      <c r="L474" s="264">
        <f t="shared" si="156"/>
        <v>91601.35</v>
      </c>
      <c r="M474" s="218">
        <f t="shared" si="156"/>
        <v>162.82</v>
      </c>
      <c r="N474" s="178">
        <f t="shared" si="156"/>
        <v>5570</v>
      </c>
      <c r="O474" s="214">
        <f t="shared" si="156"/>
        <v>97334.17000000001</v>
      </c>
      <c r="P474" s="177">
        <f>SUM(P475:P487)</f>
        <v>0</v>
      </c>
      <c r="Q474" s="214">
        <f>SUM(Q475:Q487)</f>
        <v>97334.17000000001</v>
      </c>
    </row>
    <row r="475" spans="1:17" ht="12.75">
      <c r="A475" s="15" t="s">
        <v>26</v>
      </c>
      <c r="B475" s="54"/>
      <c r="C475" s="88"/>
      <c r="D475" s="69"/>
      <c r="E475" s="89"/>
      <c r="F475" s="135"/>
      <c r="G475" s="169"/>
      <c r="H475" s="170"/>
      <c r="I475" s="211"/>
      <c r="J475" s="169"/>
      <c r="K475" s="229"/>
      <c r="L475" s="261"/>
      <c r="M475" s="243"/>
      <c r="N475" s="170"/>
      <c r="O475" s="211"/>
      <c r="P475" s="171"/>
      <c r="Q475" s="299"/>
    </row>
    <row r="476" spans="1:17" ht="12.75">
      <c r="A476" s="13" t="s">
        <v>240</v>
      </c>
      <c r="B476" s="54">
        <v>1202</v>
      </c>
      <c r="C476" s="88"/>
      <c r="D476" s="69">
        <f>2950+350+3960.36</f>
        <v>7260.360000000001</v>
      </c>
      <c r="E476" s="89">
        <f>-1106.5</f>
        <v>-1106.5</v>
      </c>
      <c r="F476" s="135">
        <f aca="true" t="shared" si="157" ref="F476:F487">C476+D476+E476</f>
        <v>6153.860000000001</v>
      </c>
      <c r="G476" s="169">
        <f>-2500</f>
        <v>-2500</v>
      </c>
      <c r="H476" s="170"/>
      <c r="I476" s="211">
        <f>F476+G476+H476</f>
        <v>3653.8600000000006</v>
      </c>
      <c r="J476" s="169"/>
      <c r="K476" s="229"/>
      <c r="L476" s="261">
        <f>I476+J476+K476</f>
        <v>3653.8600000000006</v>
      </c>
      <c r="M476" s="243"/>
      <c r="N476" s="170"/>
      <c r="O476" s="211">
        <f>L476+M476+N476</f>
        <v>3653.8600000000006</v>
      </c>
      <c r="P476" s="171"/>
      <c r="Q476" s="299">
        <f>O476+P476</f>
        <v>3653.8600000000006</v>
      </c>
    </row>
    <row r="477" spans="1:17" ht="12.75">
      <c r="A477" s="13" t="s">
        <v>177</v>
      </c>
      <c r="B477" s="54">
        <v>1207</v>
      </c>
      <c r="C477" s="88"/>
      <c r="D477" s="69">
        <f>11550+1687.53</f>
        <v>13237.53</v>
      </c>
      <c r="E477" s="89"/>
      <c r="F477" s="135">
        <f t="shared" si="157"/>
        <v>13237.53</v>
      </c>
      <c r="G477" s="169">
        <f>4.7</f>
        <v>4.7</v>
      </c>
      <c r="H477" s="170"/>
      <c r="I477" s="211">
        <f aca="true" t="shared" si="158" ref="I477:I487">F477+G477+H477</f>
        <v>13242.230000000001</v>
      </c>
      <c r="J477" s="169"/>
      <c r="K477" s="229"/>
      <c r="L477" s="261">
        <f aca="true" t="shared" si="159" ref="L477:L487">I477+J477+K477</f>
        <v>13242.230000000001</v>
      </c>
      <c r="M477" s="243">
        <f>25.93</f>
        <v>25.93</v>
      </c>
      <c r="N477" s="170"/>
      <c r="O477" s="211">
        <f aca="true" t="shared" si="160" ref="O477:O487">L477+M477+N477</f>
        <v>13268.160000000002</v>
      </c>
      <c r="P477" s="171"/>
      <c r="Q477" s="299">
        <f aca="true" t="shared" si="161" ref="Q477:Q487">O477+P477</f>
        <v>13268.160000000002</v>
      </c>
    </row>
    <row r="478" spans="1:17" ht="12.75">
      <c r="A478" s="17" t="s">
        <v>259</v>
      </c>
      <c r="B478" s="54">
        <v>1209</v>
      </c>
      <c r="C478" s="88"/>
      <c r="D478" s="69">
        <f>1730+597.22</f>
        <v>2327.2200000000003</v>
      </c>
      <c r="E478" s="89"/>
      <c r="F478" s="135">
        <f t="shared" si="157"/>
        <v>2327.2200000000003</v>
      </c>
      <c r="G478" s="169"/>
      <c r="H478" s="170"/>
      <c r="I478" s="211">
        <f t="shared" si="158"/>
        <v>2327.2200000000003</v>
      </c>
      <c r="J478" s="169"/>
      <c r="K478" s="229"/>
      <c r="L478" s="261">
        <f t="shared" si="159"/>
        <v>2327.2200000000003</v>
      </c>
      <c r="M478" s="243">
        <f>33</f>
        <v>33</v>
      </c>
      <c r="N478" s="170"/>
      <c r="O478" s="211">
        <f t="shared" si="160"/>
        <v>2360.2200000000003</v>
      </c>
      <c r="P478" s="171"/>
      <c r="Q478" s="299">
        <f t="shared" si="161"/>
        <v>2360.2200000000003</v>
      </c>
    </row>
    <row r="479" spans="1:17" ht="12.75">
      <c r="A479" s="13" t="s">
        <v>178</v>
      </c>
      <c r="B479" s="54">
        <v>1211</v>
      </c>
      <c r="C479" s="88"/>
      <c r="D479" s="76">
        <f>2322+769.24</f>
        <v>3091.24</v>
      </c>
      <c r="E479" s="102"/>
      <c r="F479" s="135">
        <f t="shared" si="157"/>
        <v>3091.24</v>
      </c>
      <c r="G479" s="169"/>
      <c r="H479" s="170"/>
      <c r="I479" s="211">
        <f t="shared" si="158"/>
        <v>3091.24</v>
      </c>
      <c r="J479" s="169">
        <f>208.95</f>
        <v>208.95</v>
      </c>
      <c r="K479" s="229"/>
      <c r="L479" s="261">
        <f t="shared" si="159"/>
        <v>3300.1899999999996</v>
      </c>
      <c r="M479" s="243"/>
      <c r="N479" s="170"/>
      <c r="O479" s="211">
        <f t="shared" si="160"/>
        <v>3300.1899999999996</v>
      </c>
      <c r="P479" s="171"/>
      <c r="Q479" s="299">
        <f t="shared" si="161"/>
        <v>3300.1899999999996</v>
      </c>
    </row>
    <row r="480" spans="1:17" ht="12.75">
      <c r="A480" s="13" t="s">
        <v>227</v>
      </c>
      <c r="B480" s="54">
        <v>1214</v>
      </c>
      <c r="C480" s="88"/>
      <c r="D480" s="76">
        <f>1400+83.7</f>
        <v>1483.7</v>
      </c>
      <c r="E480" s="89"/>
      <c r="F480" s="135">
        <f t="shared" si="157"/>
        <v>1483.7</v>
      </c>
      <c r="G480" s="169">
        <f>307</f>
        <v>307</v>
      </c>
      <c r="H480" s="170"/>
      <c r="I480" s="211">
        <f t="shared" si="158"/>
        <v>1790.7</v>
      </c>
      <c r="J480" s="169">
        <f>34</f>
        <v>34</v>
      </c>
      <c r="K480" s="229"/>
      <c r="L480" s="261">
        <f t="shared" si="159"/>
        <v>1824.7</v>
      </c>
      <c r="M480" s="243">
        <f>107.19</f>
        <v>107.19</v>
      </c>
      <c r="N480" s="170"/>
      <c r="O480" s="211">
        <f t="shared" si="160"/>
        <v>1931.89</v>
      </c>
      <c r="P480" s="171"/>
      <c r="Q480" s="299">
        <f t="shared" si="161"/>
        <v>1931.89</v>
      </c>
    </row>
    <row r="481" spans="1:17" ht="12.75">
      <c r="A481" s="13" t="s">
        <v>228</v>
      </c>
      <c r="B481" s="54">
        <v>1213</v>
      </c>
      <c r="C481" s="88"/>
      <c r="D481" s="76">
        <f>750+245.74</f>
        <v>995.74</v>
      </c>
      <c r="E481" s="89"/>
      <c r="F481" s="135">
        <f t="shared" si="157"/>
        <v>995.74</v>
      </c>
      <c r="G481" s="169"/>
      <c r="H481" s="170"/>
      <c r="I481" s="211">
        <f t="shared" si="158"/>
        <v>995.74</v>
      </c>
      <c r="J481" s="169"/>
      <c r="K481" s="229"/>
      <c r="L481" s="261">
        <f t="shared" si="159"/>
        <v>995.74</v>
      </c>
      <c r="M481" s="243"/>
      <c r="N481" s="170"/>
      <c r="O481" s="211">
        <f t="shared" si="160"/>
        <v>995.74</v>
      </c>
      <c r="P481" s="171"/>
      <c r="Q481" s="299">
        <f t="shared" si="161"/>
        <v>995.74</v>
      </c>
    </row>
    <row r="482" spans="1:17" ht="12.75">
      <c r="A482" s="13" t="s">
        <v>258</v>
      </c>
      <c r="B482" s="54">
        <v>1216</v>
      </c>
      <c r="C482" s="88"/>
      <c r="D482" s="69">
        <f>19300+2067.57</f>
        <v>21367.57</v>
      </c>
      <c r="E482" s="89">
        <f>-395</f>
        <v>-395</v>
      </c>
      <c r="F482" s="135">
        <f t="shared" si="157"/>
        <v>20972.57</v>
      </c>
      <c r="G482" s="169"/>
      <c r="H482" s="170"/>
      <c r="I482" s="211">
        <f t="shared" si="158"/>
        <v>20972.57</v>
      </c>
      <c r="J482" s="169">
        <f>0.95</f>
        <v>0.95</v>
      </c>
      <c r="K482" s="229"/>
      <c r="L482" s="261">
        <f t="shared" si="159"/>
        <v>20973.52</v>
      </c>
      <c r="M482" s="243">
        <f>70</f>
        <v>70</v>
      </c>
      <c r="N482" s="170"/>
      <c r="O482" s="211">
        <f t="shared" si="160"/>
        <v>21043.52</v>
      </c>
      <c r="P482" s="171"/>
      <c r="Q482" s="299">
        <f t="shared" si="161"/>
        <v>21043.52</v>
      </c>
    </row>
    <row r="483" spans="1:17" ht="13.5" thickBot="1">
      <c r="A483" s="325" t="s">
        <v>179</v>
      </c>
      <c r="B483" s="309">
        <v>1239</v>
      </c>
      <c r="C483" s="310"/>
      <c r="D483" s="311">
        <f>6600+1000+6344.2</f>
        <v>13944.2</v>
      </c>
      <c r="E483" s="312"/>
      <c r="F483" s="313">
        <f t="shared" si="157"/>
        <v>13944.2</v>
      </c>
      <c r="G483" s="314">
        <f>3000-710+2</f>
        <v>2292</v>
      </c>
      <c r="H483" s="315">
        <f>-2106</f>
        <v>-2106</v>
      </c>
      <c r="I483" s="316">
        <f t="shared" si="158"/>
        <v>14130.2</v>
      </c>
      <c r="J483" s="314">
        <f>-4752+18.99+3000</f>
        <v>-1733.0100000000002</v>
      </c>
      <c r="K483" s="317">
        <f>50</f>
        <v>50</v>
      </c>
      <c r="L483" s="318">
        <f t="shared" si="159"/>
        <v>12447.19</v>
      </c>
      <c r="M483" s="321">
        <f>6.89</f>
        <v>6.89</v>
      </c>
      <c r="N483" s="315"/>
      <c r="O483" s="316">
        <f t="shared" si="160"/>
        <v>12454.08</v>
      </c>
      <c r="P483" s="302"/>
      <c r="Q483" s="303">
        <f t="shared" si="161"/>
        <v>12454.08</v>
      </c>
    </row>
    <row r="484" spans="1:17" ht="12.75">
      <c r="A484" s="13" t="s">
        <v>200</v>
      </c>
      <c r="B484" s="54">
        <v>1300</v>
      </c>
      <c r="C484" s="88"/>
      <c r="D484" s="69">
        <f>6950-350+4752.63+700</f>
        <v>12052.630000000001</v>
      </c>
      <c r="E484" s="89">
        <f>1912+250</f>
        <v>2162</v>
      </c>
      <c r="F484" s="135">
        <f t="shared" si="157"/>
        <v>14214.630000000001</v>
      </c>
      <c r="G484" s="169"/>
      <c r="H484" s="170">
        <f>10385+800+200</f>
        <v>11385</v>
      </c>
      <c r="I484" s="211">
        <f t="shared" si="158"/>
        <v>25599.63</v>
      </c>
      <c r="J484" s="169"/>
      <c r="K484" s="229">
        <f>1000+822+1400+450-1650</f>
        <v>2022</v>
      </c>
      <c r="L484" s="261">
        <f t="shared" si="159"/>
        <v>27621.63</v>
      </c>
      <c r="M484" s="243"/>
      <c r="N484" s="170">
        <f>500+2750+2320</f>
        <v>5570</v>
      </c>
      <c r="O484" s="211">
        <f t="shared" si="160"/>
        <v>33191.630000000005</v>
      </c>
      <c r="P484" s="171"/>
      <c r="Q484" s="299">
        <f t="shared" si="161"/>
        <v>33191.630000000005</v>
      </c>
    </row>
    <row r="485" spans="1:17" ht="12.75">
      <c r="A485" s="13" t="s">
        <v>180</v>
      </c>
      <c r="B485" s="54">
        <v>1110</v>
      </c>
      <c r="C485" s="88"/>
      <c r="D485" s="69">
        <f>12000+2245.17</f>
        <v>14245.17</v>
      </c>
      <c r="E485" s="89"/>
      <c r="F485" s="135">
        <f t="shared" si="157"/>
        <v>14245.17</v>
      </c>
      <c r="G485" s="169">
        <f>-9143.6</f>
        <v>-9143.6</v>
      </c>
      <c r="H485" s="170"/>
      <c r="I485" s="211">
        <f t="shared" si="158"/>
        <v>5101.57</v>
      </c>
      <c r="J485" s="169">
        <f>6</f>
        <v>6</v>
      </c>
      <c r="K485" s="229"/>
      <c r="L485" s="261">
        <f t="shared" si="159"/>
        <v>5107.57</v>
      </c>
      <c r="M485" s="243">
        <f>-150+69.81</f>
        <v>-80.19</v>
      </c>
      <c r="N485" s="170"/>
      <c r="O485" s="211">
        <f t="shared" si="160"/>
        <v>5027.38</v>
      </c>
      <c r="P485" s="171"/>
      <c r="Q485" s="299">
        <f t="shared" si="161"/>
        <v>5027.38</v>
      </c>
    </row>
    <row r="486" spans="1:17" ht="12.75">
      <c r="A486" s="13" t="s">
        <v>99</v>
      </c>
      <c r="B486" s="54">
        <v>2148</v>
      </c>
      <c r="C486" s="88">
        <v>85200</v>
      </c>
      <c r="D486" s="69">
        <f>-84402</f>
        <v>-84402</v>
      </c>
      <c r="E486" s="89"/>
      <c r="F486" s="135">
        <f t="shared" si="157"/>
        <v>798</v>
      </c>
      <c r="G486" s="169"/>
      <c r="H486" s="170">
        <f>-798</f>
        <v>-798</v>
      </c>
      <c r="I486" s="211">
        <f t="shared" si="158"/>
        <v>0</v>
      </c>
      <c r="J486" s="169"/>
      <c r="K486" s="229"/>
      <c r="L486" s="261">
        <f t="shared" si="159"/>
        <v>0</v>
      </c>
      <c r="M486" s="243"/>
      <c r="N486" s="170"/>
      <c r="O486" s="211">
        <f t="shared" si="160"/>
        <v>0</v>
      </c>
      <c r="P486" s="171"/>
      <c r="Q486" s="299">
        <f t="shared" si="161"/>
        <v>0</v>
      </c>
    </row>
    <row r="487" spans="1:17" ht="12.75">
      <c r="A487" s="13" t="s">
        <v>310</v>
      </c>
      <c r="B487" s="54"/>
      <c r="C487" s="88">
        <v>2</v>
      </c>
      <c r="D487" s="69">
        <f>1586.97</f>
        <v>1586.97</v>
      </c>
      <c r="E487" s="89"/>
      <c r="F487" s="135">
        <f t="shared" si="157"/>
        <v>1588.97</v>
      </c>
      <c r="G487" s="169">
        <f>-1500</f>
        <v>-1500</v>
      </c>
      <c r="H487" s="170">
        <f>-2+20.53</f>
        <v>18.53</v>
      </c>
      <c r="I487" s="211">
        <f t="shared" si="158"/>
        <v>107.50000000000003</v>
      </c>
      <c r="J487" s="169"/>
      <c r="K487" s="229"/>
      <c r="L487" s="261">
        <f t="shared" si="159"/>
        <v>107.50000000000003</v>
      </c>
      <c r="M487" s="243"/>
      <c r="N487" s="170"/>
      <c r="O487" s="211">
        <f t="shared" si="160"/>
        <v>107.50000000000003</v>
      </c>
      <c r="P487" s="171"/>
      <c r="Q487" s="299">
        <f t="shared" si="161"/>
        <v>107.50000000000003</v>
      </c>
    </row>
    <row r="488" spans="1:17" ht="12.75">
      <c r="A488" s="19" t="s">
        <v>53</v>
      </c>
      <c r="B488" s="58"/>
      <c r="C488" s="107">
        <f>SUM(C490:C497)</f>
        <v>0</v>
      </c>
      <c r="D488" s="73">
        <f aca="true" t="shared" si="162" ref="D488:Q488">SUM(D490:D497)</f>
        <v>59200</v>
      </c>
      <c r="E488" s="123">
        <f t="shared" si="162"/>
        <v>1351.5</v>
      </c>
      <c r="F488" s="139">
        <f t="shared" si="162"/>
        <v>60551.5</v>
      </c>
      <c r="G488" s="177">
        <f t="shared" si="162"/>
        <v>26981.97</v>
      </c>
      <c r="H488" s="178">
        <f t="shared" si="162"/>
        <v>17046</v>
      </c>
      <c r="I488" s="214">
        <f t="shared" si="162"/>
        <v>104579.47</v>
      </c>
      <c r="J488" s="177">
        <f t="shared" si="162"/>
        <v>9337.029999999999</v>
      </c>
      <c r="K488" s="218">
        <f t="shared" si="162"/>
        <v>14778.79</v>
      </c>
      <c r="L488" s="264">
        <f t="shared" si="162"/>
        <v>128695.29000000001</v>
      </c>
      <c r="M488" s="218">
        <f t="shared" si="162"/>
        <v>7409.53</v>
      </c>
      <c r="N488" s="178">
        <f t="shared" si="162"/>
        <v>12900</v>
      </c>
      <c r="O488" s="214">
        <f t="shared" si="162"/>
        <v>149004.82</v>
      </c>
      <c r="P488" s="177">
        <f t="shared" si="162"/>
        <v>0</v>
      </c>
      <c r="Q488" s="214">
        <f t="shared" si="162"/>
        <v>149004.82</v>
      </c>
    </row>
    <row r="489" spans="1:17" ht="12.75">
      <c r="A489" s="15" t="s">
        <v>26</v>
      </c>
      <c r="B489" s="54"/>
      <c r="C489" s="88"/>
      <c r="D489" s="69"/>
      <c r="E489" s="89"/>
      <c r="F489" s="135"/>
      <c r="G489" s="169"/>
      <c r="H489" s="170"/>
      <c r="I489" s="211"/>
      <c r="J489" s="169"/>
      <c r="K489" s="229"/>
      <c r="L489" s="261"/>
      <c r="M489" s="243"/>
      <c r="N489" s="170"/>
      <c r="O489" s="211"/>
      <c r="P489" s="171"/>
      <c r="Q489" s="299"/>
    </row>
    <row r="490" spans="1:17" ht="12.75">
      <c r="A490" s="17" t="s">
        <v>271</v>
      </c>
      <c r="B490" s="54">
        <v>1207</v>
      </c>
      <c r="C490" s="88"/>
      <c r="D490" s="69">
        <f>2400</f>
        <v>2400</v>
      </c>
      <c r="E490" s="89"/>
      <c r="F490" s="135">
        <f aca="true" t="shared" si="163" ref="F490:F497">C490+D490+E490</f>
        <v>2400</v>
      </c>
      <c r="G490" s="169"/>
      <c r="H490" s="170"/>
      <c r="I490" s="211">
        <f aca="true" t="shared" si="164" ref="I490:I497">F490+G490+H490</f>
        <v>2400</v>
      </c>
      <c r="J490" s="169"/>
      <c r="K490" s="229"/>
      <c r="L490" s="261">
        <f aca="true" t="shared" si="165" ref="L490:L497">I490+J490+K490</f>
        <v>2400</v>
      </c>
      <c r="M490" s="243"/>
      <c r="N490" s="170"/>
      <c r="O490" s="211">
        <f aca="true" t="shared" si="166" ref="O490:O497">L490+M490+N490</f>
        <v>2400</v>
      </c>
      <c r="P490" s="171"/>
      <c r="Q490" s="299">
        <f aca="true" t="shared" si="167" ref="Q490:Q497">O490+P490</f>
        <v>2400</v>
      </c>
    </row>
    <row r="491" spans="1:17" ht="12.75" hidden="1">
      <c r="A491" s="17" t="s">
        <v>292</v>
      </c>
      <c r="B491" s="54">
        <v>1214</v>
      </c>
      <c r="C491" s="88"/>
      <c r="D491" s="69"/>
      <c r="E491" s="89"/>
      <c r="F491" s="135">
        <f t="shared" si="163"/>
        <v>0</v>
      </c>
      <c r="G491" s="169"/>
      <c r="H491" s="170"/>
      <c r="I491" s="211">
        <f t="shared" si="164"/>
        <v>0</v>
      </c>
      <c r="J491" s="169"/>
      <c r="K491" s="229"/>
      <c r="L491" s="261">
        <f t="shared" si="165"/>
        <v>0</v>
      </c>
      <c r="M491" s="243"/>
      <c r="N491" s="170"/>
      <c r="O491" s="211">
        <f t="shared" si="166"/>
        <v>0</v>
      </c>
      <c r="P491" s="171"/>
      <c r="Q491" s="299">
        <f t="shared" si="167"/>
        <v>0</v>
      </c>
    </row>
    <row r="492" spans="1:17" ht="12.75">
      <c r="A492" s="17" t="s">
        <v>272</v>
      </c>
      <c r="B492" s="54">
        <v>1209</v>
      </c>
      <c r="C492" s="88"/>
      <c r="D492" s="69">
        <f>600</f>
        <v>600</v>
      </c>
      <c r="E492" s="89"/>
      <c r="F492" s="135">
        <f t="shared" si="163"/>
        <v>600</v>
      </c>
      <c r="G492" s="169"/>
      <c r="H492" s="170"/>
      <c r="I492" s="211">
        <f t="shared" si="164"/>
        <v>600</v>
      </c>
      <c r="J492" s="169"/>
      <c r="K492" s="229"/>
      <c r="L492" s="261">
        <f t="shared" si="165"/>
        <v>600</v>
      </c>
      <c r="M492" s="243"/>
      <c r="N492" s="170"/>
      <c r="O492" s="211">
        <f t="shared" si="166"/>
        <v>600</v>
      </c>
      <c r="P492" s="171"/>
      <c r="Q492" s="299">
        <f t="shared" si="167"/>
        <v>600</v>
      </c>
    </row>
    <row r="493" spans="1:17" ht="12.75">
      <c r="A493" s="13" t="s">
        <v>273</v>
      </c>
      <c r="B493" s="54">
        <v>1202</v>
      </c>
      <c r="C493" s="88"/>
      <c r="D493" s="69"/>
      <c r="E493" s="89">
        <f>1106.5</f>
        <v>1106.5</v>
      </c>
      <c r="F493" s="135">
        <f t="shared" si="163"/>
        <v>1106.5</v>
      </c>
      <c r="G493" s="169"/>
      <c r="H493" s="170"/>
      <c r="I493" s="211">
        <f t="shared" si="164"/>
        <v>1106.5</v>
      </c>
      <c r="J493" s="169"/>
      <c r="K493" s="229"/>
      <c r="L493" s="261">
        <f t="shared" si="165"/>
        <v>1106.5</v>
      </c>
      <c r="M493" s="243">
        <f>5.12</f>
        <v>5.12</v>
      </c>
      <c r="N493" s="170"/>
      <c r="O493" s="211">
        <f t="shared" si="166"/>
        <v>1111.62</v>
      </c>
      <c r="P493" s="171"/>
      <c r="Q493" s="299">
        <f t="shared" si="167"/>
        <v>1111.62</v>
      </c>
    </row>
    <row r="494" spans="1:17" ht="12.75">
      <c r="A494" s="13" t="s">
        <v>294</v>
      </c>
      <c r="B494" s="54">
        <v>1216</v>
      </c>
      <c r="C494" s="88"/>
      <c r="D494" s="69"/>
      <c r="E494" s="89">
        <f>395</f>
        <v>395</v>
      </c>
      <c r="F494" s="135">
        <f t="shared" si="163"/>
        <v>395</v>
      </c>
      <c r="G494" s="169"/>
      <c r="H494" s="170"/>
      <c r="I494" s="211">
        <f t="shared" si="164"/>
        <v>395</v>
      </c>
      <c r="J494" s="169"/>
      <c r="K494" s="229"/>
      <c r="L494" s="261">
        <f t="shared" si="165"/>
        <v>395</v>
      </c>
      <c r="M494" s="243"/>
      <c r="N494" s="170"/>
      <c r="O494" s="211">
        <f t="shared" si="166"/>
        <v>395</v>
      </c>
      <c r="P494" s="171"/>
      <c r="Q494" s="299">
        <f t="shared" si="167"/>
        <v>395</v>
      </c>
    </row>
    <row r="495" spans="1:17" ht="12.75">
      <c r="A495" s="13" t="s">
        <v>299</v>
      </c>
      <c r="B495" s="54">
        <v>1239</v>
      </c>
      <c r="C495" s="88"/>
      <c r="D495" s="69">
        <f>18850+1000+6000+8500</f>
        <v>34350</v>
      </c>
      <c r="E495" s="89"/>
      <c r="F495" s="135">
        <f t="shared" si="163"/>
        <v>34350</v>
      </c>
      <c r="G495" s="169">
        <f>98.04</f>
        <v>98.04</v>
      </c>
      <c r="H495" s="170"/>
      <c r="I495" s="211">
        <f t="shared" si="164"/>
        <v>34448.04</v>
      </c>
      <c r="J495" s="169">
        <f>4752+75.03</f>
        <v>4827.03</v>
      </c>
      <c r="K495" s="229">
        <f>-50</f>
        <v>-50</v>
      </c>
      <c r="L495" s="261">
        <f t="shared" si="165"/>
        <v>39225.07</v>
      </c>
      <c r="M495" s="243">
        <f>4457.36</f>
        <v>4457.36</v>
      </c>
      <c r="N495" s="170"/>
      <c r="O495" s="211">
        <f t="shared" si="166"/>
        <v>43682.43</v>
      </c>
      <c r="P495" s="171"/>
      <c r="Q495" s="299">
        <f t="shared" si="167"/>
        <v>43682.43</v>
      </c>
    </row>
    <row r="496" spans="1:17" ht="12.75">
      <c r="A496" s="17" t="s">
        <v>274</v>
      </c>
      <c r="B496" s="54">
        <v>1300</v>
      </c>
      <c r="C496" s="88"/>
      <c r="D496" s="69">
        <f>350+500+10000</f>
        <v>10850</v>
      </c>
      <c r="E496" s="89">
        <f>100-250</f>
        <v>-150</v>
      </c>
      <c r="F496" s="135">
        <f t="shared" si="163"/>
        <v>10700</v>
      </c>
      <c r="G496" s="169">
        <f>12000+490+292.5</f>
        <v>12782.5</v>
      </c>
      <c r="H496" s="170">
        <f>12140+2106+1600+1200</f>
        <v>17046</v>
      </c>
      <c r="I496" s="211">
        <f t="shared" si="164"/>
        <v>40528.5</v>
      </c>
      <c r="J496" s="169">
        <f>-490+5000</f>
        <v>4510</v>
      </c>
      <c r="K496" s="229">
        <f>2000+11178.79+1650</f>
        <v>14828.79</v>
      </c>
      <c r="L496" s="261">
        <f t="shared" si="165"/>
        <v>59867.29</v>
      </c>
      <c r="M496" s="243">
        <f>2000+659.83</f>
        <v>2659.83</v>
      </c>
      <c r="N496" s="170">
        <f>11400+1500</f>
        <v>12900</v>
      </c>
      <c r="O496" s="211">
        <f t="shared" si="166"/>
        <v>75427.12</v>
      </c>
      <c r="P496" s="171"/>
      <c r="Q496" s="299">
        <f t="shared" si="167"/>
        <v>75427.12</v>
      </c>
    </row>
    <row r="497" spans="1:17" ht="12.75">
      <c r="A497" s="16" t="s">
        <v>293</v>
      </c>
      <c r="B497" s="57">
        <v>1110</v>
      </c>
      <c r="C497" s="304"/>
      <c r="D497" s="74">
        <f>11000</f>
        <v>11000</v>
      </c>
      <c r="E497" s="155"/>
      <c r="F497" s="164">
        <f t="shared" si="163"/>
        <v>11000</v>
      </c>
      <c r="G497" s="181">
        <f>232+13853.6+15.83</f>
        <v>14101.43</v>
      </c>
      <c r="H497" s="182"/>
      <c r="I497" s="216">
        <f t="shared" si="164"/>
        <v>25101.43</v>
      </c>
      <c r="J497" s="181"/>
      <c r="K497" s="254"/>
      <c r="L497" s="266">
        <f t="shared" si="165"/>
        <v>25101.43</v>
      </c>
      <c r="M497" s="240">
        <f>150+137.22</f>
        <v>287.22</v>
      </c>
      <c r="N497" s="182"/>
      <c r="O497" s="216">
        <f t="shared" si="166"/>
        <v>25388.65</v>
      </c>
      <c r="P497" s="296"/>
      <c r="Q497" s="295">
        <f t="shared" si="167"/>
        <v>25388.65</v>
      </c>
    </row>
    <row r="498" spans="1:17" ht="12.75">
      <c r="A498" s="10" t="s">
        <v>137</v>
      </c>
      <c r="B498" s="58"/>
      <c r="C498" s="94">
        <f aca="true" t="shared" si="168" ref="C498:Q498">C499</f>
        <v>1</v>
      </c>
      <c r="D498" s="68">
        <f t="shared" si="168"/>
        <v>2375.18</v>
      </c>
      <c r="E498" s="95">
        <f t="shared" si="168"/>
        <v>0</v>
      </c>
      <c r="F498" s="134">
        <f t="shared" si="168"/>
        <v>2376.18</v>
      </c>
      <c r="G498" s="167">
        <f t="shared" si="168"/>
        <v>0</v>
      </c>
      <c r="H498" s="168">
        <f t="shared" si="168"/>
        <v>0</v>
      </c>
      <c r="I498" s="210">
        <f t="shared" si="168"/>
        <v>2376.18</v>
      </c>
      <c r="J498" s="167">
        <f t="shared" si="168"/>
        <v>0</v>
      </c>
      <c r="K498" s="228">
        <f t="shared" si="168"/>
        <v>0</v>
      </c>
      <c r="L498" s="260">
        <f t="shared" si="168"/>
        <v>2376.18</v>
      </c>
      <c r="M498" s="228">
        <f t="shared" si="168"/>
        <v>0</v>
      </c>
      <c r="N498" s="168">
        <f t="shared" si="168"/>
        <v>0</v>
      </c>
      <c r="O498" s="210">
        <f t="shared" si="168"/>
        <v>2376.18</v>
      </c>
      <c r="P498" s="167">
        <f t="shared" si="168"/>
        <v>0</v>
      </c>
      <c r="Q498" s="210">
        <f t="shared" si="168"/>
        <v>2376.18</v>
      </c>
    </row>
    <row r="499" spans="1:17" ht="12.75">
      <c r="A499" s="19" t="s">
        <v>48</v>
      </c>
      <c r="B499" s="58"/>
      <c r="C499" s="107">
        <f>C501</f>
        <v>1</v>
      </c>
      <c r="D499" s="73">
        <f aca="true" t="shared" si="169" ref="D499:O499">D501</f>
        <v>2375.18</v>
      </c>
      <c r="E499" s="123">
        <f t="shared" si="169"/>
        <v>0</v>
      </c>
      <c r="F499" s="139">
        <f t="shared" si="169"/>
        <v>2376.18</v>
      </c>
      <c r="G499" s="177">
        <f t="shared" si="169"/>
        <v>0</v>
      </c>
      <c r="H499" s="178">
        <f t="shared" si="169"/>
        <v>0</v>
      </c>
      <c r="I499" s="214">
        <f t="shared" si="169"/>
        <v>2376.18</v>
      </c>
      <c r="J499" s="177">
        <f t="shared" si="169"/>
        <v>0</v>
      </c>
      <c r="K499" s="218">
        <f t="shared" si="169"/>
        <v>0</v>
      </c>
      <c r="L499" s="264">
        <f t="shared" si="169"/>
        <v>2376.18</v>
      </c>
      <c r="M499" s="218">
        <f t="shared" si="169"/>
        <v>0</v>
      </c>
      <c r="N499" s="178">
        <f t="shared" si="169"/>
        <v>0</v>
      </c>
      <c r="O499" s="214">
        <f t="shared" si="169"/>
        <v>2376.18</v>
      </c>
      <c r="P499" s="177">
        <f>P501</f>
        <v>0</v>
      </c>
      <c r="Q499" s="214">
        <f>Q501</f>
        <v>2376.18</v>
      </c>
    </row>
    <row r="500" spans="1:17" ht="12.75">
      <c r="A500" s="15" t="s">
        <v>26</v>
      </c>
      <c r="B500" s="54"/>
      <c r="C500" s="88"/>
      <c r="D500" s="69"/>
      <c r="E500" s="89"/>
      <c r="F500" s="135"/>
      <c r="G500" s="169"/>
      <c r="H500" s="170"/>
      <c r="I500" s="211"/>
      <c r="J500" s="169"/>
      <c r="K500" s="229"/>
      <c r="L500" s="261"/>
      <c r="M500" s="243"/>
      <c r="N500" s="170"/>
      <c r="O500" s="211"/>
      <c r="P500" s="171"/>
      <c r="Q500" s="299"/>
    </row>
    <row r="501" spans="1:17" ht="12.75">
      <c r="A501" s="150" t="s">
        <v>50</v>
      </c>
      <c r="B501" s="151"/>
      <c r="C501" s="152">
        <v>1</v>
      </c>
      <c r="D501" s="74">
        <f>2375.18</f>
        <v>2375.18</v>
      </c>
      <c r="E501" s="158"/>
      <c r="F501" s="164">
        <f>C501+D501+E501</f>
        <v>2376.18</v>
      </c>
      <c r="G501" s="181"/>
      <c r="H501" s="182"/>
      <c r="I501" s="216">
        <f>F501+G501+H501</f>
        <v>2376.18</v>
      </c>
      <c r="J501" s="181"/>
      <c r="K501" s="254"/>
      <c r="L501" s="266">
        <f>I501+J501+K501</f>
        <v>2376.18</v>
      </c>
      <c r="M501" s="240"/>
      <c r="N501" s="182"/>
      <c r="O501" s="216">
        <f>L501+M501+N501</f>
        <v>2376.18</v>
      </c>
      <c r="P501" s="296"/>
      <c r="Q501" s="295">
        <f>O501+P501</f>
        <v>2376.18</v>
      </c>
    </row>
    <row r="502" spans="1:17" ht="12.75">
      <c r="A502" s="10" t="s">
        <v>95</v>
      </c>
      <c r="B502" s="58"/>
      <c r="C502" s="94">
        <f>C504+C505</f>
        <v>339541.5</v>
      </c>
      <c r="D502" s="68">
        <f aca="true" t="shared" si="170" ref="D502:L502">D504+D505</f>
        <v>399611.69</v>
      </c>
      <c r="E502" s="95">
        <f t="shared" si="170"/>
        <v>0</v>
      </c>
      <c r="F502" s="134">
        <f t="shared" si="170"/>
        <v>739153.1900000001</v>
      </c>
      <c r="G502" s="167">
        <f t="shared" si="170"/>
        <v>-4781.290000000003</v>
      </c>
      <c r="H502" s="168">
        <f t="shared" si="170"/>
        <v>0</v>
      </c>
      <c r="I502" s="210">
        <f t="shared" si="170"/>
        <v>734371.8999999999</v>
      </c>
      <c r="J502" s="167">
        <f t="shared" si="170"/>
        <v>75432.4</v>
      </c>
      <c r="K502" s="228">
        <f t="shared" si="170"/>
        <v>0</v>
      </c>
      <c r="L502" s="260">
        <f t="shared" si="170"/>
        <v>809804.3</v>
      </c>
      <c r="M502" s="228">
        <f>M504+M505</f>
        <v>2459.6399999999994</v>
      </c>
      <c r="N502" s="168">
        <f>N504+N505</f>
        <v>0</v>
      </c>
      <c r="O502" s="210">
        <f>O504+O505</f>
        <v>812263.94</v>
      </c>
      <c r="P502" s="167">
        <f>P504+P505</f>
        <v>0</v>
      </c>
      <c r="Q502" s="210">
        <f>Q504+Q505</f>
        <v>812263.94</v>
      </c>
    </row>
    <row r="503" spans="1:17" ht="12.75">
      <c r="A503" s="12" t="s">
        <v>26</v>
      </c>
      <c r="B503" s="54"/>
      <c r="C503" s="94"/>
      <c r="D503" s="68"/>
      <c r="E503" s="95"/>
      <c r="F503" s="134"/>
      <c r="G503" s="167"/>
      <c r="H503" s="168"/>
      <c r="I503" s="210"/>
      <c r="J503" s="167"/>
      <c r="K503" s="228"/>
      <c r="L503" s="260"/>
      <c r="M503" s="228"/>
      <c r="N503" s="168"/>
      <c r="O503" s="210"/>
      <c r="P503" s="167"/>
      <c r="Q503" s="210"/>
    </row>
    <row r="504" spans="1:17" ht="12.75">
      <c r="A504" s="10" t="s">
        <v>48</v>
      </c>
      <c r="B504" s="58"/>
      <c r="C504" s="84">
        <f>C511+C513+C525+C527+C532+C544+C528+C518+C546+C520+C550+C534</f>
        <v>22321</v>
      </c>
      <c r="D504" s="84">
        <f aca="true" t="shared" si="171" ref="D504:L504">D511+D513+D525+D527+D532+D544+D528+D518+D546+D520+D550+D534</f>
        <v>57107.73</v>
      </c>
      <c r="E504" s="84">
        <f t="shared" si="171"/>
        <v>0</v>
      </c>
      <c r="F504" s="84">
        <f t="shared" si="171"/>
        <v>79428.73</v>
      </c>
      <c r="G504" s="84">
        <f t="shared" si="171"/>
        <v>10923.03</v>
      </c>
      <c r="H504" s="84">
        <f t="shared" si="171"/>
        <v>0</v>
      </c>
      <c r="I504" s="245">
        <f t="shared" si="171"/>
        <v>90351.76000000001</v>
      </c>
      <c r="J504" s="284">
        <f t="shared" si="171"/>
        <v>36705.44</v>
      </c>
      <c r="K504" s="230">
        <f t="shared" si="171"/>
        <v>0</v>
      </c>
      <c r="L504" s="137">
        <f t="shared" si="171"/>
        <v>127057.20000000001</v>
      </c>
      <c r="M504" s="230">
        <f>M511+M513+M525+M527+M532+M544+M528+M518+M546+M520+M550+M534</f>
        <v>-6648.5</v>
      </c>
      <c r="N504" s="174">
        <f>N511+N513+N525+N527+N532+N544+N528+N518+N546+N520+N550+N534</f>
        <v>0</v>
      </c>
      <c r="O504" s="212">
        <f>O511+O513+O525+O527+O532+O544+O528+O518+O546+O520+O550+O534</f>
        <v>120408.70000000001</v>
      </c>
      <c r="P504" s="173">
        <f>P511+P513+P525+P527+P532+P544+P528+P518+P546+P520+P550+P534</f>
        <v>519.44</v>
      </c>
      <c r="Q504" s="212">
        <f>Q511+Q513+Q525+Q527+Q532+Q544+Q528+Q518+Q546+Q520+Q550+Q534</f>
        <v>120928.14</v>
      </c>
    </row>
    <row r="505" spans="1:17" ht="12.75">
      <c r="A505" s="10" t="s">
        <v>53</v>
      </c>
      <c r="B505" s="58"/>
      <c r="C505" s="84">
        <f aca="true" t="shared" si="172" ref="C505:L505">+C508+C509+C510+C514+C515+C517+C519+C521+C523+C524+C526+C529+C531+C533+C535+C537+C538+C540+C541+C543+C545+C547+C549</f>
        <v>317220.5</v>
      </c>
      <c r="D505" s="84">
        <f t="shared" si="172"/>
        <v>342503.96</v>
      </c>
      <c r="E505" s="84">
        <f t="shared" si="172"/>
        <v>0</v>
      </c>
      <c r="F505" s="84">
        <f t="shared" si="172"/>
        <v>659724.4600000001</v>
      </c>
      <c r="G505" s="84">
        <f t="shared" si="172"/>
        <v>-15704.320000000003</v>
      </c>
      <c r="H505" s="84">
        <f t="shared" si="172"/>
        <v>0</v>
      </c>
      <c r="I505" s="245">
        <f>+I508+I509+I510+I514+I515+I517+I519+I521+I523+I524+I526+I529+I531+I533+I535+I537+I538+I540+I541+I543+I545+I547+I549</f>
        <v>644020.1399999999</v>
      </c>
      <c r="J505" s="284">
        <f t="shared" si="172"/>
        <v>38726.96</v>
      </c>
      <c r="K505" s="230">
        <f t="shared" si="172"/>
        <v>0</v>
      </c>
      <c r="L505" s="137">
        <f t="shared" si="172"/>
        <v>682747.1000000001</v>
      </c>
      <c r="M505" s="230">
        <f>+M508+M509+M510+M514+M515+M517+M519+M521+M523+M524+M526+M529+M531+M533+M535+M537+M538+M540+M541+M543+M545+M547+M549</f>
        <v>9108.14</v>
      </c>
      <c r="N505" s="174">
        <f>+N508+N509+N510+N514+N515+N517+N519+N521+N523+N524+N526+N529+N531+N533+N535+N537+N538+N540+N541+N543+N545+N547+N549</f>
        <v>0</v>
      </c>
      <c r="O505" s="212">
        <f>+O508+O509+O510+O514+O515+O517+O519+O521+O523+O524+O526+O529+O531+O533+O535+O537+O538+O540+O541+O543+O545+O547+O549</f>
        <v>691855.2399999999</v>
      </c>
      <c r="P505" s="173">
        <f>+P508+P509+P510+P514+P515+P517+P519+P521+P523+P524+P526+P529+P531+P533+P535+P537+P538+P540+P541+P543+P545+P547+P549</f>
        <v>-519.44</v>
      </c>
      <c r="Q505" s="212">
        <f>+Q508+Q509+Q510+Q514+Q515+Q517+Q519+Q521+Q523+Q524+Q526+Q529+Q531+Q533+Q535+Q537+Q538+Q540+Q541+Q543+Q545+Q547+Q549</f>
        <v>691335.7999999999</v>
      </c>
    </row>
    <row r="506" spans="1:17" ht="12.75">
      <c r="A506" s="11" t="s">
        <v>96</v>
      </c>
      <c r="B506" s="54"/>
      <c r="C506" s="94"/>
      <c r="D506" s="68"/>
      <c r="E506" s="95"/>
      <c r="F506" s="134"/>
      <c r="G506" s="167"/>
      <c r="H506" s="168"/>
      <c r="I506" s="210"/>
      <c r="J506" s="167"/>
      <c r="K506" s="228"/>
      <c r="L506" s="260"/>
      <c r="M506" s="241"/>
      <c r="N506" s="168"/>
      <c r="O506" s="210"/>
      <c r="P506" s="171"/>
      <c r="Q506" s="299"/>
    </row>
    <row r="507" spans="1:17" ht="12.75">
      <c r="A507" s="12" t="s">
        <v>100</v>
      </c>
      <c r="B507" s="54">
        <v>10</v>
      </c>
      <c r="C507" s="88">
        <f>SUM(C508:C511)</f>
        <v>40000</v>
      </c>
      <c r="D507" s="69">
        <f aca="true" t="shared" si="173" ref="D507:Q507">SUM(D508:D511)</f>
        <v>43411.66</v>
      </c>
      <c r="E507" s="89">
        <f t="shared" si="173"/>
        <v>0</v>
      </c>
      <c r="F507" s="135">
        <f t="shared" si="173"/>
        <v>83411.66</v>
      </c>
      <c r="G507" s="169">
        <f t="shared" si="173"/>
        <v>20000</v>
      </c>
      <c r="H507" s="170">
        <f t="shared" si="173"/>
        <v>0</v>
      </c>
      <c r="I507" s="211">
        <f t="shared" si="173"/>
        <v>103411.66</v>
      </c>
      <c r="J507" s="169">
        <f t="shared" si="173"/>
        <v>13000</v>
      </c>
      <c r="K507" s="229">
        <f t="shared" si="173"/>
        <v>0</v>
      </c>
      <c r="L507" s="261">
        <f t="shared" si="173"/>
        <v>116411.66</v>
      </c>
      <c r="M507" s="229">
        <f t="shared" si="173"/>
        <v>0</v>
      </c>
      <c r="N507" s="170">
        <f t="shared" si="173"/>
        <v>0</v>
      </c>
      <c r="O507" s="211">
        <f t="shared" si="173"/>
        <v>116411.66</v>
      </c>
      <c r="P507" s="169">
        <f t="shared" si="173"/>
        <v>0</v>
      </c>
      <c r="Q507" s="211">
        <f t="shared" si="173"/>
        <v>116411.66</v>
      </c>
    </row>
    <row r="508" spans="1:17" ht="12.75" hidden="1">
      <c r="A508" s="12" t="s">
        <v>101</v>
      </c>
      <c r="B508" s="54"/>
      <c r="C508" s="88"/>
      <c r="D508" s="69"/>
      <c r="E508" s="89"/>
      <c r="F508" s="135">
        <f aca="true" t="shared" si="174" ref="F508:F553">C508+D508+E508</f>
        <v>0</v>
      </c>
      <c r="G508" s="169"/>
      <c r="H508" s="170"/>
      <c r="I508" s="211">
        <f>F508+G508+H508</f>
        <v>0</v>
      </c>
      <c r="J508" s="169"/>
      <c r="K508" s="229"/>
      <c r="L508" s="261">
        <f>I508+J508+K508</f>
        <v>0</v>
      </c>
      <c r="M508" s="243"/>
      <c r="N508" s="170"/>
      <c r="O508" s="211">
        <f>L508+M508+N508</f>
        <v>0</v>
      </c>
      <c r="P508" s="171"/>
      <c r="Q508" s="299">
        <f>O508+P508</f>
        <v>0</v>
      </c>
    </row>
    <row r="509" spans="1:17" ht="12.75">
      <c r="A509" s="55" t="s">
        <v>98</v>
      </c>
      <c r="B509" s="54"/>
      <c r="C509" s="88">
        <v>38000</v>
      </c>
      <c r="D509" s="76">
        <f>14238.57+5000</f>
        <v>19238.57</v>
      </c>
      <c r="E509" s="102"/>
      <c r="F509" s="135">
        <f t="shared" si="174"/>
        <v>57238.57</v>
      </c>
      <c r="G509" s="169">
        <f>20000</f>
        <v>20000</v>
      </c>
      <c r="H509" s="170"/>
      <c r="I509" s="211">
        <f>F509+G509+H509</f>
        <v>77238.57</v>
      </c>
      <c r="J509" s="169">
        <f>-10000</f>
        <v>-10000</v>
      </c>
      <c r="K509" s="229"/>
      <c r="L509" s="261">
        <f>I509+J509+K509</f>
        <v>67238.57</v>
      </c>
      <c r="M509" s="243">
        <f>18000</f>
        <v>18000</v>
      </c>
      <c r="N509" s="170"/>
      <c r="O509" s="211">
        <f>L509+M509+N509</f>
        <v>85238.57</v>
      </c>
      <c r="P509" s="171"/>
      <c r="Q509" s="299">
        <f>O509+P509</f>
        <v>85238.57</v>
      </c>
    </row>
    <row r="510" spans="1:17" ht="12.75">
      <c r="A510" s="12" t="s">
        <v>99</v>
      </c>
      <c r="B510" s="54"/>
      <c r="C510" s="88"/>
      <c r="D510" s="69">
        <f>389.8</f>
        <v>389.8</v>
      </c>
      <c r="E510" s="89"/>
      <c r="F510" s="135">
        <f t="shared" si="174"/>
        <v>389.8</v>
      </c>
      <c r="G510" s="169"/>
      <c r="H510" s="170"/>
      <c r="I510" s="211">
        <f>F510+G510+H510</f>
        <v>389.8</v>
      </c>
      <c r="J510" s="169"/>
      <c r="K510" s="229"/>
      <c r="L510" s="261">
        <f>I510+J510+K510</f>
        <v>389.8</v>
      </c>
      <c r="M510" s="243"/>
      <c r="N510" s="170"/>
      <c r="O510" s="211">
        <f>L510+M510+N510</f>
        <v>389.8</v>
      </c>
      <c r="P510" s="171"/>
      <c r="Q510" s="299">
        <f>O510+P510</f>
        <v>389.8</v>
      </c>
    </row>
    <row r="511" spans="1:17" ht="12.75">
      <c r="A511" s="13" t="s">
        <v>128</v>
      </c>
      <c r="B511" s="54"/>
      <c r="C511" s="88">
        <v>2000</v>
      </c>
      <c r="D511" s="87">
        <f>3783.29+10000+10000</f>
        <v>23783.29</v>
      </c>
      <c r="E511" s="89"/>
      <c r="F511" s="135">
        <f t="shared" si="174"/>
        <v>25783.29</v>
      </c>
      <c r="G511" s="169"/>
      <c r="H511" s="170"/>
      <c r="I511" s="211">
        <f>F511+G511+H511</f>
        <v>25783.29</v>
      </c>
      <c r="J511" s="169">
        <f>10000+13000</f>
        <v>23000</v>
      </c>
      <c r="K511" s="229"/>
      <c r="L511" s="261">
        <f>I511+J511+K511</f>
        <v>48783.29</v>
      </c>
      <c r="M511" s="243">
        <f>-18000</f>
        <v>-18000</v>
      </c>
      <c r="N511" s="170"/>
      <c r="O511" s="211">
        <f>L511+M511+N511</f>
        <v>30783.29</v>
      </c>
      <c r="P511" s="171"/>
      <c r="Q511" s="299">
        <f>O511+P511</f>
        <v>30783.29</v>
      </c>
    </row>
    <row r="512" spans="1:17" ht="12.75">
      <c r="A512" s="12" t="s">
        <v>103</v>
      </c>
      <c r="B512" s="54">
        <v>12</v>
      </c>
      <c r="C512" s="88">
        <f aca="true" t="shared" si="175" ref="C512:Q512">C513+C514+C515</f>
        <v>4000</v>
      </c>
      <c r="D512" s="69">
        <f t="shared" si="175"/>
        <v>11837.410000000002</v>
      </c>
      <c r="E512" s="89">
        <f t="shared" si="175"/>
        <v>0</v>
      </c>
      <c r="F512" s="135">
        <f t="shared" si="175"/>
        <v>15837.410000000002</v>
      </c>
      <c r="G512" s="169">
        <f t="shared" si="175"/>
        <v>0</v>
      </c>
      <c r="H512" s="170">
        <f t="shared" si="175"/>
        <v>0</v>
      </c>
      <c r="I512" s="211">
        <f t="shared" si="175"/>
        <v>15837.41</v>
      </c>
      <c r="J512" s="169">
        <f t="shared" si="175"/>
        <v>0</v>
      </c>
      <c r="K512" s="229">
        <f t="shared" si="175"/>
        <v>0</v>
      </c>
      <c r="L512" s="261">
        <f t="shared" si="175"/>
        <v>15837.41</v>
      </c>
      <c r="M512" s="229">
        <f t="shared" si="175"/>
        <v>894.88</v>
      </c>
      <c r="N512" s="170">
        <f t="shared" si="175"/>
        <v>0</v>
      </c>
      <c r="O512" s="211">
        <f t="shared" si="175"/>
        <v>16732.29</v>
      </c>
      <c r="P512" s="169">
        <f t="shared" si="175"/>
        <v>0</v>
      </c>
      <c r="Q512" s="211">
        <f t="shared" si="175"/>
        <v>16732.29</v>
      </c>
    </row>
    <row r="513" spans="1:17" ht="12.75">
      <c r="A513" s="12" t="s">
        <v>104</v>
      </c>
      <c r="B513" s="54"/>
      <c r="C513" s="88">
        <v>750</v>
      </c>
      <c r="D513" s="69">
        <f>1953.96+3441.84</f>
        <v>5395.8</v>
      </c>
      <c r="E513" s="89"/>
      <c r="F513" s="135">
        <f t="shared" si="174"/>
        <v>6145.8</v>
      </c>
      <c r="G513" s="169">
        <f>1623.03</f>
        <v>1623.03</v>
      </c>
      <c r="H513" s="170"/>
      <c r="I513" s="211">
        <f>F513+G513+H513</f>
        <v>7768.83</v>
      </c>
      <c r="J513" s="169"/>
      <c r="K513" s="229"/>
      <c r="L513" s="261">
        <f>I513+J513+K513</f>
        <v>7768.83</v>
      </c>
      <c r="M513" s="243">
        <f>300+900</f>
        <v>1200</v>
      </c>
      <c r="N513" s="170"/>
      <c r="O513" s="211">
        <f>L513+M513+N513</f>
        <v>8968.83</v>
      </c>
      <c r="P513" s="171"/>
      <c r="Q513" s="299">
        <f>O513+P513</f>
        <v>8968.83</v>
      </c>
    </row>
    <row r="514" spans="1:17" ht="12.75">
      <c r="A514" s="12" t="s">
        <v>102</v>
      </c>
      <c r="B514" s="54"/>
      <c r="C514" s="88">
        <v>3250</v>
      </c>
      <c r="D514" s="69">
        <f>4608.58-90</f>
        <v>4518.58</v>
      </c>
      <c r="E514" s="89"/>
      <c r="F514" s="135">
        <f t="shared" si="174"/>
        <v>7768.58</v>
      </c>
      <c r="G514" s="169">
        <f>300</f>
        <v>300</v>
      </c>
      <c r="H514" s="170"/>
      <c r="I514" s="211">
        <f>F514+G514+H514</f>
        <v>8068.58</v>
      </c>
      <c r="J514" s="169"/>
      <c r="K514" s="229"/>
      <c r="L514" s="261">
        <f>I514+J514+K514</f>
        <v>8068.58</v>
      </c>
      <c r="M514" s="243">
        <f>-300-900</f>
        <v>-1200</v>
      </c>
      <c r="N514" s="170"/>
      <c r="O514" s="211">
        <f>L514+M514+N514</f>
        <v>6868.58</v>
      </c>
      <c r="P514" s="171"/>
      <c r="Q514" s="299">
        <f>O514+P514</f>
        <v>6868.58</v>
      </c>
    </row>
    <row r="515" spans="1:17" ht="12.75" customHeight="1">
      <c r="A515" s="12" t="s">
        <v>99</v>
      </c>
      <c r="B515" s="54"/>
      <c r="C515" s="88"/>
      <c r="D515" s="69">
        <f>1919.2+3.83</f>
        <v>1923.03</v>
      </c>
      <c r="E515" s="89"/>
      <c r="F515" s="135">
        <f t="shared" si="174"/>
        <v>1923.03</v>
      </c>
      <c r="G515" s="169">
        <f>-1923.03</f>
        <v>-1923.03</v>
      </c>
      <c r="H515" s="170"/>
      <c r="I515" s="211">
        <f>F515+G515+H515</f>
        <v>0</v>
      </c>
      <c r="J515" s="169"/>
      <c r="K515" s="229"/>
      <c r="L515" s="261">
        <f>I515+J515+K515</f>
        <v>0</v>
      </c>
      <c r="M515" s="243">
        <f>894.88</f>
        <v>894.88</v>
      </c>
      <c r="N515" s="170"/>
      <c r="O515" s="211">
        <f>L515+M515+N515</f>
        <v>894.88</v>
      </c>
      <c r="P515" s="171"/>
      <c r="Q515" s="299">
        <f>O515+P515</f>
        <v>894.88</v>
      </c>
    </row>
    <row r="516" spans="1:17" ht="12.75">
      <c r="A516" s="12" t="s">
        <v>105</v>
      </c>
      <c r="B516" s="54">
        <v>14</v>
      </c>
      <c r="C516" s="88">
        <f>SUM(C517:C521)</f>
        <v>90000</v>
      </c>
      <c r="D516" s="69">
        <f aca="true" t="shared" si="176" ref="D516:Q516">SUM(D517:D521)</f>
        <v>78562.53</v>
      </c>
      <c r="E516" s="89">
        <f t="shared" si="176"/>
        <v>0</v>
      </c>
      <c r="F516" s="135">
        <f t="shared" si="176"/>
        <v>168562.53000000003</v>
      </c>
      <c r="G516" s="169">
        <f t="shared" si="176"/>
        <v>8518.759999999998</v>
      </c>
      <c r="H516" s="170">
        <f t="shared" si="176"/>
        <v>0</v>
      </c>
      <c r="I516" s="211">
        <f t="shared" si="176"/>
        <v>177081.29000000004</v>
      </c>
      <c r="J516" s="169">
        <f t="shared" si="176"/>
        <v>25800</v>
      </c>
      <c r="K516" s="229">
        <f t="shared" si="176"/>
        <v>0</v>
      </c>
      <c r="L516" s="261">
        <f t="shared" si="176"/>
        <v>202881.29000000004</v>
      </c>
      <c r="M516" s="229">
        <f t="shared" si="176"/>
        <v>4000</v>
      </c>
      <c r="N516" s="170">
        <f t="shared" si="176"/>
        <v>0</v>
      </c>
      <c r="O516" s="211">
        <f t="shared" si="176"/>
        <v>206881.29000000004</v>
      </c>
      <c r="P516" s="169">
        <f t="shared" si="176"/>
        <v>0</v>
      </c>
      <c r="Q516" s="211">
        <f t="shared" si="176"/>
        <v>206881.29000000004</v>
      </c>
    </row>
    <row r="517" spans="1:17" ht="12.75">
      <c r="A517" s="12" t="s">
        <v>106</v>
      </c>
      <c r="B517" s="54"/>
      <c r="C517" s="88">
        <v>79000</v>
      </c>
      <c r="D517" s="76">
        <f>33166.98-1200-1117+8000</f>
        <v>38849.98</v>
      </c>
      <c r="E517" s="102"/>
      <c r="F517" s="135">
        <f t="shared" si="174"/>
        <v>117849.98000000001</v>
      </c>
      <c r="G517" s="169">
        <f>700+786.31+2250+21.76-1000</f>
        <v>2758.07</v>
      </c>
      <c r="H517" s="170"/>
      <c r="I517" s="211">
        <f>F517+G517+H517</f>
        <v>120608.05000000002</v>
      </c>
      <c r="J517" s="169">
        <f>2312+12800-335.44</f>
        <v>14776.56</v>
      </c>
      <c r="K517" s="229"/>
      <c r="L517" s="261">
        <f>I517+J517+K517</f>
        <v>135384.61000000002</v>
      </c>
      <c r="M517" s="243">
        <f>-5677.5+250</f>
        <v>-5427.5</v>
      </c>
      <c r="N517" s="170"/>
      <c r="O517" s="211">
        <f>L517+M517+N517</f>
        <v>129957.11000000002</v>
      </c>
      <c r="P517" s="171">
        <f>-762.1</f>
        <v>-762.1</v>
      </c>
      <c r="Q517" s="299">
        <f aca="true" t="shared" si="177" ref="Q517:Q564">O517+P517</f>
        <v>129195.01000000001</v>
      </c>
    </row>
    <row r="518" spans="1:17" ht="12.75">
      <c r="A518" s="12" t="s">
        <v>107</v>
      </c>
      <c r="B518" s="54"/>
      <c r="C518" s="88">
        <v>11000</v>
      </c>
      <c r="D518" s="69">
        <f>6242.16+1177</f>
        <v>7419.16</v>
      </c>
      <c r="E518" s="89"/>
      <c r="F518" s="135">
        <f t="shared" si="174"/>
        <v>18419.16</v>
      </c>
      <c r="G518" s="169">
        <f>500+562</f>
        <v>1062</v>
      </c>
      <c r="H518" s="170"/>
      <c r="I518" s="211">
        <f>F518+G518+H518</f>
        <v>19481.16</v>
      </c>
      <c r="J518" s="184">
        <f>170+13000+335.44</f>
        <v>13505.44</v>
      </c>
      <c r="K518" s="229"/>
      <c r="L518" s="261">
        <f>I518+J518+K518</f>
        <v>32986.6</v>
      </c>
      <c r="M518" s="243">
        <f>5677.5</f>
        <v>5677.5</v>
      </c>
      <c r="N518" s="170"/>
      <c r="O518" s="211">
        <f>L518+M518+N518</f>
        <v>38664.1</v>
      </c>
      <c r="P518" s="171">
        <f>262.1</f>
        <v>262.1</v>
      </c>
      <c r="Q518" s="299">
        <f t="shared" si="177"/>
        <v>38926.2</v>
      </c>
    </row>
    <row r="519" spans="1:17" ht="13.5" customHeight="1">
      <c r="A519" s="12" t="s">
        <v>108</v>
      </c>
      <c r="B519" s="54"/>
      <c r="C519" s="88"/>
      <c r="D519" s="69">
        <f>28388.64</f>
        <v>28388.64</v>
      </c>
      <c r="E519" s="89"/>
      <c r="F519" s="135">
        <f t="shared" si="174"/>
        <v>28388.64</v>
      </c>
      <c r="G519" s="169">
        <f>4000-1065.19+726+1000</f>
        <v>4660.8099999999995</v>
      </c>
      <c r="H519" s="170"/>
      <c r="I519" s="211">
        <f>F519+G519+H519</f>
        <v>33049.45</v>
      </c>
      <c r="J519" s="169">
        <f>-961</f>
        <v>-961</v>
      </c>
      <c r="K519" s="229"/>
      <c r="L519" s="261">
        <f>I519+J519+K519</f>
        <v>32088.449999999997</v>
      </c>
      <c r="M519" s="243">
        <f>-80-250+4000</f>
        <v>3670</v>
      </c>
      <c r="N519" s="170"/>
      <c r="O519" s="211">
        <f>L519+M519+N519</f>
        <v>35758.45</v>
      </c>
      <c r="P519" s="171">
        <f>500</f>
        <v>500</v>
      </c>
      <c r="Q519" s="299">
        <f t="shared" si="177"/>
        <v>36258.45</v>
      </c>
    </row>
    <row r="520" spans="1:17" ht="13.5" customHeight="1">
      <c r="A520" s="13" t="s">
        <v>128</v>
      </c>
      <c r="B520" s="54"/>
      <c r="C520" s="88"/>
      <c r="D520" s="69">
        <f>2481.63-60</f>
        <v>2421.63</v>
      </c>
      <c r="E520" s="89"/>
      <c r="F520" s="135">
        <f t="shared" si="174"/>
        <v>2421.63</v>
      </c>
      <c r="G520" s="169"/>
      <c r="H520" s="170"/>
      <c r="I520" s="211">
        <f>F520+G520+H520</f>
        <v>2421.63</v>
      </c>
      <c r="J520" s="169"/>
      <c r="K520" s="229"/>
      <c r="L520" s="261">
        <f>I520+J520+K520</f>
        <v>2421.63</v>
      </c>
      <c r="M520" s="243">
        <f>80</f>
        <v>80</v>
      </c>
      <c r="N520" s="170"/>
      <c r="O520" s="211">
        <f>L520+M520+N520</f>
        <v>2501.63</v>
      </c>
      <c r="P520" s="171"/>
      <c r="Q520" s="299">
        <f t="shared" si="177"/>
        <v>2501.63</v>
      </c>
    </row>
    <row r="521" spans="1:17" ht="12.75" hidden="1">
      <c r="A521" s="12" t="s">
        <v>109</v>
      </c>
      <c r="B521" s="54"/>
      <c r="C521" s="88"/>
      <c r="D521" s="69">
        <f>1483.12</f>
        <v>1483.12</v>
      </c>
      <c r="E521" s="89"/>
      <c r="F521" s="135">
        <f t="shared" si="174"/>
        <v>1483.12</v>
      </c>
      <c r="G521" s="169">
        <f>-1200-283.12+1500+21</f>
        <v>37.88000000000011</v>
      </c>
      <c r="H521" s="170"/>
      <c r="I521" s="211">
        <f>F521+G521+H521</f>
        <v>1521</v>
      </c>
      <c r="J521" s="169">
        <f>-1521</f>
        <v>-1521</v>
      </c>
      <c r="K521" s="229"/>
      <c r="L521" s="261">
        <f>I521+J521+K521</f>
        <v>0</v>
      </c>
      <c r="M521" s="243"/>
      <c r="N521" s="170"/>
      <c r="O521" s="211">
        <f>L521+M521+N521</f>
        <v>0</v>
      </c>
      <c r="P521" s="171"/>
      <c r="Q521" s="299">
        <f t="shared" si="177"/>
        <v>0</v>
      </c>
    </row>
    <row r="522" spans="1:17" ht="12.75">
      <c r="A522" s="12" t="s">
        <v>110</v>
      </c>
      <c r="B522" s="54">
        <v>15</v>
      </c>
      <c r="C522" s="88">
        <f>SUM(C523:C529)</f>
        <v>90000</v>
      </c>
      <c r="D522" s="69">
        <f aca="true" t="shared" si="178" ref="D522:Q522">SUM(D523:D529)</f>
        <v>250011.43</v>
      </c>
      <c r="E522" s="89">
        <f t="shared" si="178"/>
        <v>0</v>
      </c>
      <c r="F522" s="135">
        <f t="shared" si="178"/>
        <v>340011.43</v>
      </c>
      <c r="G522" s="169">
        <f t="shared" si="178"/>
        <v>-29122.050000000007</v>
      </c>
      <c r="H522" s="170">
        <f t="shared" si="178"/>
        <v>0</v>
      </c>
      <c r="I522" s="211">
        <f t="shared" si="178"/>
        <v>310889.38</v>
      </c>
      <c r="J522" s="169">
        <f t="shared" si="178"/>
        <v>40000</v>
      </c>
      <c r="K522" s="229">
        <f t="shared" si="178"/>
        <v>0</v>
      </c>
      <c r="L522" s="261">
        <f t="shared" si="178"/>
        <v>350889.38</v>
      </c>
      <c r="M522" s="229">
        <f t="shared" si="178"/>
        <v>2500</v>
      </c>
      <c r="N522" s="170">
        <f t="shared" si="178"/>
        <v>0</v>
      </c>
      <c r="O522" s="211">
        <f t="shared" si="178"/>
        <v>353389.38</v>
      </c>
      <c r="P522" s="169">
        <f t="shared" si="178"/>
        <v>0</v>
      </c>
      <c r="Q522" s="211">
        <f t="shared" si="178"/>
        <v>353389.38</v>
      </c>
    </row>
    <row r="523" spans="1:17" ht="12.75">
      <c r="A523" s="12" t="s">
        <v>111</v>
      </c>
      <c r="B523" s="54"/>
      <c r="C523" s="88">
        <v>52655</v>
      </c>
      <c r="D523" s="69">
        <f>206504.35</f>
        <v>206504.35</v>
      </c>
      <c r="E523" s="89"/>
      <c r="F523" s="135">
        <f t="shared" si="174"/>
        <v>259159.35</v>
      </c>
      <c r="G523" s="169">
        <f>-1243-500-34754.73-100</f>
        <v>-36597.73</v>
      </c>
      <c r="H523" s="170"/>
      <c r="I523" s="211">
        <f aca="true" t="shared" si="179" ref="I523:I529">F523+G523+H523</f>
        <v>222561.62</v>
      </c>
      <c r="J523" s="169">
        <f>20000+10000+10000</f>
        <v>40000</v>
      </c>
      <c r="K523" s="229"/>
      <c r="L523" s="261">
        <f aca="true" t="shared" si="180" ref="L523:L529">I523+J523+K523</f>
        <v>262561.62</v>
      </c>
      <c r="M523" s="243">
        <f>2500+2500-4540</f>
        <v>460</v>
      </c>
      <c r="N523" s="170"/>
      <c r="O523" s="211">
        <f aca="true" t="shared" si="181" ref="O523:O529">L523+M523+N523</f>
        <v>263021.62</v>
      </c>
      <c r="P523" s="171">
        <f>-300</f>
        <v>-300</v>
      </c>
      <c r="Q523" s="299">
        <f t="shared" si="177"/>
        <v>262721.62</v>
      </c>
    </row>
    <row r="524" spans="1:17" ht="12.75" hidden="1">
      <c r="A524" s="12" t="s">
        <v>112</v>
      </c>
      <c r="B524" s="54"/>
      <c r="C524" s="88"/>
      <c r="D524" s="69"/>
      <c r="E524" s="89"/>
      <c r="F524" s="135">
        <f t="shared" si="174"/>
        <v>0</v>
      </c>
      <c r="G524" s="169"/>
      <c r="H524" s="170"/>
      <c r="I524" s="211">
        <f t="shared" si="179"/>
        <v>0</v>
      </c>
      <c r="J524" s="169"/>
      <c r="K524" s="229"/>
      <c r="L524" s="261">
        <f t="shared" si="180"/>
        <v>0</v>
      </c>
      <c r="M524" s="243"/>
      <c r="N524" s="170"/>
      <c r="O524" s="211">
        <f t="shared" si="181"/>
        <v>0</v>
      </c>
      <c r="P524" s="171"/>
      <c r="Q524" s="299">
        <f t="shared" si="177"/>
        <v>0</v>
      </c>
    </row>
    <row r="525" spans="1:17" ht="12.75" hidden="1">
      <c r="A525" s="12" t="s">
        <v>113</v>
      </c>
      <c r="B525" s="54"/>
      <c r="C525" s="88"/>
      <c r="D525" s="76"/>
      <c r="E525" s="102"/>
      <c r="F525" s="135">
        <f t="shared" si="174"/>
        <v>0</v>
      </c>
      <c r="G525" s="169"/>
      <c r="H525" s="170"/>
      <c r="I525" s="211">
        <f t="shared" si="179"/>
        <v>0</v>
      </c>
      <c r="J525" s="169"/>
      <c r="K525" s="229"/>
      <c r="L525" s="261">
        <f t="shared" si="180"/>
        <v>0</v>
      </c>
      <c r="M525" s="243"/>
      <c r="N525" s="170"/>
      <c r="O525" s="211">
        <f t="shared" si="181"/>
        <v>0</v>
      </c>
      <c r="P525" s="171"/>
      <c r="Q525" s="299">
        <f t="shared" si="177"/>
        <v>0</v>
      </c>
    </row>
    <row r="526" spans="1:17" ht="12.75">
      <c r="A526" s="12" t="s">
        <v>114</v>
      </c>
      <c r="B526" s="54"/>
      <c r="C526" s="88">
        <v>30175</v>
      </c>
      <c r="D526" s="69">
        <f>22288.93</f>
        <v>22288.93</v>
      </c>
      <c r="E526" s="89"/>
      <c r="F526" s="135">
        <f t="shared" si="174"/>
        <v>52463.93</v>
      </c>
      <c r="G526" s="169">
        <f>-605+87.95</f>
        <v>-517.05</v>
      </c>
      <c r="H526" s="170"/>
      <c r="I526" s="211">
        <f t="shared" si="179"/>
        <v>51946.88</v>
      </c>
      <c r="J526" s="169"/>
      <c r="K526" s="229"/>
      <c r="L526" s="261">
        <f t="shared" si="180"/>
        <v>51946.88</v>
      </c>
      <c r="M526" s="243">
        <f>146</f>
        <v>146</v>
      </c>
      <c r="N526" s="170"/>
      <c r="O526" s="211">
        <f t="shared" si="181"/>
        <v>52092.88</v>
      </c>
      <c r="P526" s="171">
        <f>42.66</f>
        <v>42.66</v>
      </c>
      <c r="Q526" s="299">
        <f t="shared" si="177"/>
        <v>52135.54</v>
      </c>
    </row>
    <row r="527" spans="1:17" ht="12.75">
      <c r="A527" s="12" t="s">
        <v>115</v>
      </c>
      <c r="B527" s="54"/>
      <c r="C527" s="88">
        <v>2200</v>
      </c>
      <c r="D527" s="69"/>
      <c r="E527" s="89"/>
      <c r="F527" s="135">
        <f t="shared" si="174"/>
        <v>2200</v>
      </c>
      <c r="G527" s="169"/>
      <c r="H527" s="170"/>
      <c r="I527" s="211">
        <f t="shared" si="179"/>
        <v>2200</v>
      </c>
      <c r="J527" s="184"/>
      <c r="K527" s="229"/>
      <c r="L527" s="261">
        <f t="shared" si="180"/>
        <v>2200</v>
      </c>
      <c r="M527" s="243">
        <f>-146</f>
        <v>-146</v>
      </c>
      <c r="N527" s="170"/>
      <c r="O527" s="211">
        <f t="shared" si="181"/>
        <v>2054</v>
      </c>
      <c r="P527" s="171">
        <f>-42.66</f>
        <v>-42.66</v>
      </c>
      <c r="Q527" s="299">
        <f t="shared" si="177"/>
        <v>2011.34</v>
      </c>
    </row>
    <row r="528" spans="1:17" ht="12.75">
      <c r="A528" s="12" t="s">
        <v>116</v>
      </c>
      <c r="B528" s="54"/>
      <c r="C528" s="88">
        <v>4970</v>
      </c>
      <c r="D528" s="69">
        <f>11977.85</f>
        <v>11977.85</v>
      </c>
      <c r="E528" s="89"/>
      <c r="F528" s="135">
        <f t="shared" si="174"/>
        <v>16947.85</v>
      </c>
      <c r="G528" s="169">
        <f>1848+500+11000+100</f>
        <v>13448</v>
      </c>
      <c r="H528" s="170"/>
      <c r="I528" s="211">
        <f t="shared" si="179"/>
        <v>30395.85</v>
      </c>
      <c r="J528" s="169"/>
      <c r="K528" s="229"/>
      <c r="L528" s="261">
        <f t="shared" si="180"/>
        <v>30395.85</v>
      </c>
      <c r="M528" s="243">
        <f>4540</f>
        <v>4540</v>
      </c>
      <c r="N528" s="170"/>
      <c r="O528" s="211">
        <f t="shared" si="181"/>
        <v>34935.85</v>
      </c>
      <c r="P528" s="171">
        <f>300</f>
        <v>300</v>
      </c>
      <c r="Q528" s="299">
        <f t="shared" si="177"/>
        <v>35235.85</v>
      </c>
    </row>
    <row r="529" spans="1:17" ht="12.75">
      <c r="A529" s="12" t="s">
        <v>109</v>
      </c>
      <c r="B529" s="54"/>
      <c r="C529" s="88"/>
      <c r="D529" s="69">
        <f>9240.3</f>
        <v>9240.3</v>
      </c>
      <c r="E529" s="89"/>
      <c r="F529" s="135">
        <f t="shared" si="174"/>
        <v>9240.3</v>
      </c>
      <c r="G529" s="169">
        <f>-5455.27</f>
        <v>-5455.27</v>
      </c>
      <c r="H529" s="170"/>
      <c r="I529" s="211">
        <f t="shared" si="179"/>
        <v>3785.029999999999</v>
      </c>
      <c r="J529" s="169"/>
      <c r="K529" s="229"/>
      <c r="L529" s="261">
        <f t="shared" si="180"/>
        <v>3785.029999999999</v>
      </c>
      <c r="M529" s="243">
        <f>-2500</f>
        <v>-2500</v>
      </c>
      <c r="N529" s="170"/>
      <c r="O529" s="211">
        <f t="shared" si="181"/>
        <v>1285.0299999999988</v>
      </c>
      <c r="P529" s="171"/>
      <c r="Q529" s="299">
        <f t="shared" si="177"/>
        <v>1285.0299999999988</v>
      </c>
    </row>
    <row r="530" spans="1:17" ht="12.75">
      <c r="A530" s="12" t="s">
        <v>117</v>
      </c>
      <c r="B530" s="54">
        <v>16</v>
      </c>
      <c r="C530" s="88">
        <f>SUM(C531:C535)</f>
        <v>5000</v>
      </c>
      <c r="D530" s="69">
        <f aca="true" t="shared" si="182" ref="D530:Q530">SUM(D531:D535)</f>
        <v>20942.469999999998</v>
      </c>
      <c r="E530" s="89">
        <f t="shared" si="182"/>
        <v>0</v>
      </c>
      <c r="F530" s="135">
        <f t="shared" si="182"/>
        <v>25942.469999999998</v>
      </c>
      <c r="G530" s="169">
        <f t="shared" si="182"/>
        <v>0</v>
      </c>
      <c r="H530" s="170">
        <f t="shared" si="182"/>
        <v>0</v>
      </c>
      <c r="I530" s="211">
        <f t="shared" si="182"/>
        <v>25942.469999999998</v>
      </c>
      <c r="J530" s="169">
        <f t="shared" si="182"/>
        <v>200</v>
      </c>
      <c r="K530" s="229">
        <f t="shared" si="182"/>
        <v>0</v>
      </c>
      <c r="L530" s="261">
        <f t="shared" si="182"/>
        <v>26142.469999999998</v>
      </c>
      <c r="M530" s="229">
        <f t="shared" si="182"/>
        <v>1564.76</v>
      </c>
      <c r="N530" s="170">
        <f t="shared" si="182"/>
        <v>0</v>
      </c>
      <c r="O530" s="211">
        <f t="shared" si="182"/>
        <v>27707.229999999996</v>
      </c>
      <c r="P530" s="169">
        <f t="shared" si="182"/>
        <v>0</v>
      </c>
      <c r="Q530" s="211">
        <f t="shared" si="182"/>
        <v>27707.229999999996</v>
      </c>
    </row>
    <row r="531" spans="1:17" ht="12.75">
      <c r="A531" s="12" t="s">
        <v>106</v>
      </c>
      <c r="B531" s="54"/>
      <c r="C531" s="88">
        <v>4005</v>
      </c>
      <c r="D531" s="69">
        <f>1941.63-1000</f>
        <v>941.6300000000001</v>
      </c>
      <c r="E531" s="89"/>
      <c r="F531" s="135">
        <f t="shared" si="174"/>
        <v>4946.63</v>
      </c>
      <c r="G531" s="169">
        <f>1310</f>
        <v>1310</v>
      </c>
      <c r="H531" s="170"/>
      <c r="I531" s="211">
        <f>F531+G531+H531</f>
        <v>6256.63</v>
      </c>
      <c r="J531" s="169"/>
      <c r="K531" s="229"/>
      <c r="L531" s="261">
        <f>I531+J531+K531</f>
        <v>6256.63</v>
      </c>
      <c r="M531" s="243"/>
      <c r="N531" s="170"/>
      <c r="O531" s="211">
        <f>L531+M531+N531</f>
        <v>6256.63</v>
      </c>
      <c r="P531" s="171"/>
      <c r="Q531" s="299">
        <f t="shared" si="177"/>
        <v>6256.63</v>
      </c>
    </row>
    <row r="532" spans="1:17" ht="12.75">
      <c r="A532" s="12" t="s">
        <v>107</v>
      </c>
      <c r="B532" s="54"/>
      <c r="C532" s="88">
        <v>400</v>
      </c>
      <c r="D532" s="69">
        <f>1080</f>
        <v>1080</v>
      </c>
      <c r="E532" s="89"/>
      <c r="F532" s="135">
        <f t="shared" si="174"/>
        <v>1480</v>
      </c>
      <c r="G532" s="169">
        <f>-210</f>
        <v>-210</v>
      </c>
      <c r="H532" s="170"/>
      <c r="I532" s="211">
        <f>F532+G532+H532</f>
        <v>1270</v>
      </c>
      <c r="J532" s="169"/>
      <c r="K532" s="229"/>
      <c r="L532" s="261">
        <f>I532+J532+K532</f>
        <v>1270</v>
      </c>
      <c r="M532" s="243"/>
      <c r="N532" s="170"/>
      <c r="O532" s="211">
        <f>L532+M532+N532</f>
        <v>1270</v>
      </c>
      <c r="P532" s="171"/>
      <c r="Q532" s="299">
        <f t="shared" si="177"/>
        <v>1270</v>
      </c>
    </row>
    <row r="533" spans="1:17" ht="12.75">
      <c r="A533" s="12" t="s">
        <v>108</v>
      </c>
      <c r="B533" s="54"/>
      <c r="C533" s="88"/>
      <c r="D533" s="69">
        <f>10507.24+1000+6800</f>
        <v>18307.239999999998</v>
      </c>
      <c r="E533" s="89"/>
      <c r="F533" s="135">
        <f t="shared" si="174"/>
        <v>18307.239999999998</v>
      </c>
      <c r="G533" s="169"/>
      <c r="H533" s="170"/>
      <c r="I533" s="211">
        <f>F533+G533+H533</f>
        <v>18307.239999999998</v>
      </c>
      <c r="J533" s="169">
        <f>12.1</f>
        <v>12.1</v>
      </c>
      <c r="K533" s="229"/>
      <c r="L533" s="261">
        <f>I533+J533+K533</f>
        <v>18319.339999999997</v>
      </c>
      <c r="M533" s="243">
        <f>-335.24+1900</f>
        <v>1564.76</v>
      </c>
      <c r="N533" s="170"/>
      <c r="O533" s="211">
        <f>L533+M533+N533</f>
        <v>19884.099999999995</v>
      </c>
      <c r="P533" s="171"/>
      <c r="Q533" s="299">
        <f t="shared" si="177"/>
        <v>19884.099999999995</v>
      </c>
    </row>
    <row r="534" spans="1:17" ht="12.75">
      <c r="A534" s="12" t="s">
        <v>116</v>
      </c>
      <c r="B534" s="54"/>
      <c r="C534" s="88"/>
      <c r="D534" s="69"/>
      <c r="E534" s="89"/>
      <c r="F534" s="135"/>
      <c r="G534" s="169"/>
      <c r="H534" s="170"/>
      <c r="I534" s="211">
        <f>F534+G534+H534</f>
        <v>0</v>
      </c>
      <c r="J534" s="169">
        <f>200</f>
        <v>200</v>
      </c>
      <c r="K534" s="229"/>
      <c r="L534" s="261">
        <f>I534+J534+K534</f>
        <v>200</v>
      </c>
      <c r="M534" s="243"/>
      <c r="N534" s="170"/>
      <c r="O534" s="211">
        <f>L534+M534+N534</f>
        <v>200</v>
      </c>
      <c r="P534" s="171"/>
      <c r="Q534" s="299">
        <f t="shared" si="177"/>
        <v>200</v>
      </c>
    </row>
    <row r="535" spans="1:17" ht="12.75">
      <c r="A535" s="12" t="s">
        <v>109</v>
      </c>
      <c r="B535" s="54"/>
      <c r="C535" s="88">
        <v>595</v>
      </c>
      <c r="D535" s="69">
        <f>613.6</f>
        <v>613.6</v>
      </c>
      <c r="E535" s="89"/>
      <c r="F535" s="135">
        <f t="shared" si="174"/>
        <v>1208.6</v>
      </c>
      <c r="G535" s="169">
        <f>-1100</f>
        <v>-1100</v>
      </c>
      <c r="H535" s="170"/>
      <c r="I535" s="211">
        <f>F535+G535+H535</f>
        <v>108.59999999999991</v>
      </c>
      <c r="J535" s="169">
        <f>-12.1</f>
        <v>-12.1</v>
      </c>
      <c r="K535" s="229"/>
      <c r="L535" s="261">
        <f>I535+J535+K535</f>
        <v>96.49999999999991</v>
      </c>
      <c r="M535" s="243"/>
      <c r="N535" s="170"/>
      <c r="O535" s="211">
        <f>L535+M535+N535</f>
        <v>96.49999999999991</v>
      </c>
      <c r="P535" s="171"/>
      <c r="Q535" s="299">
        <f t="shared" si="177"/>
        <v>96.49999999999991</v>
      </c>
    </row>
    <row r="536" spans="1:17" ht="12.75">
      <c r="A536" s="12" t="s">
        <v>97</v>
      </c>
      <c r="B536" s="54">
        <v>18</v>
      </c>
      <c r="C536" s="88">
        <f aca="true" t="shared" si="183" ref="C536:Q536">C537+C538</f>
        <v>0</v>
      </c>
      <c r="D536" s="69">
        <f t="shared" si="183"/>
        <v>1148.96</v>
      </c>
      <c r="E536" s="89">
        <f t="shared" si="183"/>
        <v>0</v>
      </c>
      <c r="F536" s="135">
        <f t="shared" si="183"/>
        <v>1148.96</v>
      </c>
      <c r="G536" s="169">
        <f t="shared" si="183"/>
        <v>0</v>
      </c>
      <c r="H536" s="170">
        <f t="shared" si="183"/>
        <v>0</v>
      </c>
      <c r="I536" s="211">
        <f t="shared" si="183"/>
        <v>1148.96</v>
      </c>
      <c r="J536" s="169">
        <f t="shared" si="183"/>
        <v>0</v>
      </c>
      <c r="K536" s="229">
        <f t="shared" si="183"/>
        <v>0</v>
      </c>
      <c r="L536" s="261">
        <f t="shared" si="183"/>
        <v>1148.96</v>
      </c>
      <c r="M536" s="229">
        <f t="shared" si="183"/>
        <v>0</v>
      </c>
      <c r="N536" s="170">
        <f t="shared" si="183"/>
        <v>0</v>
      </c>
      <c r="O536" s="211">
        <f t="shared" si="183"/>
        <v>1148.96</v>
      </c>
      <c r="P536" s="169">
        <f t="shared" si="183"/>
        <v>0</v>
      </c>
      <c r="Q536" s="211">
        <f t="shared" si="183"/>
        <v>1148.96</v>
      </c>
    </row>
    <row r="537" spans="1:17" ht="12.75">
      <c r="A537" s="12" t="s">
        <v>98</v>
      </c>
      <c r="B537" s="54"/>
      <c r="C537" s="88"/>
      <c r="D537" s="69">
        <f>1148.96</f>
        <v>1148.96</v>
      </c>
      <c r="E537" s="89"/>
      <c r="F537" s="135">
        <f>C537+D537+E537</f>
        <v>1148.96</v>
      </c>
      <c r="G537" s="169"/>
      <c r="H537" s="170"/>
      <c r="I537" s="211">
        <f>F537+G537+H537</f>
        <v>1148.96</v>
      </c>
      <c r="J537" s="169"/>
      <c r="K537" s="229"/>
      <c r="L537" s="261">
        <f>I537+J537+K537</f>
        <v>1148.96</v>
      </c>
      <c r="M537" s="243"/>
      <c r="N537" s="170"/>
      <c r="O537" s="211">
        <f>L537+M537+N537</f>
        <v>1148.96</v>
      </c>
      <c r="P537" s="171"/>
      <c r="Q537" s="299">
        <f t="shared" si="177"/>
        <v>1148.96</v>
      </c>
    </row>
    <row r="538" spans="1:17" ht="12.75" hidden="1">
      <c r="A538" s="12" t="s">
        <v>99</v>
      </c>
      <c r="B538" s="54"/>
      <c r="C538" s="88">
        <v>0</v>
      </c>
      <c r="D538" s="69"/>
      <c r="E538" s="89"/>
      <c r="F538" s="135">
        <f>C538+D538+E538</f>
        <v>0</v>
      </c>
      <c r="G538" s="169"/>
      <c r="H538" s="170"/>
      <c r="I538" s="211">
        <f>F538+G538+H538</f>
        <v>0</v>
      </c>
      <c r="J538" s="169"/>
      <c r="K538" s="229"/>
      <c r="L538" s="261"/>
      <c r="M538" s="243"/>
      <c r="N538" s="170"/>
      <c r="O538" s="211">
        <f>L538+M538+N538</f>
        <v>0</v>
      </c>
      <c r="P538" s="171"/>
      <c r="Q538" s="299"/>
    </row>
    <row r="539" spans="1:17" ht="12.75">
      <c r="A539" s="55" t="s">
        <v>241</v>
      </c>
      <c r="B539" s="54">
        <v>19</v>
      </c>
      <c r="C539" s="88">
        <f aca="true" t="shared" si="184" ref="C539:Q539">C540+C541</f>
        <v>5540.5</v>
      </c>
      <c r="D539" s="69">
        <f t="shared" si="184"/>
        <v>7526.429999999999</v>
      </c>
      <c r="E539" s="89">
        <f t="shared" si="184"/>
        <v>0</v>
      </c>
      <c r="F539" s="135">
        <f t="shared" si="184"/>
        <v>13066.93</v>
      </c>
      <c r="G539" s="169">
        <f t="shared" si="184"/>
        <v>822</v>
      </c>
      <c r="H539" s="170">
        <f t="shared" si="184"/>
        <v>0</v>
      </c>
      <c r="I539" s="211">
        <f t="shared" si="184"/>
        <v>13888.93</v>
      </c>
      <c r="J539" s="169">
        <f t="shared" si="184"/>
        <v>0</v>
      </c>
      <c r="K539" s="229">
        <f t="shared" si="184"/>
        <v>0</v>
      </c>
      <c r="L539" s="261">
        <f t="shared" si="184"/>
        <v>13888.93</v>
      </c>
      <c r="M539" s="229">
        <f t="shared" si="184"/>
        <v>0</v>
      </c>
      <c r="N539" s="170">
        <f t="shared" si="184"/>
        <v>0</v>
      </c>
      <c r="O539" s="211">
        <f t="shared" si="184"/>
        <v>13888.93</v>
      </c>
      <c r="P539" s="169">
        <f t="shared" si="184"/>
        <v>0</v>
      </c>
      <c r="Q539" s="211">
        <f t="shared" si="184"/>
        <v>13888.93</v>
      </c>
    </row>
    <row r="540" spans="1:17" ht="12.75">
      <c r="A540" s="12" t="s">
        <v>98</v>
      </c>
      <c r="B540" s="54"/>
      <c r="C540" s="88">
        <v>5540.5</v>
      </c>
      <c r="D540" s="69">
        <f>5983.61+90</f>
        <v>6073.61</v>
      </c>
      <c r="E540" s="89"/>
      <c r="F540" s="135">
        <f>C540+D540+E540</f>
        <v>11614.11</v>
      </c>
      <c r="G540" s="169">
        <f>822</f>
        <v>822</v>
      </c>
      <c r="H540" s="170"/>
      <c r="I540" s="211">
        <f>F540+G540+H540</f>
        <v>12436.11</v>
      </c>
      <c r="J540" s="169"/>
      <c r="K540" s="229"/>
      <c r="L540" s="261">
        <f>I540+J540+K540</f>
        <v>12436.11</v>
      </c>
      <c r="M540" s="243"/>
      <c r="N540" s="170"/>
      <c r="O540" s="211">
        <f>L540+M540+N540</f>
        <v>12436.11</v>
      </c>
      <c r="P540" s="171"/>
      <c r="Q540" s="299">
        <f t="shared" si="177"/>
        <v>12436.11</v>
      </c>
    </row>
    <row r="541" spans="1:17" ht="12.75">
      <c r="A541" s="12" t="s">
        <v>99</v>
      </c>
      <c r="B541" s="54"/>
      <c r="C541" s="88"/>
      <c r="D541" s="69">
        <v>1452.82</v>
      </c>
      <c r="E541" s="89"/>
      <c r="F541" s="135">
        <f>C541+D541+E541</f>
        <v>1452.82</v>
      </c>
      <c r="G541" s="169"/>
      <c r="H541" s="170"/>
      <c r="I541" s="211">
        <f>F541+G541+H541</f>
        <v>1452.82</v>
      </c>
      <c r="J541" s="169"/>
      <c r="K541" s="229"/>
      <c r="L541" s="261">
        <f>I541+J541+K541</f>
        <v>1452.82</v>
      </c>
      <c r="M541" s="243"/>
      <c r="N541" s="170"/>
      <c r="O541" s="211">
        <f>L541+M541+N541</f>
        <v>1452.82</v>
      </c>
      <c r="P541" s="171"/>
      <c r="Q541" s="299">
        <f t="shared" si="177"/>
        <v>1452.82</v>
      </c>
    </row>
    <row r="542" spans="1:17" ht="12.75">
      <c r="A542" s="12" t="s">
        <v>118</v>
      </c>
      <c r="B542" s="54">
        <v>28</v>
      </c>
      <c r="C542" s="88">
        <f>SUM(C543:C547)</f>
        <v>100000</v>
      </c>
      <c r="D542" s="69">
        <f aca="true" t="shared" si="185" ref="D542:Q542">SUM(D543:D547)</f>
        <v>-20500.48</v>
      </c>
      <c r="E542" s="89">
        <f t="shared" si="185"/>
        <v>0</v>
      </c>
      <c r="F542" s="135">
        <f t="shared" si="185"/>
        <v>79499.51999999999</v>
      </c>
      <c r="G542" s="169">
        <f t="shared" si="185"/>
        <v>0</v>
      </c>
      <c r="H542" s="170">
        <f t="shared" si="185"/>
        <v>0</v>
      </c>
      <c r="I542" s="211">
        <f t="shared" si="185"/>
        <v>79499.51999999999</v>
      </c>
      <c r="J542" s="169">
        <f t="shared" si="185"/>
        <v>-3567.5999999999995</v>
      </c>
      <c r="K542" s="229">
        <f t="shared" si="185"/>
        <v>0</v>
      </c>
      <c r="L542" s="261">
        <f t="shared" si="185"/>
        <v>75931.91999999998</v>
      </c>
      <c r="M542" s="229">
        <f t="shared" si="185"/>
        <v>0</v>
      </c>
      <c r="N542" s="170">
        <f t="shared" si="185"/>
        <v>0</v>
      </c>
      <c r="O542" s="211">
        <f t="shared" si="185"/>
        <v>75931.92</v>
      </c>
      <c r="P542" s="169">
        <f t="shared" si="185"/>
        <v>0</v>
      </c>
      <c r="Q542" s="211">
        <f t="shared" si="185"/>
        <v>75931.92</v>
      </c>
    </row>
    <row r="543" spans="1:17" ht="12.75">
      <c r="A543" s="12" t="s">
        <v>106</v>
      </c>
      <c r="B543" s="54"/>
      <c r="C543" s="88">
        <v>4200</v>
      </c>
      <c r="D543" s="69">
        <f>6266.14+15500</f>
        <v>21766.14</v>
      </c>
      <c r="E543" s="89"/>
      <c r="F543" s="135">
        <f t="shared" si="174"/>
        <v>25966.14</v>
      </c>
      <c r="G543" s="169"/>
      <c r="H543" s="170"/>
      <c r="I543" s="211">
        <f>F543+G543+H543</f>
        <v>25966.14</v>
      </c>
      <c r="J543" s="169">
        <f>836.42</f>
        <v>836.42</v>
      </c>
      <c r="K543" s="229"/>
      <c r="L543" s="261">
        <f>I543+J543+K543</f>
        <v>26802.559999999998</v>
      </c>
      <c r="M543" s="243"/>
      <c r="N543" s="170"/>
      <c r="O543" s="211">
        <f>L543+M543+N543</f>
        <v>26802.559999999998</v>
      </c>
      <c r="P543" s="171"/>
      <c r="Q543" s="299">
        <f t="shared" si="177"/>
        <v>26802.559999999998</v>
      </c>
    </row>
    <row r="544" spans="1:17" ht="12.75">
      <c r="A544" s="12" t="s">
        <v>107</v>
      </c>
      <c r="B544" s="54"/>
      <c r="C544" s="88">
        <v>1000</v>
      </c>
      <c r="D544" s="69"/>
      <c r="E544" s="89"/>
      <c r="F544" s="135">
        <f t="shared" si="174"/>
        <v>1000</v>
      </c>
      <c r="G544" s="169"/>
      <c r="H544" s="170"/>
      <c r="I544" s="211">
        <f>F544+G544+H544</f>
        <v>1000</v>
      </c>
      <c r="J544" s="169"/>
      <c r="K544" s="229"/>
      <c r="L544" s="261">
        <f>I544+J544+K544</f>
        <v>1000</v>
      </c>
      <c r="M544" s="243"/>
      <c r="N544" s="170"/>
      <c r="O544" s="211">
        <f>L544+M544+N544</f>
        <v>1000</v>
      </c>
      <c r="P544" s="171"/>
      <c r="Q544" s="299">
        <f t="shared" si="177"/>
        <v>1000</v>
      </c>
    </row>
    <row r="545" spans="1:17" ht="12.75">
      <c r="A545" s="12" t="s">
        <v>119</v>
      </c>
      <c r="B545" s="54"/>
      <c r="C545" s="88">
        <v>94800</v>
      </c>
      <c r="D545" s="69">
        <f>30845.57-60000-15500</f>
        <v>-44654.43</v>
      </c>
      <c r="E545" s="89"/>
      <c r="F545" s="135">
        <f t="shared" si="174"/>
        <v>50145.57</v>
      </c>
      <c r="G545" s="169"/>
      <c r="H545" s="170"/>
      <c r="I545" s="211">
        <f>F545+G545+H545</f>
        <v>50145.57</v>
      </c>
      <c r="J545" s="169">
        <f>-9598.39</f>
        <v>-9598.39</v>
      </c>
      <c r="K545" s="229"/>
      <c r="L545" s="261">
        <f>I545+J545+K545</f>
        <v>40547.18</v>
      </c>
      <c r="M545" s="243">
        <f>5000+2582.18</f>
        <v>7582.18</v>
      </c>
      <c r="N545" s="170"/>
      <c r="O545" s="211">
        <f>L545+M545+N545</f>
        <v>48129.36</v>
      </c>
      <c r="P545" s="171"/>
      <c r="Q545" s="299">
        <f t="shared" si="177"/>
        <v>48129.36</v>
      </c>
    </row>
    <row r="546" spans="1:17" ht="12.75" hidden="1">
      <c r="A546" s="12" t="s">
        <v>116</v>
      </c>
      <c r="B546" s="54"/>
      <c r="C546" s="88"/>
      <c r="D546" s="69"/>
      <c r="E546" s="89"/>
      <c r="F546" s="135">
        <f t="shared" si="174"/>
        <v>0</v>
      </c>
      <c r="G546" s="169"/>
      <c r="H546" s="170"/>
      <c r="I546" s="211">
        <f>F546+G546+H546</f>
        <v>0</v>
      </c>
      <c r="J546" s="169"/>
      <c r="K546" s="229"/>
      <c r="L546" s="261">
        <f>I546+J546+K546</f>
        <v>0</v>
      </c>
      <c r="M546" s="243"/>
      <c r="N546" s="170"/>
      <c r="O546" s="211">
        <f>L546+M546+N546</f>
        <v>0</v>
      </c>
      <c r="P546" s="171"/>
      <c r="Q546" s="299">
        <f t="shared" si="177"/>
        <v>0</v>
      </c>
    </row>
    <row r="547" spans="1:17" ht="12.75" hidden="1">
      <c r="A547" s="12" t="s">
        <v>109</v>
      </c>
      <c r="B547" s="54"/>
      <c r="C547" s="88"/>
      <c r="D547" s="76">
        <f>2387.81</f>
        <v>2387.81</v>
      </c>
      <c r="E547" s="89"/>
      <c r="F547" s="135">
        <f t="shared" si="174"/>
        <v>2387.81</v>
      </c>
      <c r="G547" s="169"/>
      <c r="H547" s="170"/>
      <c r="I547" s="211">
        <f>F547+G547+H547</f>
        <v>2387.81</v>
      </c>
      <c r="J547" s="169">
        <f>5194.37</f>
        <v>5194.37</v>
      </c>
      <c r="K547" s="229"/>
      <c r="L547" s="261">
        <f>I547+J547+K547</f>
        <v>7582.18</v>
      </c>
      <c r="M547" s="243">
        <f>-5000-2582.18</f>
        <v>-7582.18</v>
      </c>
      <c r="N547" s="170"/>
      <c r="O547" s="211">
        <f>L547+M547+N547</f>
        <v>0</v>
      </c>
      <c r="P547" s="171"/>
      <c r="Q547" s="299">
        <f t="shared" si="177"/>
        <v>0</v>
      </c>
    </row>
    <row r="548" spans="1:17" ht="12.75">
      <c r="A548" s="13" t="s">
        <v>120</v>
      </c>
      <c r="B548" s="54"/>
      <c r="C548" s="88">
        <f>C549+C550</f>
        <v>5001</v>
      </c>
      <c r="D548" s="69">
        <f aca="true" t="shared" si="186" ref="D548:Q548">D549+D550</f>
        <v>6671.28</v>
      </c>
      <c r="E548" s="89">
        <f t="shared" si="186"/>
        <v>0</v>
      </c>
      <c r="F548" s="135">
        <f t="shared" si="186"/>
        <v>11672.279999999999</v>
      </c>
      <c r="G548" s="169">
        <f t="shared" si="186"/>
        <v>-5000</v>
      </c>
      <c r="H548" s="170">
        <f t="shared" si="186"/>
        <v>0</v>
      </c>
      <c r="I548" s="211">
        <f t="shared" si="186"/>
        <v>6672.28</v>
      </c>
      <c r="J548" s="169">
        <f t="shared" si="186"/>
        <v>0</v>
      </c>
      <c r="K548" s="229">
        <f t="shared" si="186"/>
        <v>0</v>
      </c>
      <c r="L548" s="261">
        <f t="shared" si="186"/>
        <v>6672.28</v>
      </c>
      <c r="M548" s="229">
        <f t="shared" si="186"/>
        <v>-6500</v>
      </c>
      <c r="N548" s="170">
        <f t="shared" si="186"/>
        <v>0</v>
      </c>
      <c r="O548" s="211">
        <f t="shared" si="186"/>
        <v>172.27999999999975</v>
      </c>
      <c r="P548" s="169">
        <f t="shared" si="186"/>
        <v>0</v>
      </c>
      <c r="Q548" s="211">
        <f t="shared" si="186"/>
        <v>172.27999999999975</v>
      </c>
    </row>
    <row r="549" spans="1:17" ht="12.75">
      <c r="A549" s="13" t="s">
        <v>226</v>
      </c>
      <c r="B549" s="54"/>
      <c r="C549" s="88">
        <v>5000</v>
      </c>
      <c r="D549" s="69">
        <f>1641.28</f>
        <v>1641.28</v>
      </c>
      <c r="E549" s="89"/>
      <c r="F549" s="135">
        <f t="shared" si="174"/>
        <v>6641.28</v>
      </c>
      <c r="G549" s="169"/>
      <c r="H549" s="170"/>
      <c r="I549" s="211">
        <f>F549+G549+H549</f>
        <v>6641.28</v>
      </c>
      <c r="J549" s="169"/>
      <c r="K549" s="229"/>
      <c r="L549" s="261">
        <f>I549+J549+K549</f>
        <v>6641.28</v>
      </c>
      <c r="M549" s="243">
        <f>-2500-4000</f>
        <v>-6500</v>
      </c>
      <c r="N549" s="170"/>
      <c r="O549" s="211">
        <f>L549+M549+N549</f>
        <v>141.27999999999975</v>
      </c>
      <c r="P549" s="171"/>
      <c r="Q549" s="299">
        <f t="shared" si="177"/>
        <v>141.27999999999975</v>
      </c>
    </row>
    <row r="550" spans="1:17" ht="12.75">
      <c r="A550" s="16" t="s">
        <v>265</v>
      </c>
      <c r="B550" s="57"/>
      <c r="C550" s="108">
        <v>1</v>
      </c>
      <c r="D550" s="74">
        <f>5000+30</f>
        <v>5030</v>
      </c>
      <c r="E550" s="155"/>
      <c r="F550" s="164">
        <f t="shared" si="174"/>
        <v>5031</v>
      </c>
      <c r="G550" s="181">
        <f>-5000</f>
        <v>-5000</v>
      </c>
      <c r="H550" s="182"/>
      <c r="I550" s="216">
        <f>F550+G550+H550</f>
        <v>31</v>
      </c>
      <c r="J550" s="181"/>
      <c r="K550" s="254"/>
      <c r="L550" s="261">
        <f>I550+J550+K550</f>
        <v>31</v>
      </c>
      <c r="M550" s="240"/>
      <c r="N550" s="182"/>
      <c r="O550" s="216">
        <f>L550+M550+N550</f>
        <v>31</v>
      </c>
      <c r="P550" s="296"/>
      <c r="Q550" s="295">
        <f t="shared" si="177"/>
        <v>31</v>
      </c>
    </row>
    <row r="551" spans="1:17" ht="13.5" thickBot="1">
      <c r="A551" s="25" t="s">
        <v>121</v>
      </c>
      <c r="B551" s="58"/>
      <c r="C551" s="84">
        <v>9568.78</v>
      </c>
      <c r="D551" s="69">
        <f>270</f>
        <v>270</v>
      </c>
      <c r="E551" s="85"/>
      <c r="F551" s="137">
        <f t="shared" si="174"/>
        <v>9838.78</v>
      </c>
      <c r="G551" s="173"/>
      <c r="H551" s="174">
        <f>4154.61</f>
        <v>4154.61</v>
      </c>
      <c r="I551" s="212">
        <f>SUM(F551:H551)</f>
        <v>13993.39</v>
      </c>
      <c r="J551" s="173"/>
      <c r="K551" s="230"/>
      <c r="L551" s="268">
        <f>SUM(I551:K551)</f>
        <v>13993.39</v>
      </c>
      <c r="M551" s="278"/>
      <c r="N551" s="174"/>
      <c r="O551" s="212">
        <f>SUM(L551:N551)</f>
        <v>13993.39</v>
      </c>
      <c r="P551" s="173"/>
      <c r="Q551" s="212">
        <f>O551+P551</f>
        <v>13993.39</v>
      </c>
    </row>
    <row r="552" spans="1:17" ht="15.75" thickBot="1">
      <c r="A552" s="26" t="s">
        <v>122</v>
      </c>
      <c r="B552" s="61"/>
      <c r="C552" s="92">
        <f>+C84+C103+C114+C133+C145+C180+C240+C263+C295+C316+C398+C435+C459+C466+C498+C502+C551+C473+C340+C288</f>
        <v>4869240.36</v>
      </c>
      <c r="D552" s="78">
        <f>+D84+D103+D114+D133+D145+D180+D240+D263+D295+D316+D398+D435+D459+D466+D498+D502+D551+D473+D340+D288</f>
        <v>13201803.469999995</v>
      </c>
      <c r="E552" s="93">
        <f>+E84+E103+E114+E133+E145+E180+E240+E263+E295+E316+E398+E435+E459+E466+E498+E502+E551+E473+E340</f>
        <v>2062</v>
      </c>
      <c r="F552" s="142">
        <f aca="true" t="shared" si="187" ref="F552:Q552">+F84+F103+F114+F133+F145+F180+F240+F263+F295+F316+F398+F435+F459+F466+F498+F502+F551+F473+F340+F288</f>
        <v>18073105.829999994</v>
      </c>
      <c r="G552" s="186">
        <f t="shared" si="187"/>
        <v>773487.52</v>
      </c>
      <c r="H552" s="187">
        <f t="shared" si="187"/>
        <v>144981.54</v>
      </c>
      <c r="I552" s="220">
        <f t="shared" si="187"/>
        <v>18991574.890000004</v>
      </c>
      <c r="J552" s="186">
        <f t="shared" si="187"/>
        <v>1045759.9800000001</v>
      </c>
      <c r="K552" s="234">
        <f t="shared" si="187"/>
        <v>17792.32</v>
      </c>
      <c r="L552" s="269">
        <f t="shared" si="187"/>
        <v>20055127.189999998</v>
      </c>
      <c r="M552" s="234">
        <f t="shared" si="187"/>
        <v>440763.62</v>
      </c>
      <c r="N552" s="187">
        <f t="shared" si="187"/>
        <v>48161.03</v>
      </c>
      <c r="O552" s="220">
        <f t="shared" si="187"/>
        <v>20544051.839999992</v>
      </c>
      <c r="P552" s="186">
        <f t="shared" si="187"/>
        <v>-1980.96000000003</v>
      </c>
      <c r="Q552" s="220">
        <f t="shared" si="187"/>
        <v>20542070.879999995</v>
      </c>
    </row>
    <row r="553" spans="1:17" ht="13.5" thickBot="1">
      <c r="A553" s="27" t="s">
        <v>123</v>
      </c>
      <c r="B553" s="61"/>
      <c r="C553" s="111">
        <v>-9568.78</v>
      </c>
      <c r="D553" s="133">
        <f>-270</f>
        <v>-270</v>
      </c>
      <c r="E553" s="125"/>
      <c r="F553" s="165">
        <f t="shared" si="174"/>
        <v>-9838.78</v>
      </c>
      <c r="G553" s="188"/>
      <c r="H553" s="189"/>
      <c r="I553" s="212">
        <f>SUM(F553:H553)</f>
        <v>-9838.78</v>
      </c>
      <c r="J553" s="188"/>
      <c r="K553" s="256"/>
      <c r="L553" s="268">
        <f>SUM(I553:K553)</f>
        <v>-9838.78</v>
      </c>
      <c r="M553" s="280"/>
      <c r="N553" s="189"/>
      <c r="O553" s="212">
        <f>SUM(L553:N553)</f>
        <v>-9838.78</v>
      </c>
      <c r="P553" s="188"/>
      <c r="Q553" s="301">
        <f>O553+P553</f>
        <v>-9838.78</v>
      </c>
    </row>
    <row r="554" spans="1:17" ht="16.5" thickBot="1">
      <c r="A554" s="28" t="s">
        <v>124</v>
      </c>
      <c r="B554" s="61"/>
      <c r="C554" s="112">
        <f aca="true" t="shared" si="188" ref="C554:Q554">C552+C553</f>
        <v>4859671.58</v>
      </c>
      <c r="D554" s="72">
        <f t="shared" si="188"/>
        <v>13201533.469999995</v>
      </c>
      <c r="E554" s="126">
        <f t="shared" si="188"/>
        <v>2062</v>
      </c>
      <c r="F554" s="143">
        <f t="shared" si="188"/>
        <v>18063267.049999993</v>
      </c>
      <c r="G554" s="190">
        <f t="shared" si="188"/>
        <v>773487.52</v>
      </c>
      <c r="H554" s="191">
        <f t="shared" si="188"/>
        <v>144981.54</v>
      </c>
      <c r="I554" s="221">
        <f t="shared" si="188"/>
        <v>18981736.110000003</v>
      </c>
      <c r="J554" s="190">
        <f t="shared" si="188"/>
        <v>1045759.9800000001</v>
      </c>
      <c r="K554" s="235">
        <f t="shared" si="188"/>
        <v>17792.32</v>
      </c>
      <c r="L554" s="270">
        <f t="shared" si="188"/>
        <v>20045288.409999996</v>
      </c>
      <c r="M554" s="235">
        <f t="shared" si="188"/>
        <v>440763.62</v>
      </c>
      <c r="N554" s="191">
        <f t="shared" si="188"/>
        <v>48161.03</v>
      </c>
      <c r="O554" s="221">
        <f t="shared" si="188"/>
        <v>20534213.05999999</v>
      </c>
      <c r="P554" s="190">
        <f t="shared" si="188"/>
        <v>-1980.96000000003</v>
      </c>
      <c r="Q554" s="221">
        <f t="shared" si="188"/>
        <v>20532232.099999994</v>
      </c>
    </row>
    <row r="555" spans="1:17" ht="15.75">
      <c r="A555" s="29" t="s">
        <v>26</v>
      </c>
      <c r="B555" s="62"/>
      <c r="C555" s="113"/>
      <c r="D555" s="79"/>
      <c r="E555" s="127"/>
      <c r="F555" s="144"/>
      <c r="G555" s="192"/>
      <c r="H555" s="193"/>
      <c r="I555" s="222"/>
      <c r="J555" s="192"/>
      <c r="K555" s="236"/>
      <c r="L555" s="271"/>
      <c r="M555" s="281"/>
      <c r="N555" s="193"/>
      <c r="O555" s="222"/>
      <c r="P555" s="192"/>
      <c r="Q555" s="222"/>
    </row>
    <row r="556" spans="1:17" ht="15.75">
      <c r="A556" s="30" t="s">
        <v>215</v>
      </c>
      <c r="B556" s="63"/>
      <c r="C556" s="114">
        <f>+C85+C104+C115+C134+C146+C181+C241+C264+C296+C317+C399+C436+C460+C467+C499+C504+C551+C553+C474+C341+C289</f>
        <v>4013386.4899999998</v>
      </c>
      <c r="D556" s="148">
        <f>+D85+D104+D115+D134+D146+D181+D241+D264+D296+D317+D399+D436+D460+D467+D499+D504+D551+D553+D474+D341+D289</f>
        <v>10730848.969999997</v>
      </c>
      <c r="E556" s="128">
        <f>+E85+E104+E115+E134+E146+E181+E241+E264+E296+E317+E399+E436+E460+E467+E499+E504+E551+E553+E474+E341</f>
        <v>710.5</v>
      </c>
      <c r="F556" s="145">
        <f aca="true" t="shared" si="189" ref="F556:O556">+F85+F104+F115+F134+F146+F181+F241+F264+F296+F317+F399+F436+F460+F467+F499+F504+F551+F553+F474+F341+F289</f>
        <v>14744945.959999999</v>
      </c>
      <c r="G556" s="194">
        <f t="shared" si="189"/>
        <v>403481.12999999995</v>
      </c>
      <c r="H556" s="195">
        <f t="shared" si="189"/>
        <v>40836.55</v>
      </c>
      <c r="I556" s="223">
        <f t="shared" si="189"/>
        <v>15189263.640000002</v>
      </c>
      <c r="J556" s="194">
        <f t="shared" si="189"/>
        <v>742485.72</v>
      </c>
      <c r="K556" s="237">
        <f t="shared" si="189"/>
        <v>2170.63</v>
      </c>
      <c r="L556" s="272">
        <f t="shared" si="189"/>
        <v>15933919.989999995</v>
      </c>
      <c r="M556" s="237">
        <f t="shared" si="189"/>
        <v>255742.22999999998</v>
      </c>
      <c r="N556" s="195">
        <f t="shared" si="189"/>
        <v>-22573.7</v>
      </c>
      <c r="O556" s="223">
        <f t="shared" si="189"/>
        <v>16167088.52</v>
      </c>
      <c r="P556" s="194">
        <f>+P85+P104+P115+P134+P146+P181+P241+P264+P296+P317+P399+P436+P460+P467+P499+P504+P551+P553+P474+P341+P289</f>
        <v>-3900.5100000000066</v>
      </c>
      <c r="Q556" s="223">
        <f>+Q85+Q104+Q115+Q134+Q146+Q181+Q241+Q264+Q296+Q317+Q399+Q436+Q460+Q467+Q499+Q504+Q551+Q553+Q474+Q341+Q289</f>
        <v>16163188.009999998</v>
      </c>
    </row>
    <row r="557" spans="1:17" ht="16.5" thickBot="1">
      <c r="A557" s="18" t="s">
        <v>216</v>
      </c>
      <c r="B557" s="64"/>
      <c r="C557" s="115">
        <f>+C94+C111+C128+C139+C169+C227+C256+C280+C309+C336+C430+C450+C463+C505+C488+C366+C292</f>
        <v>846285.09</v>
      </c>
      <c r="D557" s="149">
        <f>+D94+D111+D128+D139+D169+D227+D256+D280+D309+D336+D430+D450+D463+D505+D488+D366+D292</f>
        <v>2470684.5</v>
      </c>
      <c r="E557" s="129">
        <f>+E94+E111+E128+E139+E169+E227+E256+E280+E309+E336+E430+E450+E463+E505+E488+E366</f>
        <v>1351.5</v>
      </c>
      <c r="F557" s="146">
        <f aca="true" t="shared" si="190" ref="F557:O557">+F94+F111+F128+F139+F169+F227+F256+F280+F309+F336+F430+F450+F463+F505+F488+F366+F292</f>
        <v>3318321.09</v>
      </c>
      <c r="G557" s="196">
        <f t="shared" si="190"/>
        <v>370006.39</v>
      </c>
      <c r="H557" s="197">
        <f t="shared" si="190"/>
        <v>104144.99</v>
      </c>
      <c r="I557" s="224">
        <f t="shared" si="190"/>
        <v>3792472.4699999997</v>
      </c>
      <c r="J557" s="196">
        <f t="shared" si="190"/>
        <v>303274.26</v>
      </c>
      <c r="K557" s="238">
        <f t="shared" si="190"/>
        <v>15621.69</v>
      </c>
      <c r="L557" s="273">
        <f t="shared" si="190"/>
        <v>4111368.42</v>
      </c>
      <c r="M557" s="238">
        <f t="shared" si="190"/>
        <v>185021.39</v>
      </c>
      <c r="N557" s="197">
        <f t="shared" si="190"/>
        <v>70734.73000000001</v>
      </c>
      <c r="O557" s="224">
        <f t="shared" si="190"/>
        <v>4367124.54</v>
      </c>
      <c r="P557" s="196">
        <f>+P94+P111+P128+P139+P169+P227+P256+P280+P309+P336+P430+P450+P463+P505+P488+P366+P292</f>
        <v>1919.5499999999774</v>
      </c>
      <c r="Q557" s="224">
        <f>+Q94+Q111+Q128+Q139+Q169+Q227+Q256+Q280+Q309+Q336+Q430+Q450+Q463+Q505+Q488+Q366+Q292</f>
        <v>4369044.09</v>
      </c>
    </row>
    <row r="558" spans="1:17" ht="16.5" thickBot="1">
      <c r="A558" s="30" t="s">
        <v>209</v>
      </c>
      <c r="B558" s="63"/>
      <c r="C558" s="92">
        <f aca="true" t="shared" si="191" ref="C558:O558">C82-C554</f>
        <v>0</v>
      </c>
      <c r="D558" s="78">
        <f t="shared" si="191"/>
        <v>-2325927.1899999976</v>
      </c>
      <c r="E558" s="93">
        <f t="shared" si="191"/>
        <v>-2062</v>
      </c>
      <c r="F558" s="142">
        <f t="shared" si="191"/>
        <v>-2327989.1899999958</v>
      </c>
      <c r="G558" s="186">
        <f t="shared" si="191"/>
        <v>-17582.099999999977</v>
      </c>
      <c r="H558" s="187">
        <f t="shared" si="191"/>
        <v>-56669.5</v>
      </c>
      <c r="I558" s="220">
        <f t="shared" si="191"/>
        <v>-2402240.7900000047</v>
      </c>
      <c r="J558" s="186">
        <f t="shared" si="191"/>
        <v>0</v>
      </c>
      <c r="K558" s="234">
        <f t="shared" si="191"/>
        <v>0</v>
      </c>
      <c r="L558" s="269">
        <f t="shared" si="191"/>
        <v>-2402240.789999999</v>
      </c>
      <c r="M558" s="234">
        <f t="shared" si="191"/>
        <v>0</v>
      </c>
      <c r="N558" s="187">
        <f t="shared" si="191"/>
        <v>0</v>
      </c>
      <c r="O558" s="220">
        <f t="shared" si="191"/>
        <v>-2402240.7899999917</v>
      </c>
      <c r="P558" s="186">
        <f>P82-P554</f>
        <v>7.275957614183426E-12</v>
      </c>
      <c r="Q558" s="220">
        <f>Q82-Q554</f>
        <v>-2402240.7899999917</v>
      </c>
    </row>
    <row r="559" spans="1:17" ht="15.75">
      <c r="A559" s="29" t="s">
        <v>217</v>
      </c>
      <c r="B559" s="62"/>
      <c r="C559" s="116">
        <f>SUM(C561:C564)</f>
        <v>0</v>
      </c>
      <c r="D559" s="80">
        <f aca="true" t="shared" si="192" ref="D559:O559">SUM(D561:D564)</f>
        <v>2325927.1900000004</v>
      </c>
      <c r="E559" s="130">
        <f t="shared" si="192"/>
        <v>2062</v>
      </c>
      <c r="F559" s="147">
        <f t="shared" si="192"/>
        <v>2327989.1900000004</v>
      </c>
      <c r="G559" s="198">
        <f t="shared" si="192"/>
        <v>17582.1</v>
      </c>
      <c r="H559" s="199">
        <f t="shared" si="192"/>
        <v>56669.5</v>
      </c>
      <c r="I559" s="225">
        <f t="shared" si="192"/>
        <v>2402240.79</v>
      </c>
      <c r="J559" s="198">
        <f t="shared" si="192"/>
        <v>0</v>
      </c>
      <c r="K559" s="239">
        <f t="shared" si="192"/>
        <v>0</v>
      </c>
      <c r="L559" s="274">
        <f t="shared" si="192"/>
        <v>2402240.79</v>
      </c>
      <c r="M559" s="239">
        <f t="shared" si="192"/>
        <v>0</v>
      </c>
      <c r="N559" s="199">
        <f t="shared" si="192"/>
        <v>0</v>
      </c>
      <c r="O559" s="225">
        <f t="shared" si="192"/>
        <v>2402240.79</v>
      </c>
      <c r="P559" s="198">
        <f>SUM(P561:P564)</f>
        <v>0</v>
      </c>
      <c r="Q559" s="225">
        <f>SUM(Q561:Q564)</f>
        <v>2402240.79</v>
      </c>
    </row>
    <row r="560" spans="1:17" ht="12.75" customHeight="1">
      <c r="A560" s="31" t="s">
        <v>26</v>
      </c>
      <c r="B560" s="65"/>
      <c r="C560" s="117"/>
      <c r="D560" s="81"/>
      <c r="E560" s="159"/>
      <c r="F560" s="166"/>
      <c r="G560" s="200"/>
      <c r="H560" s="201"/>
      <c r="I560" s="226"/>
      <c r="J560" s="200"/>
      <c r="K560" s="257"/>
      <c r="L560" s="275"/>
      <c r="M560" s="282"/>
      <c r="N560" s="201"/>
      <c r="O560" s="226"/>
      <c r="P560" s="171"/>
      <c r="Q560" s="299"/>
    </row>
    <row r="561" spans="1:17" ht="14.25">
      <c r="A561" s="31" t="s">
        <v>125</v>
      </c>
      <c r="B561" s="65"/>
      <c r="C561" s="118"/>
      <c r="D561" s="99">
        <f>269393.98</f>
        <v>269393.98</v>
      </c>
      <c r="E561" s="160"/>
      <c r="F561" s="166">
        <f>SUM(C561:E561)</f>
        <v>269393.98</v>
      </c>
      <c r="G561" s="202"/>
      <c r="H561" s="203"/>
      <c r="I561" s="226">
        <f>SUM(F561:H561)</f>
        <v>269393.98</v>
      </c>
      <c r="J561" s="202"/>
      <c r="K561" s="258"/>
      <c r="L561" s="287">
        <f>SUM(I561:K561)</f>
        <v>269393.98</v>
      </c>
      <c r="M561" s="288"/>
      <c r="N561" s="289"/>
      <c r="O561" s="290">
        <f>SUM(L561:N561)</f>
        <v>269393.98</v>
      </c>
      <c r="P561" s="171"/>
      <c r="Q561" s="299">
        <f t="shared" si="177"/>
        <v>269393.98</v>
      </c>
    </row>
    <row r="562" spans="1:17" ht="14.25" hidden="1">
      <c r="A562" s="32" t="s">
        <v>133</v>
      </c>
      <c r="B562" s="65"/>
      <c r="C562" s="118"/>
      <c r="D562" s="99"/>
      <c r="E562" s="160"/>
      <c r="F562" s="166">
        <f>SUM(C562:E562)</f>
        <v>0</v>
      </c>
      <c r="G562" s="202"/>
      <c r="H562" s="203"/>
      <c r="I562" s="226">
        <f>SUM(F562:H562)</f>
        <v>0</v>
      </c>
      <c r="J562" s="202"/>
      <c r="K562" s="258"/>
      <c r="L562" s="287">
        <f>SUM(I562:K562)</f>
        <v>0</v>
      </c>
      <c r="M562" s="288"/>
      <c r="N562" s="289"/>
      <c r="O562" s="290">
        <f>SUM(L562:N562)</f>
        <v>0</v>
      </c>
      <c r="P562" s="171"/>
      <c r="Q562" s="299">
        <f t="shared" si="177"/>
        <v>0</v>
      </c>
    </row>
    <row r="563" spans="1:17" ht="14.25">
      <c r="A563" s="32" t="s">
        <v>126</v>
      </c>
      <c r="B563" s="207"/>
      <c r="C563" s="118"/>
      <c r="D563" s="99">
        <f>22350+8500+273614.06+656729.81+409021.82+6945.01+22504.52+39170+1212.32+605.7+27200.82+376+34573.27+2000+39584.06+40000+61784.51+6000+5650.67+2375.18+34273.54+195+71830.81+2761.07+1166.89+929.62+40206.84+3655.15+5200+2716.73+11989.87+2618.88+22203.65+196265.41+322</f>
        <v>2056533.2100000002</v>
      </c>
      <c r="E563" s="160">
        <f>50+2012</f>
        <v>2062</v>
      </c>
      <c r="F563" s="166">
        <f>SUM(C563:E563)</f>
        <v>2058595.2100000002</v>
      </c>
      <c r="G563" s="202">
        <f>3000+1092.1+1600+4000+7890</f>
        <v>17582.1</v>
      </c>
      <c r="H563" s="203">
        <f>22525+1600+1200+8618.75+18571.14</f>
        <v>52514.89</v>
      </c>
      <c r="I563" s="226">
        <f>SUM(F563:H563)</f>
        <v>2128692.2</v>
      </c>
      <c r="J563" s="202"/>
      <c r="K563" s="258"/>
      <c r="L563" s="287">
        <f>SUM(I563:K563)</f>
        <v>2128692.2</v>
      </c>
      <c r="M563" s="288"/>
      <c r="N563" s="289"/>
      <c r="O563" s="290">
        <f>SUM(L563:N563)</f>
        <v>2128692.2</v>
      </c>
      <c r="P563" s="171"/>
      <c r="Q563" s="299">
        <f t="shared" si="177"/>
        <v>2128692.2</v>
      </c>
    </row>
    <row r="564" spans="1:17" ht="15" thickBot="1">
      <c r="A564" s="41" t="s">
        <v>144</v>
      </c>
      <c r="B564" s="66"/>
      <c r="C564" s="119"/>
      <c r="D564" s="100" t="s">
        <v>189</v>
      </c>
      <c r="E564" s="208"/>
      <c r="F564" s="209">
        <f>SUM(C564:E564)</f>
        <v>0</v>
      </c>
      <c r="G564" s="205"/>
      <c r="H564" s="204">
        <f>4154.61</f>
        <v>4154.61</v>
      </c>
      <c r="I564" s="227">
        <f>SUM(F564:H564)</f>
        <v>4154.61</v>
      </c>
      <c r="J564" s="285">
        <v>0</v>
      </c>
      <c r="K564" s="259">
        <v>0</v>
      </c>
      <c r="L564" s="291">
        <f>SUM(I564:K564)</f>
        <v>4154.61</v>
      </c>
      <c r="M564" s="292"/>
      <c r="N564" s="293"/>
      <c r="O564" s="294">
        <f>SUM(L564:N564)</f>
        <v>4154.61</v>
      </c>
      <c r="P564" s="302"/>
      <c r="Q564" s="303">
        <f t="shared" si="177"/>
        <v>4154.61</v>
      </c>
    </row>
    <row r="565" spans="2:17" ht="12.75" hidden="1">
      <c r="B565" s="67"/>
      <c r="C565" s="77">
        <f aca="true" t="shared" si="193" ref="C565:Q565">C82+C559-C554</f>
        <v>0</v>
      </c>
      <c r="D565" s="77">
        <f t="shared" si="193"/>
        <v>0</v>
      </c>
      <c r="E565" s="77">
        <f t="shared" si="193"/>
        <v>0</v>
      </c>
      <c r="F565" s="77">
        <f t="shared" si="193"/>
        <v>0</v>
      </c>
      <c r="G565" s="77">
        <f t="shared" si="193"/>
        <v>0</v>
      </c>
      <c r="H565" s="77">
        <f t="shared" si="193"/>
        <v>0</v>
      </c>
      <c r="I565" s="77">
        <f t="shared" si="193"/>
        <v>0</v>
      </c>
      <c r="J565" s="77">
        <f t="shared" si="193"/>
        <v>0</v>
      </c>
      <c r="K565" s="77">
        <f t="shared" si="193"/>
        <v>0</v>
      </c>
      <c r="L565" s="77">
        <f t="shared" si="193"/>
        <v>0</v>
      </c>
      <c r="M565" s="77">
        <f t="shared" si="193"/>
        <v>0</v>
      </c>
      <c r="N565" s="77">
        <f t="shared" si="193"/>
        <v>0</v>
      </c>
      <c r="O565" s="77">
        <f t="shared" si="193"/>
        <v>0</v>
      </c>
      <c r="P565" s="77">
        <f t="shared" si="193"/>
        <v>7.275957614183426E-12</v>
      </c>
      <c r="Q565" s="77">
        <f t="shared" si="193"/>
        <v>0</v>
      </c>
    </row>
    <row r="566" spans="2:16" ht="12.75">
      <c r="B566" s="67"/>
      <c r="J566" s="91"/>
      <c r="P566" s="306"/>
    </row>
    <row r="567" spans="2:16" ht="12.75">
      <c r="B567" s="67"/>
      <c r="D567" s="91"/>
      <c r="I567" s="91"/>
      <c r="J567" s="91"/>
      <c r="P567" s="306"/>
    </row>
    <row r="568" spans="2:16" ht="12.75">
      <c r="B568" s="67"/>
      <c r="I568" s="91"/>
      <c r="J568" s="91"/>
      <c r="P568" s="306"/>
    </row>
    <row r="569" spans="2:16" ht="12.75">
      <c r="B569" s="67"/>
      <c r="I569" s="91"/>
      <c r="J569" s="91"/>
      <c r="P569" s="306"/>
    </row>
    <row r="570" spans="2:16" ht="12.75">
      <c r="B570" s="67"/>
      <c r="J570" s="91"/>
      <c r="P570" s="306"/>
    </row>
    <row r="571" spans="2:16" ht="12.75">
      <c r="B571" s="67"/>
      <c r="J571" s="91"/>
      <c r="P571" s="306"/>
    </row>
    <row r="572" spans="2:16" ht="12.75">
      <c r="B572" s="67"/>
      <c r="P572" s="306"/>
    </row>
    <row r="573" spans="2:16" ht="12.75">
      <c r="B573" s="67"/>
      <c r="P573" s="306"/>
    </row>
    <row r="574" spans="2:16" ht="12.75">
      <c r="B574" s="67"/>
      <c r="P574" s="306"/>
    </row>
    <row r="575" spans="2:16" ht="12.75">
      <c r="B575" s="67"/>
      <c r="P575" s="306"/>
    </row>
    <row r="576" spans="2:16" ht="12.75">
      <c r="B576" s="67"/>
      <c r="P576" s="306"/>
    </row>
    <row r="577" spans="2:16" ht="12.75">
      <c r="B577" s="67"/>
      <c r="P577" s="40"/>
    </row>
    <row r="578" spans="2:16" ht="12.75">
      <c r="B578" s="67"/>
      <c r="P578" s="40"/>
    </row>
    <row r="579" spans="2:16" ht="12.75">
      <c r="B579" s="67"/>
      <c r="P579" s="40"/>
    </row>
    <row r="580" spans="2:16" ht="12.75">
      <c r="B580" s="67"/>
      <c r="P580" s="40"/>
    </row>
    <row r="581" spans="2:16" ht="12.75">
      <c r="B581" s="67"/>
      <c r="P581" s="40"/>
    </row>
    <row r="582" spans="2:16" ht="12.75">
      <c r="B582" s="67"/>
      <c r="P582" s="40"/>
    </row>
    <row r="583" ht="12.75">
      <c r="P583" s="40"/>
    </row>
    <row r="584" ht="12.75">
      <c r="P584" s="40"/>
    </row>
    <row r="585" ht="12.75">
      <c r="P585" s="40"/>
    </row>
    <row r="586" ht="12.75">
      <c r="P586" s="40"/>
    </row>
    <row r="587" ht="12.75">
      <c r="P587" s="40"/>
    </row>
    <row r="588" ht="12.75">
      <c r="P588" s="40"/>
    </row>
    <row r="589" ht="12.75">
      <c r="P589" s="40"/>
    </row>
    <row r="590" ht="12.75">
      <c r="P590" s="40"/>
    </row>
    <row r="591" ht="12.75">
      <c r="P591" s="40"/>
    </row>
    <row r="592" ht="12.75">
      <c r="P592" s="40"/>
    </row>
    <row r="593" ht="12.75">
      <c r="P593" s="40"/>
    </row>
    <row r="594" ht="12.75">
      <c r="P594" s="40"/>
    </row>
    <row r="595" ht="12.75">
      <c r="P595" s="40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" right="0" top="0.7086614173228347" bottom="0.3937007874015748" header="0.5118110236220472" footer="0.11811023622047245"/>
  <pageSetup horizontalDpi="600" verticalDpi="600" orientation="portrait" paperSize="9" scale="79" r:id="rId1"/>
  <headerFooter alignWithMargins="0">
    <oddFooter>&amp;CStránka &amp;P</oddFooter>
  </headerFooter>
  <rowBreaks count="5" manualBreakCount="5">
    <brk id="82" max="8" man="1"/>
    <brk id="202" max="16" man="1"/>
    <brk id="287" max="16" man="1"/>
    <brk id="382" max="16" man="1"/>
    <brk id="4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2022-02-15T09:15:50Z</cp:lastPrinted>
  <dcterms:created xsi:type="dcterms:W3CDTF">2009-01-05T12:05:07Z</dcterms:created>
  <dcterms:modified xsi:type="dcterms:W3CDTF">2022-03-01T11:54:16Z</dcterms:modified>
  <cp:category/>
  <cp:version/>
  <cp:contentType/>
  <cp:contentStatus/>
</cp:coreProperties>
</file>