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8415" activeTab="1"/>
  </bookViews>
  <sheets>
    <sheet name="1.ZR " sheetId="1" r:id="rId1"/>
    <sheet name="1.ZR vč. PN" sheetId="2" r:id="rId2"/>
  </sheets>
  <definedNames>
    <definedName name="_xlnm.Print_Titles" localSheetId="0">'1.ZR '!$8:$9</definedName>
    <definedName name="_xlnm.Print_Titles" localSheetId="1">'1.ZR vč. PN'!$8:$9</definedName>
    <definedName name="_xlnm.Print_Area" localSheetId="0">'1.ZR '!$A$1:$F$538</definedName>
    <definedName name="_xlnm.Print_Area" localSheetId="1">'1.ZR vč. PN'!$A$1:$F$538</definedName>
    <definedName name="Z_39FD50E0_9911_4D32_8842_5A58F13D310F_.wvu.Cols" localSheetId="0" hidden="1">'1.ZR '!$D:$K,'1.ZR '!$N:$N,'1.ZR '!#REF!</definedName>
    <definedName name="Z_39FD50E0_9911_4D32_8842_5A58F13D310F_.wvu.Cols" localSheetId="1" hidden="1">'1.ZR vč. PN'!$D:$K,'1.ZR vč. PN'!$N:$N,'1.ZR vč. PN'!#REF!</definedName>
    <definedName name="Z_39FD50E0_9911_4D32_8842_5A58F13D310F_.wvu.PrintTitles" localSheetId="0" hidden="1">'1.ZR '!$8:$9</definedName>
    <definedName name="Z_39FD50E0_9911_4D32_8842_5A58F13D310F_.wvu.PrintTitles" localSheetId="1" hidden="1">'1.ZR vč. PN'!$8:$9</definedName>
    <definedName name="Z_39FD50E0_9911_4D32_8842_5A58F13D310F_.wvu.Rows" localSheetId="0" hidden="1">'1.ZR '!#REF!</definedName>
    <definedName name="Z_39FD50E0_9911_4D32_8842_5A58F13D310F_.wvu.Rows" localSheetId="1" hidden="1">'1.ZR vč. PN'!#REF!</definedName>
  </definedNames>
  <calcPr fullCalcOnLoad="1"/>
</workbook>
</file>

<file path=xl/sharedStrings.xml><?xml version="1.0" encoding="utf-8"?>
<sst xmlns="http://schemas.openxmlformats.org/spreadsheetml/2006/main" count="1150" uniqueCount="353">
  <si>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</si>
  <si>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</si>
  <si>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</si>
  <si>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</si>
  <si>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</si>
  <si>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</si>
  <si>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</si>
  <si>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</si>
  <si>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</si>
  <si>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</si>
  <si>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</si>
  <si>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</si>
  <si>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</si>
  <si>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</si>
  <si>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</si>
  <si>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</si>
  <si>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</si>
  <si>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</si>
  <si>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</si>
  <si>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</si>
  <si>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</si>
  <si>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</si>
  <si>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</si>
  <si>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</si>
  <si>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</si>
  <si>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</si>
  <si>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</si>
  <si>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</si>
  <si>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</si>
  <si>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</si>
  <si>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</si>
  <si>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</si>
  <si>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</si>
  <si>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</si>
  <si>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</si>
  <si>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</si>
  <si>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</si>
  <si>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</si>
  <si>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</si>
  <si>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</si>
  <si>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</si>
  <si>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</si>
  <si>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</si>
  <si>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</si>
  <si>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</si>
  <si>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</si>
  <si>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</si>
  <si>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</si>
  <si>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</si>
  <si>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</si>
  <si>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</si>
  <si>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</si>
  <si>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ostatní příspěvky a dary</t>
  </si>
  <si>
    <t>kapitálové výdaje</t>
  </si>
  <si>
    <t>ostatní kapitálové výdaje</t>
  </si>
  <si>
    <t>krizové plánování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</si>
  <si>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</si>
  <si>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</si>
  <si>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</si>
  <si>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</si>
  <si>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</si>
  <si>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</si>
  <si>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</si>
  <si>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</si>
  <si>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 xml:space="preserve">vodohosp.akce dle vodního zákona </t>
  </si>
  <si>
    <t>investiční transfery obcím</t>
  </si>
  <si>
    <t>kap. 09 - volnočasové aktivity</t>
  </si>
  <si>
    <t>soutěže a přehlídky - SR</t>
  </si>
  <si>
    <t>kap. 10 -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</si>
  <si>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</si>
  <si>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</si>
  <si>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</si>
  <si>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</si>
  <si>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</si>
  <si>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</si>
  <si>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</si>
  <si>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</si>
  <si>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</si>
  <si>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>preventivní programy - SR</t>
  </si>
  <si>
    <t>kompenzační pomůcky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</si>
  <si>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</si>
  <si>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</si>
  <si>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</si>
  <si>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</si>
  <si>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</si>
  <si>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</si>
  <si>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</si>
  <si>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</si>
  <si>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</si>
  <si>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</si>
  <si>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</si>
  <si>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</si>
  <si>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</si>
  <si>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</si>
  <si>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</si>
  <si>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</si>
  <si>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</si>
  <si>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</si>
  <si>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</si>
  <si>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</si>
  <si>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</si>
  <si>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</si>
  <si>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</si>
  <si>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</si>
  <si>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</si>
  <si>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</si>
  <si>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</si>
  <si>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</si>
  <si>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</si>
  <si>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</si>
  <si>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</si>
  <si>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</si>
  <si>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</si>
  <si>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</si>
  <si>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</si>
  <si>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</si>
  <si>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</si>
  <si>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</si>
  <si>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</si>
  <si>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</si>
  <si>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</si>
  <si>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</si>
  <si>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</si>
  <si>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</si>
  <si>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</si>
  <si>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</si>
  <si>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</si>
  <si>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</si>
  <si>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</si>
  <si>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</si>
  <si>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</si>
  <si>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</si>
  <si>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</si>
  <si>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</si>
  <si>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</si>
  <si>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</si>
  <si>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</si>
  <si>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</si>
  <si>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</si>
  <si>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</si>
  <si>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</si>
  <si>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</si>
  <si>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</si>
  <si>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</si>
  <si>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</si>
  <si>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</si>
  <si>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</si>
  <si>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</si>
  <si>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</si>
  <si>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</si>
  <si>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</si>
  <si>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</si>
  <si>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</si>
  <si>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</si>
  <si>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</si>
  <si>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</si>
  <si>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</si>
  <si>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</si>
  <si>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</si>
  <si>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</si>
  <si>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</si>
  <si>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</si>
  <si>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rezerva - a. s. </t>
  </si>
  <si>
    <t>EPC</t>
  </si>
  <si>
    <t>kapitál.výd. - energetika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</si>
  <si>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</si>
  <si>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</si>
  <si>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</si>
  <si>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</si>
  <si>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</si>
  <si>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</si>
  <si>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</si>
  <si>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</si>
  <si>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</si>
  <si>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zdravotnictví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</si>
  <si>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</si>
  <si>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</si>
  <si>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</si>
  <si>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</si>
  <si>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HZS KHK - Rekonstr.stadionu pro požární sport v HK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</si>
  <si>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</si>
  <si>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</si>
  <si>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</si>
  <si>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</si>
  <si>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</si>
  <si>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>Průmyslová zóna Kvasiny III.</t>
  </si>
  <si>
    <t xml:space="preserve"> </t>
  </si>
  <si>
    <t xml:space="preserve">  z Úřadu práce</t>
  </si>
  <si>
    <t>odborná praxe pro mladé do 30 let v KHK - z Úřadu práce</t>
  </si>
  <si>
    <t>bezplatná výuka ČJ přizpůs.potřebám žáků-cizinců - SR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</si>
  <si>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</si>
  <si>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</si>
  <si>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</si>
  <si>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ZOO Dvůr Králové n. Labem, a.s.</t>
  </si>
  <si>
    <t xml:space="preserve">             správa majetku kraje</t>
  </si>
  <si>
    <t>rezerva PO</t>
  </si>
  <si>
    <t xml:space="preserve">            individuální dotace</t>
  </si>
  <si>
    <t>majetková účast v a.s. Zdravotnický holding</t>
  </si>
  <si>
    <t>33122  33163</t>
  </si>
  <si>
    <t xml:space="preserve">  z M obrany</t>
  </si>
  <si>
    <t>výstavba válečného hrobu obětí prusko-rakouské války-SR</t>
  </si>
  <si>
    <t>podpora odborného vzdělávání - SR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</si>
  <si>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</si>
  <si>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</si>
  <si>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</si>
  <si>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</si>
  <si>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</si>
  <si>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</si>
  <si>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</si>
  <si>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</si>
  <si>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</si>
  <si>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</si>
  <si>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</si>
  <si>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</si>
  <si>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</si>
  <si>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</si>
  <si>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</si>
  <si>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</si>
  <si>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</si>
  <si>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</si>
  <si>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</si>
  <si>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>průmyslová zóna Kvasiny - SR</t>
  </si>
  <si>
    <t xml:space="preserve">            školství - vzdělávání </t>
  </si>
  <si>
    <t xml:space="preserve">            školství - prevence</t>
  </si>
  <si>
    <t>investiční transfery a.s.</t>
  </si>
  <si>
    <t>investiční transfery ZOO Dvůr Králové n. Labem, a.s.</t>
  </si>
  <si>
    <t xml:space="preserve">             org. 2077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</si>
  <si>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</si>
  <si>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</si>
  <si>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</si>
  <si>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</si>
  <si>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</si>
  <si>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</si>
  <si>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</si>
  <si>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</si>
  <si>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</si>
  <si>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</si>
  <si>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</si>
  <si>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</si>
  <si>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</si>
  <si>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volby do Senátu PČR - SR</t>
  </si>
  <si>
    <t>vratky návratných finančních výpomocí a půjček</t>
  </si>
  <si>
    <t>příjmy z pronájmu majetku</t>
  </si>
  <si>
    <t>příjmy z dividend</t>
  </si>
  <si>
    <t>podpora výuky plavání v ZŠ - SR</t>
  </si>
  <si>
    <t xml:space="preserve">kap. 13 - evropská integrace </t>
  </si>
  <si>
    <t>1101,2066,AU 54</t>
  </si>
  <si>
    <t>OP Z projekty PO - SR</t>
  </si>
  <si>
    <t>IP Přeshraniční spolupráce zdravotn. oborů - SR</t>
  </si>
  <si>
    <t>17051, 95113</t>
  </si>
  <si>
    <t>17988, 95823</t>
  </si>
  <si>
    <t xml:space="preserve">             krajský úřad</t>
  </si>
  <si>
    <t xml:space="preserve">            kultura a památková péče</t>
  </si>
  <si>
    <t>částeční vyrovnání mezikr.rozdílů v odměňování ped.pracovníků-SR</t>
  </si>
  <si>
    <t>OP VVV - projekty PO - SR</t>
  </si>
  <si>
    <t>řešení mimoř.událostí a kriz.situací ZZS KHK - SR</t>
  </si>
  <si>
    <t>podpora mládeže na krajské úrovni - SR</t>
  </si>
  <si>
    <t xml:space="preserve">              rezerva neinvestiční a poplatky</t>
  </si>
  <si>
    <t>kap. 17 - analýzy a podpora řízení</t>
  </si>
  <si>
    <t xml:space="preserve">             org. 2088</t>
  </si>
  <si>
    <t xml:space="preserve">             org. 2099</t>
  </si>
  <si>
    <t xml:space="preserve">          sport a tělovýchova</t>
  </si>
  <si>
    <t xml:space="preserve">          životní prostředí a zemědělství</t>
  </si>
  <si>
    <t xml:space="preserve">          individuální dotace</t>
  </si>
  <si>
    <t>dotace na činnost - přímé náklady na vzdělávání - SR</t>
  </si>
  <si>
    <t>Digitální planetárium - zásobník na chlad, PD kotelny</t>
  </si>
  <si>
    <t xml:space="preserve">poplatky za odebr. množství podzemní vody </t>
  </si>
  <si>
    <t>investiční transfery obcím a DSO</t>
  </si>
  <si>
    <t xml:space="preserve">OP Z - Rozvoj KHK-chytře, efektivně, s prosperitou - SR </t>
  </si>
  <si>
    <t>zlepšení přeshraniční dostupnosti ČR - PL - SR</t>
  </si>
  <si>
    <t>Rozšíření strateg.prům.zóny Solnice-Kvasiny - SFDI - SR</t>
  </si>
  <si>
    <t>ochrana a zabezp.škol a objektů veř.správy - SR</t>
  </si>
  <si>
    <t xml:space="preserve">Snížení emisí z lokál.vytápění domácností v KHK III. - SR </t>
  </si>
  <si>
    <t>OP Z - Do praxe bez bariér - SR</t>
  </si>
  <si>
    <t xml:space="preserve">          program obnovy venkova</t>
  </si>
  <si>
    <t xml:space="preserve">          kultura a památková péče</t>
  </si>
  <si>
    <t>dopravní obslužnost:</t>
  </si>
  <si>
    <t>v tom: linková</t>
  </si>
  <si>
    <t xml:space="preserve">         drážní </t>
  </si>
  <si>
    <t>přechod na DBV T</t>
  </si>
  <si>
    <t xml:space="preserve">          regionální rozvoj</t>
  </si>
  <si>
    <t>projekty PO - SR</t>
  </si>
  <si>
    <t>projekt Jak zachraňujete u vás - pro ZZS KHK - SR</t>
  </si>
  <si>
    <t>výdaje spojené s pandemií koronaviru</t>
  </si>
  <si>
    <t xml:space="preserve">             životní prostředí</t>
  </si>
  <si>
    <t>OP Z - Predikce trhu práce - Kompas - SR</t>
  </si>
  <si>
    <t>řešení krizových situací - SR</t>
  </si>
  <si>
    <t xml:space="preserve">ostatní běžné výdaje </t>
  </si>
  <si>
    <t>kap. 16 - kultura a cestovní ruch</t>
  </si>
  <si>
    <t xml:space="preserve">kap. 39 - regionální rozvoj </t>
  </si>
  <si>
    <t xml:space="preserve">             regionální rozvoj </t>
  </si>
  <si>
    <t xml:space="preserve">             kultura </t>
  </si>
  <si>
    <t>financování silnic II. a III. tř. - SFDI - SR</t>
  </si>
  <si>
    <t>náhrady za nařízený výkon studentů v soc.sl. v době nouz.stavu-SR</t>
  </si>
  <si>
    <t>kap. 04 - informatika</t>
  </si>
  <si>
    <t xml:space="preserve">            volný čas</t>
  </si>
  <si>
    <t xml:space="preserve">          volný čas</t>
  </si>
  <si>
    <t>ostatní nedaňové příjmy</t>
  </si>
  <si>
    <t>informatika</t>
  </si>
  <si>
    <t>IP Přeshraniční spolupráce technických oborů - SR</t>
  </si>
  <si>
    <t xml:space="preserve">OP Z Služby soc.prevence v KHK V - SR  </t>
  </si>
  <si>
    <t xml:space="preserve">potravinová pomoc dětem v KHK V - obědy do škol - SR </t>
  </si>
  <si>
    <t>projekt mobility osob v programu Erasmus - SR</t>
  </si>
  <si>
    <t>OP Z Rozvoj dostup.a kvality soc.sl.v KHK VII - SR 2021</t>
  </si>
  <si>
    <t>OP Z Služby soc.prevence v KHK V - SR  2021</t>
  </si>
  <si>
    <t>OP Z Komunitní služby - SR 2021</t>
  </si>
  <si>
    <t xml:space="preserve">mzd.nákl.-prac.povin.studentů-epidemie Covid-19 - SR </t>
  </si>
  <si>
    <t>nástroje pro oživení a odolnost - doučování žáků - SR</t>
  </si>
  <si>
    <t>OPZ - Rozvoj systému hospodaření s energií v KHK - SR 2021</t>
  </si>
  <si>
    <t xml:space="preserve">             informatika</t>
  </si>
  <si>
    <t xml:space="preserve">          školství - vzdělávání </t>
  </si>
  <si>
    <t xml:space="preserve">OP Z Rozvoj reg.partnerství v soc.oblasti v KHK II - SR </t>
  </si>
  <si>
    <t>NA ROK 2023</t>
  </si>
  <si>
    <t>ISO 50001 - plnění cílů</t>
  </si>
  <si>
    <t xml:space="preserve">průmyslová zóna Solnice - Kvasiny </t>
  </si>
  <si>
    <t>rezerva - navýšení energií</t>
  </si>
  <si>
    <t>příprava a realizace OZE (obnovitelné zdroje energie)</t>
  </si>
  <si>
    <t xml:space="preserve">                             - soukromé školství - SR</t>
  </si>
  <si>
    <t>OP Z+ Služby sociální prevence v KHK VII - SR</t>
  </si>
  <si>
    <t>OP Z+ Podpora procesu transformace péče o ohrož.děti v KHK - SR</t>
  </si>
  <si>
    <t>Výměna kotlů pro nízkopříjmové domácnosti v KHK I. - SR</t>
  </si>
  <si>
    <t xml:space="preserve">  z MF</t>
  </si>
  <si>
    <t>Komunitní zahrada kapucínského kláštera v Opočně - SR</t>
  </si>
  <si>
    <t>spolupráce se studenty - příprava investic</t>
  </si>
  <si>
    <t>energetika</t>
  </si>
  <si>
    <t>řešení krizových a havarijních situací</t>
  </si>
  <si>
    <t>Krajský akční plán vzdělávání v KHK - SR 2022</t>
  </si>
  <si>
    <t>IKAP rozvoje vzdělávání v KHK II - SR 2022</t>
  </si>
  <si>
    <t>Krajský akční plán vzdělávání v KHK II - SR 2022</t>
  </si>
  <si>
    <t>OP VVV - Smart Akcelerátor II. - SR 2022</t>
  </si>
  <si>
    <t>OP Z - Predikce trhu práce - Kompas - SR 2022</t>
  </si>
  <si>
    <t>Snížení emisí z lokál.vytápění domácností v KHK II - SR 2022</t>
  </si>
  <si>
    <t>Snížení emisí z lokál.vytápění domácností v KHK III. - SR 2022</t>
  </si>
  <si>
    <t>potravinová pomoc dětem v KHK V - obědy do škol - SR 2022</t>
  </si>
  <si>
    <t>TP Interreg V-A ČR-Polsko - SR 2022</t>
  </si>
  <si>
    <t>Nová zelená úsporám - AMO - SR 2022</t>
  </si>
  <si>
    <t>OP Z+ Rozvoj reg.partnerství v soc.oblasti v KHK III - SR 2022</t>
  </si>
  <si>
    <t>OP Z+ Žijeme v komunitě fáze 1 - SR 2022</t>
  </si>
  <si>
    <t>OP Z+ Žijeme v komunitě fáze 2 - SR 2022</t>
  </si>
  <si>
    <t>OP Z Služby soc.prevence v KHK VI - SR  2022</t>
  </si>
  <si>
    <t>OP Z Služby soc.prevence v KHK VII - SR  2022</t>
  </si>
  <si>
    <t>OP Z+ Podpora procesů reformy péče o duševní zdraví - SR 2022</t>
  </si>
  <si>
    <t>OP Z+ Rozvoj kompetencí sociálních služeb v KHK - SR 2022</t>
  </si>
  <si>
    <t>národní plán obnovy - podpora projektů kreativního učení - SR</t>
  </si>
  <si>
    <t>národní program podpory cestovního ruchu - SR</t>
  </si>
  <si>
    <t>Interreg VA ČR-PL online digitální platforma - SR</t>
  </si>
  <si>
    <t>Hry X. zimní olympiády dětí a mládeže ČR 2023 - SR</t>
  </si>
  <si>
    <t>Výměna kotlů pro nízkopříjmové domácnosti v KHK I. - SR 2022</t>
  </si>
  <si>
    <t>OP Z - Agentura pro sociální začleňování jako inovační aktér - SR</t>
  </si>
  <si>
    <t>Správa nemovitostí KHK, a.s. - příplatek k základnímu kapitálu</t>
  </si>
  <si>
    <t>financování ukrajinských asistentů pedagoga - SR</t>
  </si>
  <si>
    <t>prev.neg.dopadů psych.a fyz.zátěže v souvisl.s epidemií COVID-19-SR</t>
  </si>
  <si>
    <t>OP JAK - Šablony - Zlepšení kvality vzdělávání - SR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</si>
</sst>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.0\ _K_č"/>
    <numFmt numFmtId="168" formatCode="#,##0.0_ ;\-#,##0.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;[Red]#,##0.0"/>
    <numFmt numFmtId="175" formatCode="#,##0.0_ ;[Red]\-#,##0.0\ "/>
    <numFmt numFmtId="176" formatCode="#,##0.00_ ;\-#,##0.00\ "/>
    <numFmt numFmtId="177" formatCode="#,##0.000"/>
    <numFmt numFmtId="178" formatCode="#,##0.000_ ;\-#,##0.000\ 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u val="single"/>
      <sz val="10"/>
      <name val="Arial CE"/>
      <family val="0"/>
    </font>
    <font>
      <u val="single"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/>
    </border>
    <border>
      <left style="thin"/>
      <right style="thick"/>
      <top/>
      <bottom style="medium"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 style="thick"/>
      <top style="medium"/>
      <bottom style="medium"/>
    </border>
    <border>
      <left style="thick"/>
      <right style="thin"/>
      <top style="medium"/>
      <bottom/>
    </border>
    <border>
      <left style="thick"/>
      <right style="thin"/>
      <top/>
      <bottom style="medium"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ck"/>
      <right style="thin"/>
      <top style="medium"/>
      <bottom style="medium"/>
    </border>
    <border>
      <left/>
      <right style="thin"/>
      <top/>
      <bottom style="thin"/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36" fillId="0" borderId="0" applyNumberFormat="0" applyFill="0" applyBorder="0" applyAlignment="0" applyProtection="0"/>
    <xf numFmtId="0" fontId="37" fillId="20" borderId="2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3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9">
    <xf numFmtId="3" fontId="0" fillId="0" borderId="0" xfId="0" applyAlignment="1">
      <alignment/>
    </xf>
    <xf numFmtId="167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4" fillId="0" borderId="10" xfId="38" applyNumberFormat="1" applyFont="1" applyBorder="1" applyAlignment="1">
      <alignment horizontal="center"/>
    </xf>
    <xf numFmtId="168" fontId="4" fillId="0" borderId="10" xfId="38" applyNumberFormat="1" applyFont="1" applyBorder="1" applyAlignment="1">
      <alignment/>
    </xf>
    <xf numFmtId="168" fontId="0" fillId="0" borderId="10" xfId="38" applyNumberFormat="1" applyFont="1" applyBorder="1" applyAlignment="1">
      <alignment/>
    </xf>
    <xf numFmtId="168" fontId="4" fillId="0" borderId="10" xfId="38" applyNumberFormat="1" applyFont="1" applyBorder="1" applyAlignment="1">
      <alignment/>
    </xf>
    <xf numFmtId="168" fontId="0" fillId="0" borderId="10" xfId="38" applyNumberFormat="1" applyFont="1" applyFill="1" applyBorder="1" applyAlignment="1">
      <alignment/>
    </xf>
    <xf numFmtId="168" fontId="0" fillId="0" borderId="11" xfId="38" applyNumberFormat="1" applyFont="1" applyBorder="1" applyAlignment="1">
      <alignment/>
    </xf>
    <xf numFmtId="168" fontId="7" fillId="0" borderId="10" xfId="38" applyNumberFormat="1" applyFont="1" applyBorder="1" applyAlignment="1">
      <alignment/>
    </xf>
    <xf numFmtId="168" fontId="2" fillId="0" borderId="10" xfId="38" applyNumberFormat="1" applyFont="1" applyBorder="1" applyAlignment="1">
      <alignment vertical="center"/>
    </xf>
    <xf numFmtId="168" fontId="8" fillId="0" borderId="10" xfId="38" applyNumberFormat="1" applyFont="1" applyBorder="1" applyAlignment="1">
      <alignment vertical="center"/>
    </xf>
    <xf numFmtId="168" fontId="8" fillId="0" borderId="12" xfId="38" applyNumberFormat="1" applyFont="1" applyBorder="1" applyAlignment="1">
      <alignment vertical="center"/>
    </xf>
    <xf numFmtId="168" fontId="2" fillId="0" borderId="13" xfId="38" applyNumberFormat="1" applyFont="1" applyBorder="1" applyAlignment="1">
      <alignment vertical="center"/>
    </xf>
    <xf numFmtId="168" fontId="8" fillId="0" borderId="13" xfId="38" applyNumberFormat="1" applyFont="1" applyBorder="1" applyAlignment="1">
      <alignment vertical="center"/>
    </xf>
    <xf numFmtId="167" fontId="4" fillId="0" borderId="14" xfId="38" applyNumberFormat="1" applyFont="1" applyBorder="1" applyAlignment="1">
      <alignment horizontal="center"/>
    </xf>
    <xf numFmtId="167" fontId="4" fillId="0" borderId="15" xfId="38" applyNumberFormat="1" applyFont="1" applyBorder="1" applyAlignment="1">
      <alignment horizontal="center"/>
    </xf>
    <xf numFmtId="167" fontId="4" fillId="0" borderId="16" xfId="38" applyNumberFormat="1" applyFont="1" applyBorder="1" applyAlignment="1">
      <alignment horizontal="center"/>
    </xf>
    <xf numFmtId="168" fontId="4" fillId="0" borderId="13" xfId="38" applyNumberFormat="1" applyFont="1" applyBorder="1" applyAlignment="1">
      <alignment/>
    </xf>
    <xf numFmtId="168" fontId="4" fillId="0" borderId="17" xfId="38" applyNumberFormat="1" applyFont="1" applyBorder="1" applyAlignment="1">
      <alignment/>
    </xf>
    <xf numFmtId="168" fontId="0" fillId="0" borderId="13" xfId="38" applyNumberFormat="1" applyFont="1" applyBorder="1" applyAlignment="1">
      <alignment/>
    </xf>
    <xf numFmtId="168" fontId="0" fillId="0" borderId="17" xfId="38" applyNumberFormat="1" applyFont="1" applyBorder="1" applyAlignment="1">
      <alignment/>
    </xf>
    <xf numFmtId="168" fontId="4" fillId="0" borderId="13" xfId="38" applyNumberFormat="1" applyFont="1" applyBorder="1" applyAlignment="1">
      <alignment/>
    </xf>
    <xf numFmtId="168" fontId="4" fillId="0" borderId="17" xfId="38" applyNumberFormat="1" applyFont="1" applyBorder="1" applyAlignment="1">
      <alignment/>
    </xf>
    <xf numFmtId="168" fontId="0" fillId="0" borderId="18" xfId="38" applyNumberFormat="1" applyFont="1" applyBorder="1" applyAlignment="1">
      <alignment/>
    </xf>
    <xf numFmtId="168" fontId="0" fillId="0" borderId="19" xfId="38" applyNumberFormat="1" applyFont="1" applyBorder="1" applyAlignment="1">
      <alignment/>
    </xf>
    <xf numFmtId="167" fontId="4" fillId="0" borderId="13" xfId="38" applyNumberFormat="1" applyFont="1" applyBorder="1" applyAlignment="1">
      <alignment horizontal="center"/>
    </xf>
    <xf numFmtId="168" fontId="0" fillId="0" borderId="13" xfId="38" applyNumberFormat="1" applyFont="1" applyFill="1" applyBorder="1" applyAlignment="1">
      <alignment/>
    </xf>
    <xf numFmtId="3" fontId="4" fillId="0" borderId="20" xfId="0" applyFont="1" applyBorder="1" applyAlignment="1">
      <alignment/>
    </xf>
    <xf numFmtId="3" fontId="5" fillId="0" borderId="20" xfId="0" applyFont="1" applyBorder="1" applyAlignment="1">
      <alignment/>
    </xf>
    <xf numFmtId="3" fontId="0" fillId="0" borderId="20" xfId="0" applyFont="1" applyBorder="1" applyAlignment="1">
      <alignment/>
    </xf>
    <xf numFmtId="3" fontId="0" fillId="0" borderId="20" xfId="0" applyBorder="1" applyAlignment="1">
      <alignment/>
    </xf>
    <xf numFmtId="3" fontId="4" fillId="0" borderId="20" xfId="0" applyFont="1" applyBorder="1" applyAlignment="1">
      <alignment/>
    </xf>
    <xf numFmtId="3" fontId="5" fillId="0" borderId="20" xfId="0" applyFont="1" applyBorder="1" applyAlignment="1">
      <alignment/>
    </xf>
    <xf numFmtId="3" fontId="0" fillId="0" borderId="21" xfId="0" applyBorder="1" applyAlignment="1">
      <alignment/>
    </xf>
    <xf numFmtId="3" fontId="0" fillId="0" borderId="20" xfId="0" applyFont="1" applyBorder="1" applyAlignment="1">
      <alignment/>
    </xf>
    <xf numFmtId="3" fontId="2" fillId="0" borderId="22" xfId="0" applyFont="1" applyBorder="1" applyAlignment="1">
      <alignment vertical="center"/>
    </xf>
    <xf numFmtId="3" fontId="6" fillId="0" borderId="20" xfId="0" applyFont="1" applyBorder="1" applyAlignment="1">
      <alignment/>
    </xf>
    <xf numFmtId="3" fontId="6" fillId="0" borderId="20" xfId="0" applyFont="1" applyBorder="1" applyAlignment="1">
      <alignment/>
    </xf>
    <xf numFmtId="3" fontId="0" fillId="0" borderId="21" xfId="0" applyFont="1" applyBorder="1" applyAlignment="1">
      <alignment/>
    </xf>
    <xf numFmtId="3" fontId="7" fillId="0" borderId="20" xfId="0" applyFont="1" applyBorder="1" applyAlignment="1">
      <alignment/>
    </xf>
    <xf numFmtId="3" fontId="0" fillId="0" borderId="21" xfId="0" applyFont="1" applyBorder="1" applyAlignment="1">
      <alignment/>
    </xf>
    <xf numFmtId="3" fontId="4" fillId="0" borderId="20" xfId="0" applyFont="1" applyFill="1" applyBorder="1" applyAlignment="1">
      <alignment/>
    </xf>
    <xf numFmtId="3" fontId="4" fillId="0" borderId="22" xfId="0" applyFont="1" applyBorder="1" applyAlignment="1">
      <alignment/>
    </xf>
    <xf numFmtId="3" fontId="3" fillId="0" borderId="23" xfId="0" applyFont="1" applyBorder="1" applyAlignment="1">
      <alignment vertical="center"/>
    </xf>
    <xf numFmtId="3" fontId="4" fillId="0" borderId="23" xfId="0" applyFont="1" applyBorder="1" applyAlignment="1">
      <alignment vertical="center"/>
    </xf>
    <xf numFmtId="3" fontId="2" fillId="0" borderId="23" xfId="0" applyFont="1" applyBorder="1" applyAlignment="1">
      <alignment vertical="center"/>
    </xf>
    <xf numFmtId="3" fontId="2" fillId="0" borderId="24" xfId="0" applyFont="1" applyBorder="1" applyAlignment="1">
      <alignment vertical="center"/>
    </xf>
    <xf numFmtId="3" fontId="2" fillId="0" borderId="20" xfId="0" applyFont="1" applyBorder="1" applyAlignment="1">
      <alignment vertical="center"/>
    </xf>
    <xf numFmtId="3" fontId="0" fillId="0" borderId="20" xfId="0" applyFont="1" applyBorder="1" applyAlignment="1">
      <alignment vertical="center"/>
    </xf>
    <xf numFmtId="3" fontId="0" fillId="0" borderId="20" xfId="0" applyBorder="1" applyAlignment="1">
      <alignment vertical="center"/>
    </xf>
    <xf numFmtId="3" fontId="7" fillId="0" borderId="20" xfId="0" applyFont="1" applyBorder="1" applyAlignment="1">
      <alignment/>
    </xf>
    <xf numFmtId="3" fontId="4" fillId="0" borderId="20" xfId="0" applyFont="1" applyBorder="1" applyAlignment="1">
      <alignment horizontal="left" vertical="center"/>
    </xf>
    <xf numFmtId="167" fontId="4" fillId="0" borderId="17" xfId="38" applyNumberFormat="1" applyFont="1" applyBorder="1" applyAlignment="1">
      <alignment horizontal="center"/>
    </xf>
    <xf numFmtId="167" fontId="4" fillId="0" borderId="25" xfId="38" applyNumberFormat="1" applyFont="1" applyBorder="1" applyAlignment="1">
      <alignment horizontal="center"/>
    </xf>
    <xf numFmtId="167" fontId="4" fillId="0" borderId="12" xfId="38" applyNumberFormat="1" applyFont="1" applyBorder="1" applyAlignment="1">
      <alignment horizontal="center"/>
    </xf>
    <xf numFmtId="167" fontId="4" fillId="0" borderId="26" xfId="38" applyNumberFormat="1" applyFont="1" applyBorder="1" applyAlignment="1">
      <alignment horizontal="center"/>
    </xf>
    <xf numFmtId="168" fontId="8" fillId="0" borderId="17" xfId="38" applyNumberFormat="1" applyFont="1" applyBorder="1" applyAlignment="1">
      <alignment vertical="center"/>
    </xf>
    <xf numFmtId="3" fontId="52" fillId="0" borderId="0" xfId="0" applyFont="1" applyAlignment="1">
      <alignment/>
    </xf>
    <xf numFmtId="168" fontId="8" fillId="0" borderId="26" xfId="38" applyNumberFormat="1" applyFont="1" applyBorder="1" applyAlignment="1">
      <alignment vertical="center"/>
    </xf>
    <xf numFmtId="169" fontId="0" fillId="0" borderId="0" xfId="0" applyNumberFormat="1" applyAlignment="1">
      <alignment/>
    </xf>
    <xf numFmtId="168" fontId="8" fillId="0" borderId="25" xfId="38" applyNumberFormat="1" applyFont="1" applyBorder="1" applyAlignment="1">
      <alignment vertical="center"/>
    </xf>
    <xf numFmtId="3" fontId="0" fillId="0" borderId="22" xfId="0" applyBorder="1" applyAlignment="1">
      <alignment vertical="center"/>
    </xf>
    <xf numFmtId="168" fontId="0" fillId="0" borderId="11" xfId="38" applyNumberFormat="1" applyFont="1" applyFill="1" applyBorder="1" applyAlignment="1">
      <alignment/>
    </xf>
    <xf numFmtId="3" fontId="53" fillId="0" borderId="0" xfId="0" applyFont="1" applyAlignment="1">
      <alignment/>
    </xf>
    <xf numFmtId="3" fontId="7" fillId="0" borderId="27" xfId="0" applyFont="1" applyBorder="1" applyAlignment="1">
      <alignment/>
    </xf>
    <xf numFmtId="168" fontId="0" fillId="0" borderId="18" xfId="38" applyNumberFormat="1" applyFont="1" applyFill="1" applyBorder="1" applyAlignment="1">
      <alignment/>
    </xf>
    <xf numFmtId="3" fontId="0" fillId="0" borderId="13" xfId="0" applyBorder="1" applyAlignment="1">
      <alignment/>
    </xf>
    <xf numFmtId="3" fontId="4" fillId="0" borderId="28" xfId="0" applyFont="1" applyBorder="1" applyAlignment="1">
      <alignment horizontal="center" vertical="center"/>
    </xf>
    <xf numFmtId="3" fontId="4" fillId="0" borderId="27" xfId="0" applyFont="1" applyBorder="1" applyAlignment="1">
      <alignment horizontal="left" vertical="center"/>
    </xf>
    <xf numFmtId="3" fontId="4" fillId="0" borderId="27" xfId="0" applyFont="1" applyBorder="1" applyAlignment="1">
      <alignment/>
    </xf>
    <xf numFmtId="3" fontId="5" fillId="0" borderId="27" xfId="0" applyFont="1" applyBorder="1" applyAlignment="1">
      <alignment/>
    </xf>
    <xf numFmtId="3" fontId="0" fillId="0" borderId="27" xfId="0" applyFont="1" applyBorder="1" applyAlignment="1">
      <alignment/>
    </xf>
    <xf numFmtId="3" fontId="0" fillId="0" borderId="27" xfId="0" applyBorder="1" applyAlignment="1">
      <alignment/>
    </xf>
    <xf numFmtId="3" fontId="4" fillId="0" borderId="27" xfId="0" applyFont="1" applyBorder="1" applyAlignment="1">
      <alignment/>
    </xf>
    <xf numFmtId="3" fontId="5" fillId="0" borderId="27" xfId="0" applyFont="1" applyBorder="1" applyAlignment="1">
      <alignment/>
    </xf>
    <xf numFmtId="3" fontId="0" fillId="0" borderId="27" xfId="0" applyFont="1" applyBorder="1" applyAlignment="1">
      <alignment/>
    </xf>
    <xf numFmtId="3" fontId="2" fillId="0" borderId="29" xfId="0" applyFont="1" applyBorder="1" applyAlignment="1">
      <alignment vertical="center"/>
    </xf>
    <xf numFmtId="3" fontId="7" fillId="0" borderId="27" xfId="0" applyFont="1" applyBorder="1" applyAlignment="1">
      <alignment horizontal="center"/>
    </xf>
    <xf numFmtId="3" fontId="0" fillId="0" borderId="20" xfId="0" applyFont="1" applyBorder="1" applyAlignment="1">
      <alignment/>
    </xf>
    <xf numFmtId="3" fontId="9" fillId="0" borderId="27" xfId="0" applyFont="1" applyBorder="1" applyAlignment="1">
      <alignment/>
    </xf>
    <xf numFmtId="3" fontId="7" fillId="0" borderId="30" xfId="0" applyFont="1" applyBorder="1" applyAlignment="1">
      <alignment horizontal="center"/>
    </xf>
    <xf numFmtId="3" fontId="9" fillId="0" borderId="27" xfId="0" applyFont="1" applyBorder="1" applyAlignment="1">
      <alignment horizontal="center"/>
    </xf>
    <xf numFmtId="3" fontId="9" fillId="0" borderId="27" xfId="0" applyFont="1" applyFill="1" applyBorder="1" applyAlignment="1">
      <alignment horizontal="center"/>
    </xf>
    <xf numFmtId="3" fontId="7" fillId="0" borderId="27" xfId="0" applyFont="1" applyFill="1" applyBorder="1" applyAlignment="1">
      <alignment horizontal="center"/>
    </xf>
    <xf numFmtId="3" fontId="9" fillId="0" borderId="23" xfId="0" applyFont="1" applyBorder="1" applyAlignment="1">
      <alignment horizontal="center" vertical="center"/>
    </xf>
    <xf numFmtId="3" fontId="9" fillId="0" borderId="24" xfId="0" applyFont="1" applyBorder="1" applyAlignment="1">
      <alignment horizontal="center" vertical="center"/>
    </xf>
    <xf numFmtId="3" fontId="9" fillId="0" borderId="20" xfId="0" applyFont="1" applyBorder="1" applyAlignment="1">
      <alignment horizontal="center" vertical="center"/>
    </xf>
    <xf numFmtId="3" fontId="9" fillId="0" borderId="22" xfId="0" applyFont="1" applyBorder="1" applyAlignment="1">
      <alignment horizontal="center" vertical="center"/>
    </xf>
    <xf numFmtId="3" fontId="7" fillId="0" borderId="20" xfId="0" applyFont="1" applyBorder="1" applyAlignment="1">
      <alignment horizontal="center" vertical="center"/>
    </xf>
    <xf numFmtId="3" fontId="7" fillId="0" borderId="29" xfId="0" applyFont="1" applyBorder="1" applyAlignment="1">
      <alignment horizontal="center" vertical="center"/>
    </xf>
    <xf numFmtId="3" fontId="7" fillId="0" borderId="0" xfId="0" applyFont="1" applyAlignment="1">
      <alignment/>
    </xf>
    <xf numFmtId="176" fontId="4" fillId="0" borderId="13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176" fontId="0" fillId="0" borderId="10" xfId="38" applyNumberFormat="1" applyFont="1" applyBorder="1" applyAlignment="1">
      <alignment/>
    </xf>
    <xf numFmtId="176" fontId="0" fillId="0" borderId="13" xfId="38" applyNumberFormat="1" applyFont="1" applyBorder="1" applyAlignment="1">
      <alignment/>
    </xf>
    <xf numFmtId="176" fontId="4" fillId="0" borderId="13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176" fontId="2" fillId="0" borderId="25" xfId="38" applyNumberFormat="1" applyFont="1" applyBorder="1" applyAlignment="1">
      <alignment vertical="center"/>
    </xf>
    <xf numFmtId="176" fontId="2" fillId="0" borderId="12" xfId="38" applyNumberFormat="1" applyFont="1" applyBorder="1" applyAlignment="1">
      <alignment vertical="center"/>
    </xf>
    <xf numFmtId="176" fontId="6" fillId="0" borderId="13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11" xfId="38" applyNumberFormat="1" applyFont="1" applyBorder="1" applyAlignment="1">
      <alignment/>
    </xf>
    <xf numFmtId="176" fontId="6" fillId="0" borderId="13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10" xfId="38" applyNumberFormat="1" applyFont="1" applyFill="1" applyBorder="1" applyAlignment="1">
      <alignment/>
    </xf>
    <xf numFmtId="176" fontId="2" fillId="0" borderId="31" xfId="38" applyNumberFormat="1" applyFont="1" applyBorder="1" applyAlignment="1">
      <alignment vertical="center"/>
    </xf>
    <xf numFmtId="176" fontId="3" fillId="0" borderId="16" xfId="38" applyNumberFormat="1" applyFont="1" applyBorder="1" applyAlignment="1">
      <alignment vertical="center"/>
    </xf>
    <xf numFmtId="176" fontId="0" fillId="0" borderId="0" xfId="0" applyNumberFormat="1" applyAlignment="1">
      <alignment/>
    </xf>
    <xf numFmtId="176" fontId="3" fillId="0" borderId="32" xfId="38" applyNumberFormat="1" applyFont="1" applyBorder="1" applyAlignment="1">
      <alignment vertical="center"/>
    </xf>
    <xf numFmtId="176" fontId="3" fillId="0" borderId="15" xfId="38" applyNumberFormat="1" applyFont="1" applyBorder="1" applyAlignment="1">
      <alignment vertical="center"/>
    </xf>
    <xf numFmtId="176" fontId="2" fillId="0" borderId="15" xfId="38" applyNumberFormat="1" applyFont="1" applyBorder="1" applyAlignment="1">
      <alignment vertical="center"/>
    </xf>
    <xf numFmtId="176" fontId="2" fillId="0" borderId="10" xfId="38" applyNumberFormat="1" applyFont="1" applyBorder="1" applyAlignment="1">
      <alignment vertical="center"/>
    </xf>
    <xf numFmtId="176" fontId="6" fillId="0" borderId="10" xfId="38" applyNumberFormat="1" applyFont="1" applyFill="1" applyBorder="1" applyAlignment="1">
      <alignment/>
    </xf>
    <xf numFmtId="176" fontId="0" fillId="0" borderId="10" xfId="38" applyNumberFormat="1" applyFont="1" applyFill="1" applyBorder="1" applyAlignment="1">
      <alignment/>
    </xf>
    <xf numFmtId="176" fontId="4" fillId="0" borderId="33" xfId="38" applyNumberFormat="1" applyFont="1" applyBorder="1" applyAlignment="1">
      <alignment/>
    </xf>
    <xf numFmtId="176" fontId="2" fillId="0" borderId="14" xfId="38" applyNumberFormat="1" applyFont="1" applyBorder="1" applyAlignment="1">
      <alignment vertical="center"/>
    </xf>
    <xf numFmtId="167" fontId="5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176" fontId="4" fillId="0" borderId="0" xfId="38" applyNumberFormat="1" applyFont="1" applyBorder="1" applyAlignment="1">
      <alignment/>
    </xf>
    <xf numFmtId="3" fontId="0" fillId="0" borderId="20" xfId="0" applyFont="1" applyFill="1" applyBorder="1" applyAlignment="1">
      <alignment/>
    </xf>
    <xf numFmtId="3" fontId="4" fillId="0" borderId="29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/>
    </xf>
    <xf numFmtId="176" fontId="0" fillId="0" borderId="10" xfId="38" applyNumberFormat="1" applyFont="1" applyBorder="1" applyAlignment="1">
      <alignment vertical="center"/>
    </xf>
    <xf numFmtId="176" fontId="0" fillId="0" borderId="12" xfId="38" applyNumberFormat="1" applyFont="1" applyBorder="1" applyAlignment="1">
      <alignment vertical="center"/>
    </xf>
    <xf numFmtId="49" fontId="5" fillId="0" borderId="27" xfId="0" applyNumberFormat="1" applyFont="1" applyBorder="1" applyAlignment="1">
      <alignment horizontal="left"/>
    </xf>
    <xf numFmtId="176" fontId="0" fillId="0" borderId="33" xfId="38" applyNumberFormat="1" applyFont="1" applyBorder="1" applyAlignment="1">
      <alignment/>
    </xf>
    <xf numFmtId="176" fontId="4" fillId="0" borderId="33" xfId="38" applyNumberFormat="1" applyFont="1" applyBorder="1" applyAlignment="1">
      <alignment/>
    </xf>
    <xf numFmtId="176" fontId="2" fillId="0" borderId="34" xfId="38" applyNumberFormat="1" applyFont="1" applyBorder="1" applyAlignment="1">
      <alignment vertical="center"/>
    </xf>
    <xf numFmtId="176" fontId="6" fillId="0" borderId="33" xfId="38" applyNumberFormat="1" applyFont="1" applyBorder="1" applyAlignment="1">
      <alignment/>
    </xf>
    <xf numFmtId="176" fontId="6" fillId="0" borderId="33" xfId="38" applyNumberFormat="1" applyFont="1" applyBorder="1" applyAlignment="1">
      <alignment/>
    </xf>
    <xf numFmtId="176" fontId="2" fillId="0" borderId="35" xfId="38" applyNumberFormat="1" applyFont="1" applyBorder="1" applyAlignment="1">
      <alignment vertical="center"/>
    </xf>
    <xf numFmtId="3" fontId="0" fillId="0" borderId="10" xfId="0" applyBorder="1" applyAlignment="1">
      <alignment/>
    </xf>
    <xf numFmtId="3" fontId="10" fillId="0" borderId="27" xfId="0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3" fontId="0" fillId="0" borderId="30" xfId="0" applyFont="1" applyBorder="1" applyAlignment="1">
      <alignment/>
    </xf>
    <xf numFmtId="176" fontId="4" fillId="0" borderId="20" xfId="38" applyNumberFormat="1" applyFont="1" applyBorder="1" applyAlignment="1">
      <alignment/>
    </xf>
    <xf numFmtId="176" fontId="0" fillId="0" borderId="20" xfId="38" applyNumberFormat="1" applyFont="1" applyBorder="1" applyAlignment="1">
      <alignment/>
    </xf>
    <xf numFmtId="3" fontId="0" fillId="0" borderId="0" xfId="0" applyBorder="1" applyAlignment="1">
      <alignment/>
    </xf>
    <xf numFmtId="176" fontId="4" fillId="0" borderId="20" xfId="38" applyNumberFormat="1" applyFont="1" applyBorder="1" applyAlignment="1">
      <alignment/>
    </xf>
    <xf numFmtId="176" fontId="2" fillId="0" borderId="22" xfId="38" applyNumberFormat="1" applyFont="1" applyBorder="1" applyAlignment="1">
      <alignment vertical="center"/>
    </xf>
    <xf numFmtId="176" fontId="6" fillId="0" borderId="20" xfId="38" applyNumberFormat="1" applyFont="1" applyBorder="1" applyAlignment="1">
      <alignment/>
    </xf>
    <xf numFmtId="176" fontId="6" fillId="0" borderId="20" xfId="38" applyNumberFormat="1" applyFont="1" applyBorder="1" applyAlignment="1">
      <alignment/>
    </xf>
    <xf numFmtId="176" fontId="0" fillId="0" borderId="20" xfId="38" applyNumberFormat="1" applyFont="1" applyFill="1" applyBorder="1" applyAlignment="1">
      <alignment/>
    </xf>
    <xf numFmtId="176" fontId="3" fillId="0" borderId="23" xfId="38" applyNumberFormat="1" applyFont="1" applyBorder="1" applyAlignment="1">
      <alignment vertical="center"/>
    </xf>
    <xf numFmtId="176" fontId="4" fillId="0" borderId="23" xfId="38" applyNumberFormat="1" applyFont="1" applyBorder="1" applyAlignment="1">
      <alignment vertical="center"/>
    </xf>
    <xf numFmtId="176" fontId="2" fillId="0" borderId="23" xfId="38" applyNumberFormat="1" applyFont="1" applyBorder="1" applyAlignment="1">
      <alignment vertical="center"/>
    </xf>
    <xf numFmtId="176" fontId="3" fillId="0" borderId="24" xfId="38" applyNumberFormat="1" applyFont="1" applyBorder="1" applyAlignment="1">
      <alignment vertical="center"/>
    </xf>
    <xf numFmtId="176" fontId="3" fillId="0" borderId="20" xfId="38" applyNumberFormat="1" applyFont="1" applyBorder="1" applyAlignment="1">
      <alignment vertical="center"/>
    </xf>
    <xf numFmtId="176" fontId="3" fillId="0" borderId="22" xfId="38" applyNumberFormat="1" applyFont="1" applyBorder="1" applyAlignment="1">
      <alignment vertical="center"/>
    </xf>
    <xf numFmtId="176" fontId="2" fillId="0" borderId="24" xfId="38" applyNumberFormat="1" applyFont="1" applyBorder="1" applyAlignment="1">
      <alignment vertical="center"/>
    </xf>
    <xf numFmtId="176" fontId="0" fillId="0" borderId="34" xfId="38" applyNumberFormat="1" applyFont="1" applyBorder="1" applyAlignment="1">
      <alignment vertical="center"/>
    </xf>
    <xf numFmtId="3" fontId="0" fillId="0" borderId="21" xfId="0" applyFont="1" applyBorder="1" applyAlignment="1">
      <alignment/>
    </xf>
    <xf numFmtId="3" fontId="0" fillId="0" borderId="20" xfId="0" applyFill="1" applyBorder="1" applyAlignment="1">
      <alignment/>
    </xf>
    <xf numFmtId="3" fontId="0" fillId="0" borderId="0" xfId="0" applyFill="1" applyAlignment="1">
      <alignment/>
    </xf>
    <xf numFmtId="167" fontId="53" fillId="0" borderId="0" xfId="0" applyNumberFormat="1" applyFont="1" applyAlignment="1">
      <alignment horizontal="center" vertical="center"/>
    </xf>
    <xf numFmtId="176" fontId="3" fillId="0" borderId="10" xfId="38" applyNumberFormat="1" applyFont="1" applyBorder="1" applyAlignment="1">
      <alignment vertical="center"/>
    </xf>
    <xf numFmtId="176" fontId="3" fillId="0" borderId="12" xfId="38" applyNumberFormat="1" applyFont="1" applyBorder="1" applyAlignment="1">
      <alignment vertical="center"/>
    </xf>
    <xf numFmtId="176" fontId="3" fillId="0" borderId="17" xfId="38" applyNumberFormat="1" applyFont="1" applyBorder="1" applyAlignment="1">
      <alignment vertical="center"/>
    </xf>
    <xf numFmtId="176" fontId="3" fillId="0" borderId="26" xfId="38" applyNumberFormat="1" applyFont="1" applyBorder="1" applyAlignment="1">
      <alignment vertical="center"/>
    </xf>
    <xf numFmtId="176" fontId="4" fillId="0" borderId="17" xfId="38" applyNumberFormat="1" applyFont="1" applyBorder="1" applyAlignment="1">
      <alignment/>
    </xf>
    <xf numFmtId="176" fontId="0" fillId="0" borderId="17" xfId="38" applyNumberFormat="1" applyFont="1" applyBorder="1" applyAlignment="1">
      <alignment/>
    </xf>
    <xf numFmtId="176" fontId="4" fillId="0" borderId="17" xfId="38" applyNumberFormat="1" applyFont="1" applyBorder="1" applyAlignment="1">
      <alignment/>
    </xf>
    <xf numFmtId="176" fontId="2" fillId="0" borderId="26" xfId="38" applyNumberFormat="1" applyFont="1" applyBorder="1" applyAlignment="1">
      <alignment vertical="center"/>
    </xf>
    <xf numFmtId="176" fontId="6" fillId="0" borderId="17" xfId="38" applyNumberFormat="1" applyFont="1" applyBorder="1" applyAlignment="1">
      <alignment/>
    </xf>
    <xf numFmtId="176" fontId="6" fillId="0" borderId="17" xfId="38" applyNumberFormat="1" applyFont="1" applyBorder="1" applyAlignment="1">
      <alignment/>
    </xf>
    <xf numFmtId="176" fontId="0" fillId="0" borderId="13" xfId="38" applyNumberFormat="1" applyFont="1" applyFill="1" applyBorder="1" applyAlignment="1">
      <alignment/>
    </xf>
    <xf numFmtId="176" fontId="0" fillId="0" borderId="17" xfId="38" applyNumberFormat="1" applyFont="1" applyFill="1" applyBorder="1" applyAlignment="1">
      <alignment/>
    </xf>
    <xf numFmtId="176" fontId="3" fillId="0" borderId="36" xfId="38" applyNumberFormat="1" applyFont="1" applyBorder="1" applyAlignment="1">
      <alignment vertical="center"/>
    </xf>
    <xf numFmtId="176" fontId="3" fillId="0" borderId="31" xfId="38" applyNumberFormat="1" applyFont="1" applyBorder="1" applyAlignment="1">
      <alignment vertical="center"/>
    </xf>
    <xf numFmtId="176" fontId="4" fillId="0" borderId="36" xfId="38" applyNumberFormat="1" applyFont="1" applyBorder="1" applyAlignment="1">
      <alignment vertical="center"/>
    </xf>
    <xf numFmtId="176" fontId="4" fillId="0" borderId="32" xfId="38" applyNumberFormat="1" applyFont="1" applyBorder="1" applyAlignment="1">
      <alignment vertical="center"/>
    </xf>
    <xf numFmtId="176" fontId="2" fillId="0" borderId="36" xfId="38" applyNumberFormat="1" applyFont="1" applyBorder="1" applyAlignment="1">
      <alignment vertical="center"/>
    </xf>
    <xf numFmtId="176" fontId="2" fillId="0" borderId="32" xfId="38" applyNumberFormat="1" applyFont="1" applyBorder="1" applyAlignment="1">
      <alignment vertical="center"/>
    </xf>
    <xf numFmtId="176" fontId="3" fillId="0" borderId="14" xfId="38" applyNumberFormat="1" applyFont="1" applyBorder="1" applyAlignment="1">
      <alignment vertical="center"/>
    </xf>
    <xf numFmtId="176" fontId="3" fillId="0" borderId="13" xfId="38" applyNumberFormat="1" applyFont="1" applyBorder="1" applyAlignment="1">
      <alignment vertical="center"/>
    </xf>
    <xf numFmtId="176" fontId="3" fillId="0" borderId="25" xfId="38" applyNumberFormat="1" applyFont="1" applyBorder="1" applyAlignment="1">
      <alignment vertical="center"/>
    </xf>
    <xf numFmtId="176" fontId="2" fillId="0" borderId="16" xfId="38" applyNumberFormat="1" applyFont="1" applyBorder="1" applyAlignment="1">
      <alignment vertical="center"/>
    </xf>
    <xf numFmtId="176" fontId="0" fillId="0" borderId="33" xfId="38" applyNumberFormat="1" applyFont="1" applyFill="1" applyBorder="1" applyAlignment="1">
      <alignment/>
    </xf>
    <xf numFmtId="176" fontId="3" fillId="0" borderId="37" xfId="38" applyNumberFormat="1" applyFont="1" applyBorder="1" applyAlignment="1">
      <alignment vertical="center"/>
    </xf>
    <xf numFmtId="176" fontId="2" fillId="0" borderId="37" xfId="38" applyNumberFormat="1" applyFont="1" applyBorder="1" applyAlignment="1">
      <alignment vertical="center"/>
    </xf>
    <xf numFmtId="176" fontId="3" fillId="0" borderId="35" xfId="38" applyNumberFormat="1" applyFont="1" applyBorder="1" applyAlignment="1">
      <alignment vertical="center"/>
    </xf>
    <xf numFmtId="176" fontId="3" fillId="0" borderId="33" xfId="38" applyNumberFormat="1" applyFont="1" applyBorder="1" applyAlignment="1">
      <alignment vertical="center"/>
    </xf>
    <xf numFmtId="176" fontId="3" fillId="0" borderId="34" xfId="38" applyNumberFormat="1" applyFont="1" applyBorder="1" applyAlignment="1">
      <alignment vertical="center"/>
    </xf>
    <xf numFmtId="167" fontId="4" fillId="0" borderId="38" xfId="38" applyNumberFormat="1" applyFont="1" applyBorder="1" applyAlignment="1">
      <alignment horizontal="center"/>
    </xf>
    <xf numFmtId="167" fontId="4" fillId="0" borderId="39" xfId="38" applyNumberFormat="1" applyFont="1" applyBorder="1" applyAlignment="1">
      <alignment horizontal="center"/>
    </xf>
    <xf numFmtId="167" fontId="4" fillId="0" borderId="40" xfId="38" applyNumberFormat="1" applyFont="1" applyBorder="1" applyAlignment="1">
      <alignment horizontal="center"/>
    </xf>
    <xf numFmtId="176" fontId="4" fillId="0" borderId="40" xfId="38" applyNumberFormat="1" applyFont="1" applyBorder="1" applyAlignment="1">
      <alignment/>
    </xf>
    <xf numFmtId="176" fontId="0" fillId="0" borderId="40" xfId="38" applyNumberFormat="1" applyFont="1" applyBorder="1" applyAlignment="1">
      <alignment/>
    </xf>
    <xf numFmtId="176" fontId="4" fillId="0" borderId="40" xfId="38" applyNumberFormat="1" applyFont="1" applyBorder="1" applyAlignment="1">
      <alignment/>
    </xf>
    <xf numFmtId="176" fontId="2" fillId="0" borderId="39" xfId="38" applyNumberFormat="1" applyFont="1" applyBorder="1" applyAlignment="1">
      <alignment vertical="center"/>
    </xf>
    <xf numFmtId="176" fontId="6" fillId="0" borderId="40" xfId="38" applyNumberFormat="1" applyFont="1" applyBorder="1" applyAlignment="1">
      <alignment/>
    </xf>
    <xf numFmtId="176" fontId="6" fillId="0" borderId="40" xfId="38" applyNumberFormat="1" applyFont="1" applyBorder="1" applyAlignment="1">
      <alignment/>
    </xf>
    <xf numFmtId="176" fontId="0" fillId="0" borderId="41" xfId="38" applyNumberFormat="1" applyFont="1" applyBorder="1" applyAlignment="1">
      <alignment/>
    </xf>
    <xf numFmtId="176" fontId="0" fillId="0" borderId="40" xfId="38" applyNumberFormat="1" applyFont="1" applyFill="1" applyBorder="1" applyAlignment="1">
      <alignment/>
    </xf>
    <xf numFmtId="176" fontId="3" fillId="0" borderId="42" xfId="38" applyNumberFormat="1" applyFont="1" applyBorder="1" applyAlignment="1">
      <alignment vertical="center"/>
    </xf>
    <xf numFmtId="176" fontId="4" fillId="0" borderId="42" xfId="38" applyNumberFormat="1" applyFont="1" applyBorder="1" applyAlignment="1">
      <alignment/>
    </xf>
    <xf numFmtId="176" fontId="2" fillId="0" borderId="42" xfId="38" applyNumberFormat="1" applyFont="1" applyBorder="1" applyAlignment="1">
      <alignment vertical="center"/>
    </xf>
    <xf numFmtId="176" fontId="3" fillId="0" borderId="38" xfId="38" applyNumberFormat="1" applyFont="1" applyBorder="1" applyAlignment="1">
      <alignment vertical="center"/>
    </xf>
    <xf numFmtId="176" fontId="3" fillId="0" borderId="40" xfId="38" applyNumberFormat="1" applyFont="1" applyBorder="1" applyAlignment="1">
      <alignment vertical="center"/>
    </xf>
    <xf numFmtId="176" fontId="3" fillId="0" borderId="39" xfId="38" applyNumberFormat="1" applyFont="1" applyBorder="1" applyAlignment="1">
      <alignment vertical="center"/>
    </xf>
    <xf numFmtId="176" fontId="2" fillId="0" borderId="38" xfId="38" applyNumberFormat="1" applyFont="1" applyBorder="1" applyAlignment="1">
      <alignment vertical="center"/>
    </xf>
    <xf numFmtId="176" fontId="8" fillId="0" borderId="40" xfId="38" applyNumberFormat="1" applyFont="1" applyBorder="1" applyAlignment="1">
      <alignment vertical="center"/>
    </xf>
    <xf numFmtId="176" fontId="0" fillId="0" borderId="40" xfId="38" applyNumberFormat="1" applyFont="1" applyBorder="1" applyAlignment="1">
      <alignment vertical="center"/>
    </xf>
    <xf numFmtId="176" fontId="0" fillId="0" borderId="39" xfId="38" applyNumberFormat="1" applyFont="1" applyBorder="1" applyAlignment="1">
      <alignment vertical="center"/>
    </xf>
    <xf numFmtId="167" fontId="4" fillId="0" borderId="35" xfId="38" applyNumberFormat="1" applyFont="1" applyBorder="1" applyAlignment="1">
      <alignment horizontal="center"/>
    </xf>
    <xf numFmtId="167" fontId="4" fillId="0" borderId="34" xfId="38" applyNumberFormat="1" applyFont="1" applyBorder="1" applyAlignment="1">
      <alignment horizontal="center"/>
    </xf>
    <xf numFmtId="168" fontId="4" fillId="0" borderId="40" xfId="38" applyNumberFormat="1" applyFont="1" applyBorder="1" applyAlignment="1">
      <alignment/>
    </xf>
    <xf numFmtId="168" fontId="0" fillId="0" borderId="40" xfId="38" applyNumberFormat="1" applyFont="1" applyBorder="1" applyAlignment="1">
      <alignment/>
    </xf>
    <xf numFmtId="3" fontId="0" fillId="0" borderId="40" xfId="0" applyBorder="1" applyAlignment="1">
      <alignment/>
    </xf>
    <xf numFmtId="168" fontId="4" fillId="0" borderId="40" xfId="38" applyNumberFormat="1" applyFont="1" applyBorder="1" applyAlignment="1">
      <alignment/>
    </xf>
    <xf numFmtId="168" fontId="0" fillId="0" borderId="41" xfId="38" applyNumberFormat="1" applyFont="1" applyBorder="1" applyAlignment="1">
      <alignment/>
    </xf>
    <xf numFmtId="168" fontId="8" fillId="0" borderId="40" xfId="38" applyNumberFormat="1" applyFont="1" applyBorder="1" applyAlignment="1">
      <alignment vertical="center"/>
    </xf>
    <xf numFmtId="168" fontId="8" fillId="0" borderId="39" xfId="38" applyNumberFormat="1" applyFont="1" applyBorder="1" applyAlignment="1">
      <alignment vertical="center"/>
    </xf>
    <xf numFmtId="167" fontId="4" fillId="0" borderId="43" xfId="38" applyNumberFormat="1" applyFont="1" applyBorder="1" applyAlignment="1">
      <alignment horizontal="center"/>
    </xf>
    <xf numFmtId="167" fontId="4" fillId="0" borderId="44" xfId="38" applyNumberFormat="1" applyFont="1" applyBorder="1" applyAlignment="1">
      <alignment horizontal="center"/>
    </xf>
    <xf numFmtId="3" fontId="0" fillId="0" borderId="45" xfId="0" applyBorder="1" applyAlignment="1">
      <alignment/>
    </xf>
    <xf numFmtId="176" fontId="4" fillId="0" borderId="45" xfId="38" applyNumberFormat="1" applyFont="1" applyBorder="1" applyAlignment="1">
      <alignment/>
    </xf>
    <xf numFmtId="169" fontId="0" fillId="0" borderId="45" xfId="0" applyNumberFormat="1" applyBorder="1" applyAlignment="1">
      <alignment/>
    </xf>
    <xf numFmtId="169" fontId="0" fillId="0" borderId="40" xfId="0" applyNumberFormat="1" applyBorder="1" applyAlignment="1">
      <alignment/>
    </xf>
    <xf numFmtId="176" fontId="0" fillId="0" borderId="45" xfId="38" applyNumberFormat="1" applyFont="1" applyBorder="1" applyAlignment="1">
      <alignment/>
    </xf>
    <xf numFmtId="176" fontId="4" fillId="0" borderId="45" xfId="38" applyNumberFormat="1" applyFont="1" applyBorder="1" applyAlignment="1">
      <alignment/>
    </xf>
    <xf numFmtId="169" fontId="0" fillId="33" borderId="45" xfId="0" applyNumberFormat="1" applyFill="1" applyBorder="1" applyAlignment="1">
      <alignment/>
    </xf>
    <xf numFmtId="169" fontId="0" fillId="0" borderId="45" xfId="0" applyNumberFormat="1" applyFill="1" applyBorder="1" applyAlignment="1">
      <alignment/>
    </xf>
    <xf numFmtId="176" fontId="2" fillId="0" borderId="44" xfId="38" applyNumberFormat="1" applyFont="1" applyBorder="1" applyAlignment="1">
      <alignment vertical="center"/>
    </xf>
    <xf numFmtId="176" fontId="6" fillId="0" borderId="45" xfId="38" applyNumberFormat="1" applyFont="1" applyBorder="1" applyAlignment="1">
      <alignment/>
    </xf>
    <xf numFmtId="176" fontId="6" fillId="0" borderId="45" xfId="38" applyNumberFormat="1" applyFont="1" applyBorder="1" applyAlignment="1">
      <alignment/>
    </xf>
    <xf numFmtId="169" fontId="0" fillId="0" borderId="46" xfId="0" applyNumberFormat="1" applyBorder="1" applyAlignment="1">
      <alignment/>
    </xf>
    <xf numFmtId="169" fontId="0" fillId="0" borderId="41" xfId="0" applyNumberFormat="1" applyBorder="1" applyAlignment="1">
      <alignment/>
    </xf>
    <xf numFmtId="176" fontId="0" fillId="0" borderId="45" xfId="38" applyNumberFormat="1" applyFont="1" applyFill="1" applyBorder="1" applyAlignment="1">
      <alignment/>
    </xf>
    <xf numFmtId="169" fontId="4" fillId="0" borderId="45" xfId="38" applyNumberFormat="1" applyFont="1" applyBorder="1" applyAlignment="1">
      <alignment/>
    </xf>
    <xf numFmtId="176" fontId="3" fillId="0" borderId="47" xfId="38" applyNumberFormat="1" applyFont="1" applyBorder="1" applyAlignment="1">
      <alignment vertical="center"/>
    </xf>
    <xf numFmtId="176" fontId="4" fillId="0" borderId="47" xfId="38" applyNumberFormat="1" applyFont="1" applyBorder="1" applyAlignment="1">
      <alignment vertical="center"/>
    </xf>
    <xf numFmtId="176" fontId="2" fillId="0" borderId="47" xfId="38" applyNumberFormat="1" applyFont="1" applyBorder="1" applyAlignment="1">
      <alignment vertical="center"/>
    </xf>
    <xf numFmtId="176" fontId="3" fillId="0" borderId="43" xfId="38" applyNumberFormat="1" applyFont="1" applyBorder="1" applyAlignment="1">
      <alignment vertical="center"/>
    </xf>
    <xf numFmtId="176" fontId="3" fillId="0" borderId="45" xfId="38" applyNumberFormat="1" applyFont="1" applyBorder="1" applyAlignment="1">
      <alignment vertical="center"/>
    </xf>
    <xf numFmtId="176" fontId="3" fillId="0" borderId="44" xfId="38" applyNumberFormat="1" applyFont="1" applyBorder="1" applyAlignment="1">
      <alignment vertical="center"/>
    </xf>
    <xf numFmtId="176" fontId="2" fillId="0" borderId="43" xfId="38" applyNumberFormat="1" applyFont="1" applyBorder="1" applyAlignment="1">
      <alignment vertical="center"/>
    </xf>
    <xf numFmtId="169" fontId="0" fillId="0" borderId="44" xfId="0" applyNumberFormat="1" applyBorder="1" applyAlignment="1">
      <alignment/>
    </xf>
    <xf numFmtId="169" fontId="0" fillId="0" borderId="39" xfId="0" applyNumberFormat="1" applyBorder="1" applyAlignment="1">
      <alignment/>
    </xf>
    <xf numFmtId="167" fontId="4" fillId="0" borderId="33" xfId="38" applyNumberFormat="1" applyFont="1" applyBorder="1" applyAlignment="1">
      <alignment horizontal="center"/>
    </xf>
    <xf numFmtId="176" fontId="0" fillId="0" borderId="33" xfId="38" applyNumberFormat="1" applyFont="1" applyBorder="1" applyAlignment="1">
      <alignment/>
    </xf>
    <xf numFmtId="176" fontId="0" fillId="0" borderId="48" xfId="38" applyNumberFormat="1" applyFont="1" applyBorder="1" applyAlignment="1">
      <alignment/>
    </xf>
    <xf numFmtId="176" fontId="6" fillId="0" borderId="33" xfId="38" applyNumberFormat="1" applyFont="1" applyFill="1" applyBorder="1" applyAlignment="1">
      <alignment/>
    </xf>
    <xf numFmtId="176" fontId="0" fillId="0" borderId="33" xfId="38" applyNumberFormat="1" applyFont="1" applyFill="1" applyBorder="1" applyAlignment="1">
      <alignment/>
    </xf>
    <xf numFmtId="176" fontId="0" fillId="0" borderId="37" xfId="38" applyNumberFormat="1" applyFont="1" applyBorder="1" applyAlignment="1">
      <alignment vertical="center"/>
    </xf>
    <xf numFmtId="176" fontId="2" fillId="0" borderId="33" xfId="38" applyNumberFormat="1" applyFont="1" applyBorder="1" applyAlignment="1">
      <alignment vertical="center"/>
    </xf>
    <xf numFmtId="176" fontId="0" fillId="0" borderId="33" xfId="38" applyNumberFormat="1" applyFont="1" applyBorder="1" applyAlignment="1">
      <alignment vertical="center"/>
    </xf>
    <xf numFmtId="167" fontId="4" fillId="0" borderId="24" xfId="38" applyNumberFormat="1" applyFont="1" applyBorder="1" applyAlignment="1">
      <alignment horizontal="center"/>
    </xf>
    <xf numFmtId="167" fontId="4" fillId="0" borderId="22" xfId="38" applyNumberFormat="1" applyFont="1" applyBorder="1" applyAlignment="1">
      <alignment horizontal="center"/>
    </xf>
    <xf numFmtId="167" fontId="4" fillId="0" borderId="20" xfId="38" applyNumberFormat="1" applyFont="1" applyBorder="1" applyAlignment="1">
      <alignment horizontal="center"/>
    </xf>
    <xf numFmtId="176" fontId="0" fillId="0" borderId="21" xfId="38" applyNumberFormat="1" applyFont="1" applyBorder="1" applyAlignment="1">
      <alignment/>
    </xf>
    <xf numFmtId="176" fontId="0" fillId="0" borderId="21" xfId="38" applyNumberFormat="1" applyFont="1" applyFill="1" applyBorder="1" applyAlignment="1">
      <alignment/>
    </xf>
    <xf numFmtId="176" fontId="2" fillId="0" borderId="20" xfId="38" applyNumberFormat="1" applyFont="1" applyBorder="1" applyAlignment="1">
      <alignment vertical="center"/>
    </xf>
    <xf numFmtId="176" fontId="0" fillId="0" borderId="20" xfId="38" applyNumberFormat="1" applyFont="1" applyBorder="1" applyAlignment="1">
      <alignment vertical="center"/>
    </xf>
    <xf numFmtId="176" fontId="0" fillId="0" borderId="22" xfId="38" applyNumberFormat="1" applyFont="1" applyBorder="1" applyAlignment="1">
      <alignment vertical="center"/>
    </xf>
    <xf numFmtId="176" fontId="4" fillId="0" borderId="22" xfId="38" applyNumberFormat="1" applyFont="1" applyBorder="1" applyAlignment="1">
      <alignment vertical="center"/>
    </xf>
    <xf numFmtId="167" fontId="4" fillId="0" borderId="45" xfId="38" applyNumberFormat="1" applyFont="1" applyBorder="1" applyAlignment="1">
      <alignment horizontal="center"/>
    </xf>
    <xf numFmtId="168" fontId="4" fillId="0" borderId="45" xfId="38" applyNumberFormat="1" applyFont="1" applyBorder="1" applyAlignment="1">
      <alignment/>
    </xf>
    <xf numFmtId="168" fontId="0" fillId="0" borderId="45" xfId="38" applyNumberFormat="1" applyFont="1" applyBorder="1" applyAlignment="1">
      <alignment/>
    </xf>
    <xf numFmtId="168" fontId="4" fillId="0" borderId="45" xfId="38" applyNumberFormat="1" applyFont="1" applyBorder="1" applyAlignment="1">
      <alignment/>
    </xf>
    <xf numFmtId="168" fontId="0" fillId="0" borderId="46" xfId="38" applyNumberFormat="1" applyFont="1" applyBorder="1" applyAlignment="1">
      <alignment/>
    </xf>
    <xf numFmtId="168" fontId="7" fillId="0" borderId="45" xfId="38" applyNumberFormat="1" applyFont="1" applyBorder="1" applyAlignment="1">
      <alignment/>
    </xf>
    <xf numFmtId="168" fontId="2" fillId="0" borderId="45" xfId="38" applyNumberFormat="1" applyFont="1" applyBorder="1" applyAlignment="1">
      <alignment vertical="center"/>
    </xf>
    <xf numFmtId="168" fontId="8" fillId="0" borderId="45" xfId="38" applyNumberFormat="1" applyFont="1" applyBorder="1" applyAlignment="1">
      <alignment vertical="center"/>
    </xf>
    <xf numFmtId="168" fontId="8" fillId="0" borderId="44" xfId="38" applyNumberFormat="1" applyFont="1" applyBorder="1" applyAlignment="1">
      <alignment vertical="center"/>
    </xf>
    <xf numFmtId="176" fontId="0" fillId="0" borderId="48" xfId="38" applyNumberFormat="1" applyFont="1" applyFill="1" applyBorder="1" applyAlignment="1">
      <alignment/>
    </xf>
    <xf numFmtId="176" fontId="0" fillId="0" borderId="21" xfId="38" applyNumberFormat="1" applyFont="1" applyBorder="1" applyAlignment="1">
      <alignment/>
    </xf>
    <xf numFmtId="3" fontId="0" fillId="0" borderId="22" xfId="0" applyFont="1" applyBorder="1" applyAlignment="1">
      <alignment/>
    </xf>
    <xf numFmtId="3" fontId="7" fillId="0" borderId="29" xfId="0" applyFont="1" applyBorder="1" applyAlignment="1">
      <alignment horizontal="center"/>
    </xf>
    <xf numFmtId="176" fontId="0" fillId="0" borderId="22" xfId="38" applyNumberFormat="1" applyFont="1" applyBorder="1" applyAlignment="1">
      <alignment/>
    </xf>
    <xf numFmtId="176" fontId="0" fillId="0" borderId="34" xfId="38" applyNumberFormat="1" applyFont="1" applyBorder="1" applyAlignment="1">
      <alignment/>
    </xf>
    <xf numFmtId="176" fontId="0" fillId="0" borderId="12" xfId="38" applyNumberFormat="1" applyFont="1" applyBorder="1" applyAlignment="1">
      <alignment/>
    </xf>
    <xf numFmtId="176" fontId="0" fillId="0" borderId="39" xfId="38" applyNumberFormat="1" applyFont="1" applyBorder="1" applyAlignment="1">
      <alignment/>
    </xf>
    <xf numFmtId="3" fontId="0" fillId="0" borderId="22" xfId="0" applyFont="1" applyBorder="1" applyAlignment="1">
      <alignment/>
    </xf>
    <xf numFmtId="3" fontId="0" fillId="0" borderId="22" xfId="0" applyBorder="1" applyAlignment="1">
      <alignment/>
    </xf>
    <xf numFmtId="3" fontId="0" fillId="0" borderId="22" xfId="0" applyFill="1" applyBorder="1" applyAlignment="1">
      <alignment/>
    </xf>
    <xf numFmtId="3" fontId="7" fillId="0" borderId="29" xfId="0" applyFont="1" applyFill="1" applyBorder="1" applyAlignment="1">
      <alignment horizontal="center"/>
    </xf>
    <xf numFmtId="3" fontId="12" fillId="0" borderId="29" xfId="0" applyFont="1" applyBorder="1" applyAlignment="1">
      <alignment horizontal="center"/>
    </xf>
    <xf numFmtId="176" fontId="11" fillId="0" borderId="12" xfId="38" applyNumberFormat="1" applyFont="1" applyBorder="1" applyAlignment="1">
      <alignment/>
    </xf>
    <xf numFmtId="3" fontId="4" fillId="0" borderId="24" xfId="0" applyFont="1" applyBorder="1" applyAlignment="1">
      <alignment horizontal="center" vertical="center"/>
    </xf>
    <xf numFmtId="3" fontId="0" fillId="0" borderId="22" xfId="0" applyBorder="1" applyAlignment="1">
      <alignment horizontal="center" vertic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6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7" fontId="0" fillId="0" borderId="0" xfId="0" applyNumberForma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2"/>
  <sheetViews>
    <sheetView zoomScale="110" zoomScaleNormal="110" zoomScaleSheetLayoutView="69" zoomScalePageLayoutView="0" workbookViewId="0" topLeftCell="A1">
      <pane xSplit="1" ySplit="9" topLeftCell="C50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517" sqref="F517"/>
    </sheetView>
  </sheetViews>
  <sheetFormatPr defaultColWidth="9.00390625" defaultRowHeight="12.75"/>
  <cols>
    <col min="1" max="1" width="53.625" style="0" customWidth="1"/>
    <col min="2" max="2" width="8.625" style="0" hidden="1" customWidth="1"/>
    <col min="3" max="3" width="15.25390625" style="0" customWidth="1"/>
    <col min="4" max="4" width="16.75390625" style="0" customWidth="1"/>
    <col min="5" max="5" width="12.875" style="0" hidden="1" customWidth="1"/>
    <col min="6" max="6" width="18.00390625" style="0" customWidth="1"/>
    <col min="7" max="7" width="12.625" style="0" hidden="1" customWidth="1"/>
    <col min="8" max="8" width="12.75390625" style="0" hidden="1" customWidth="1"/>
    <col min="9" max="9" width="14.125" style="0" hidden="1" customWidth="1"/>
    <col min="10" max="11" width="13.75390625" style="0" hidden="1" customWidth="1"/>
    <col min="12" max="12" width="14.25390625" style="0" hidden="1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15.125" style="0" hidden="1" customWidth="1"/>
    <col min="18" max="18" width="17.75390625" style="0" customWidth="1"/>
  </cols>
  <sheetData>
    <row r="1" spans="3:17" ht="12.75">
      <c r="C1" s="1"/>
      <c r="D1" s="1"/>
      <c r="E1" s="1"/>
      <c r="F1" s="2" t="s">
        <v>127</v>
      </c>
      <c r="I1" s="2"/>
      <c r="L1" s="2"/>
      <c r="O1" s="2"/>
      <c r="Q1" s="2" t="s">
        <v>127</v>
      </c>
    </row>
    <row r="2" spans="3:6" ht="9.75" customHeight="1">
      <c r="C2" s="1"/>
      <c r="D2" s="1"/>
      <c r="E2" s="1"/>
      <c r="F2" s="2"/>
    </row>
    <row r="3" spans="1:17" ht="15.75">
      <c r="A3" s="284" t="s">
        <v>227</v>
      </c>
      <c r="B3" s="284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</row>
    <row r="4" spans="1:17" ht="15.75">
      <c r="A4" s="286" t="s">
        <v>312</v>
      </c>
      <c r="B4" s="286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</row>
    <row r="5" spans="1:17" ht="15">
      <c r="A5" s="287" t="s">
        <v>0</v>
      </c>
      <c r="B5" s="287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</row>
    <row r="6" spans="1:17" ht="12.75">
      <c r="A6" s="288" t="s">
        <v>1</v>
      </c>
      <c r="B6" s="288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</row>
    <row r="7" spans="1:13" ht="18" customHeight="1" thickBot="1">
      <c r="A7" s="3"/>
      <c r="B7" s="3"/>
      <c r="C7" s="157"/>
      <c r="D7" s="119"/>
      <c r="E7" s="4"/>
      <c r="F7" s="4"/>
      <c r="J7" s="66"/>
      <c r="M7" s="60"/>
    </row>
    <row r="8" spans="1:17" ht="12.75">
      <c r="A8" s="282" t="s">
        <v>2</v>
      </c>
      <c r="B8" s="70" t="s">
        <v>214</v>
      </c>
      <c r="C8" s="250" t="s">
        <v>3</v>
      </c>
      <c r="D8" s="207" t="s">
        <v>4</v>
      </c>
      <c r="E8" s="18" t="s">
        <v>5</v>
      </c>
      <c r="F8" s="186" t="s">
        <v>6</v>
      </c>
      <c r="G8" s="216" t="s">
        <v>7</v>
      </c>
      <c r="H8" s="18" t="s">
        <v>5</v>
      </c>
      <c r="I8" s="19" t="s">
        <v>6</v>
      </c>
      <c r="J8" s="17" t="s">
        <v>8</v>
      </c>
      <c r="K8" s="18" t="s">
        <v>5</v>
      </c>
      <c r="L8" s="19" t="s">
        <v>6</v>
      </c>
      <c r="M8" s="17" t="s">
        <v>9</v>
      </c>
      <c r="N8" s="18" t="s">
        <v>5</v>
      </c>
      <c r="O8" s="186" t="s">
        <v>6</v>
      </c>
      <c r="P8" s="216" t="s">
        <v>151</v>
      </c>
      <c r="Q8" s="186" t="s">
        <v>6</v>
      </c>
    </row>
    <row r="9" spans="1:17" ht="13.5" thickBot="1">
      <c r="A9" s="283"/>
      <c r="B9" s="123" t="s">
        <v>165</v>
      </c>
      <c r="C9" s="251" t="s">
        <v>10</v>
      </c>
      <c r="D9" s="208" t="s">
        <v>11</v>
      </c>
      <c r="E9" s="57" t="s">
        <v>12</v>
      </c>
      <c r="F9" s="187" t="s">
        <v>13</v>
      </c>
      <c r="G9" s="217" t="s">
        <v>11</v>
      </c>
      <c r="H9" s="57" t="s">
        <v>12</v>
      </c>
      <c r="I9" s="58" t="s">
        <v>14</v>
      </c>
      <c r="J9" s="56" t="s">
        <v>11</v>
      </c>
      <c r="K9" s="57" t="s">
        <v>12</v>
      </c>
      <c r="L9" s="58" t="s">
        <v>15</v>
      </c>
      <c r="M9" s="56" t="s">
        <v>11</v>
      </c>
      <c r="N9" s="57" t="s">
        <v>12</v>
      </c>
      <c r="O9" s="187" t="s">
        <v>16</v>
      </c>
      <c r="P9" s="217" t="s">
        <v>11</v>
      </c>
      <c r="Q9" s="187" t="s">
        <v>152</v>
      </c>
    </row>
    <row r="10" spans="1:17" ht="15.75" customHeight="1">
      <c r="A10" s="54" t="s">
        <v>17</v>
      </c>
      <c r="B10" s="71"/>
      <c r="C10" s="252"/>
      <c r="D10" s="242"/>
      <c r="E10" s="5"/>
      <c r="F10" s="188"/>
      <c r="G10" s="259"/>
      <c r="H10" s="5"/>
      <c r="I10" s="55"/>
      <c r="J10" s="28"/>
      <c r="K10" s="5"/>
      <c r="L10" s="55"/>
      <c r="M10" s="28"/>
      <c r="N10" s="5"/>
      <c r="O10" s="188"/>
      <c r="P10" s="218"/>
      <c r="Q10" s="211"/>
    </row>
    <row r="11" spans="1:17" ht="12.75">
      <c r="A11" s="30" t="s">
        <v>204</v>
      </c>
      <c r="B11" s="72"/>
      <c r="C11" s="138">
        <f>C13+C14+C15+C16</f>
        <v>5350000</v>
      </c>
      <c r="D11" s="117">
        <f>D13+D14+D15+D16</f>
        <v>45003.16</v>
      </c>
      <c r="E11" s="95">
        <f>E13+E14+E15</f>
        <v>0</v>
      </c>
      <c r="F11" s="189">
        <f>F13+F14+F15+F16</f>
        <v>5395003.16</v>
      </c>
      <c r="G11" s="219">
        <f aca="true" t="shared" si="0" ref="G11:Q11">G13+G14+G15+G16</f>
        <v>0</v>
      </c>
      <c r="H11" s="95">
        <f t="shared" si="0"/>
        <v>0</v>
      </c>
      <c r="I11" s="162">
        <f t="shared" si="0"/>
        <v>5395003.16</v>
      </c>
      <c r="J11" s="94">
        <f t="shared" si="0"/>
        <v>0</v>
      </c>
      <c r="K11" s="95">
        <f t="shared" si="0"/>
        <v>0</v>
      </c>
      <c r="L11" s="162">
        <f t="shared" si="0"/>
        <v>5395003.16</v>
      </c>
      <c r="M11" s="94">
        <f t="shared" si="0"/>
        <v>0</v>
      </c>
      <c r="N11" s="95">
        <f t="shared" si="0"/>
        <v>0</v>
      </c>
      <c r="O11" s="189">
        <f t="shared" si="0"/>
        <v>5395003.16</v>
      </c>
      <c r="P11" s="219">
        <f t="shared" si="0"/>
        <v>0</v>
      </c>
      <c r="Q11" s="189">
        <f t="shared" si="0"/>
        <v>5395003.16</v>
      </c>
    </row>
    <row r="12" spans="1:17" ht="12.75">
      <c r="A12" s="31" t="s">
        <v>18</v>
      </c>
      <c r="B12" s="73"/>
      <c r="C12" s="138"/>
      <c r="D12" s="117"/>
      <c r="E12" s="95"/>
      <c r="F12" s="189"/>
      <c r="G12" s="260"/>
      <c r="H12" s="6"/>
      <c r="I12" s="21"/>
      <c r="J12" s="20"/>
      <c r="K12" s="6"/>
      <c r="L12" s="21"/>
      <c r="M12" s="20"/>
      <c r="N12" s="6"/>
      <c r="O12" s="209"/>
      <c r="P12" s="220"/>
      <c r="Q12" s="221"/>
    </row>
    <row r="13" spans="1:17" ht="12.75">
      <c r="A13" s="81" t="s">
        <v>211</v>
      </c>
      <c r="B13" s="73"/>
      <c r="C13" s="139">
        <v>5316580</v>
      </c>
      <c r="D13" s="128"/>
      <c r="E13" s="95"/>
      <c r="F13" s="190">
        <f>C13+D13+E13</f>
        <v>5316580</v>
      </c>
      <c r="G13" s="260"/>
      <c r="H13" s="6"/>
      <c r="I13" s="23">
        <f>F13+G13+H13</f>
        <v>5316580</v>
      </c>
      <c r="J13" s="20"/>
      <c r="K13" s="6"/>
      <c r="L13" s="23">
        <f>I13+J13+K13</f>
        <v>5316580</v>
      </c>
      <c r="M13" s="20"/>
      <c r="N13" s="6"/>
      <c r="O13" s="210">
        <f>L13+M13+N13</f>
        <v>5316580</v>
      </c>
      <c r="P13" s="220"/>
      <c r="Q13" s="221">
        <f aca="true" t="shared" si="1" ref="Q13:Q77">O13+P13</f>
        <v>5316580</v>
      </c>
    </row>
    <row r="14" spans="1:17" ht="12.75">
      <c r="A14" s="32" t="s">
        <v>19</v>
      </c>
      <c r="B14" s="74"/>
      <c r="C14" s="139"/>
      <c r="D14" s="180">
        <f>45003.16</f>
        <v>45003.16</v>
      </c>
      <c r="E14" s="96"/>
      <c r="F14" s="190">
        <f>C14+D14+E14</f>
        <v>45003.16</v>
      </c>
      <c r="G14" s="261"/>
      <c r="H14" s="6"/>
      <c r="I14" s="23">
        <f>F14+G14+H14</f>
        <v>45003.16</v>
      </c>
      <c r="J14" s="22"/>
      <c r="K14" s="6"/>
      <c r="L14" s="23">
        <f>I14+J14+K14</f>
        <v>45003.16</v>
      </c>
      <c r="M14" s="22"/>
      <c r="N14" s="6"/>
      <c r="O14" s="210">
        <f>L14+M14+N14</f>
        <v>45003.16</v>
      </c>
      <c r="P14" s="220"/>
      <c r="Q14" s="221">
        <f t="shared" si="1"/>
        <v>45003.16</v>
      </c>
    </row>
    <row r="15" spans="1:17" ht="12.75">
      <c r="A15" s="81" t="s">
        <v>212</v>
      </c>
      <c r="B15" s="74"/>
      <c r="C15" s="139">
        <v>3420</v>
      </c>
      <c r="D15" s="180"/>
      <c r="E15" s="96"/>
      <c r="F15" s="190">
        <f>C15+D15+E15</f>
        <v>3420</v>
      </c>
      <c r="G15" s="261"/>
      <c r="H15" s="6"/>
      <c r="I15" s="23">
        <f>F15+G15+H15</f>
        <v>3420</v>
      </c>
      <c r="J15" s="22"/>
      <c r="K15" s="6"/>
      <c r="L15" s="23">
        <f>I15+J15+K15</f>
        <v>3420</v>
      </c>
      <c r="M15" s="22"/>
      <c r="N15" s="6"/>
      <c r="O15" s="210">
        <f>L15+M15+N15</f>
        <v>3420</v>
      </c>
      <c r="P15" s="220"/>
      <c r="Q15" s="221">
        <f t="shared" si="1"/>
        <v>3420</v>
      </c>
    </row>
    <row r="16" spans="1:17" ht="12.75">
      <c r="A16" s="81" t="s">
        <v>266</v>
      </c>
      <c r="B16" s="74"/>
      <c r="C16" s="139">
        <v>30000</v>
      </c>
      <c r="D16" s="180"/>
      <c r="E16" s="96"/>
      <c r="F16" s="190">
        <f>C16+D16+E16</f>
        <v>30000</v>
      </c>
      <c r="G16" s="261"/>
      <c r="H16" s="6"/>
      <c r="I16" s="23">
        <f>F16+G16+H16</f>
        <v>30000</v>
      </c>
      <c r="J16" s="22"/>
      <c r="K16" s="6"/>
      <c r="L16" s="23">
        <f>I16+J16+K16</f>
        <v>30000</v>
      </c>
      <c r="M16" s="22"/>
      <c r="N16" s="6"/>
      <c r="O16" s="210">
        <f>L16+M16+N16</f>
        <v>30000</v>
      </c>
      <c r="P16" s="220"/>
      <c r="Q16" s="221">
        <f t="shared" si="1"/>
        <v>30000</v>
      </c>
    </row>
    <row r="17" spans="1:17" ht="12.75">
      <c r="A17" s="30" t="s">
        <v>205</v>
      </c>
      <c r="B17" s="72"/>
      <c r="C17" s="138">
        <f aca="true" t="shared" si="2" ref="C17:Q17">SUM(C19:C23)+C30</f>
        <v>266948.12</v>
      </c>
      <c r="D17" s="117">
        <f t="shared" si="2"/>
        <v>31733.940000000002</v>
      </c>
      <c r="E17" s="95">
        <f t="shared" si="2"/>
        <v>0</v>
      </c>
      <c r="F17" s="189">
        <f t="shared" si="2"/>
        <v>298682.05999999994</v>
      </c>
      <c r="G17" s="219">
        <f t="shared" si="2"/>
        <v>0</v>
      </c>
      <c r="H17" s="95">
        <f t="shared" si="2"/>
        <v>0</v>
      </c>
      <c r="I17" s="162">
        <f t="shared" si="2"/>
        <v>298682.05999999994</v>
      </c>
      <c r="J17" s="94">
        <f t="shared" si="2"/>
        <v>0</v>
      </c>
      <c r="K17" s="95">
        <f t="shared" si="2"/>
        <v>0</v>
      </c>
      <c r="L17" s="162">
        <f t="shared" si="2"/>
        <v>298682.05999999994</v>
      </c>
      <c r="M17" s="94">
        <f t="shared" si="2"/>
        <v>0</v>
      </c>
      <c r="N17" s="95">
        <f t="shared" si="2"/>
        <v>0</v>
      </c>
      <c r="O17" s="189">
        <f t="shared" si="2"/>
        <v>272195.33999999997</v>
      </c>
      <c r="P17" s="219">
        <f t="shared" si="2"/>
        <v>0</v>
      </c>
      <c r="Q17" s="189">
        <f t="shared" si="2"/>
        <v>272195.33999999997</v>
      </c>
    </row>
    <row r="18" spans="1:17" ht="10.5" customHeight="1">
      <c r="A18" s="31" t="s">
        <v>20</v>
      </c>
      <c r="B18" s="73"/>
      <c r="C18" s="138"/>
      <c r="D18" s="117"/>
      <c r="E18" s="95"/>
      <c r="F18" s="189"/>
      <c r="G18" s="260"/>
      <c r="H18" s="6"/>
      <c r="I18" s="21"/>
      <c r="J18" s="20"/>
      <c r="K18" s="6"/>
      <c r="L18" s="21"/>
      <c r="M18" s="20"/>
      <c r="N18" s="6"/>
      <c r="O18" s="209"/>
      <c r="P18" s="220"/>
      <c r="Q18" s="221"/>
    </row>
    <row r="19" spans="1:17" ht="12.75">
      <c r="A19" s="32" t="s">
        <v>21</v>
      </c>
      <c r="B19" s="74"/>
      <c r="C19" s="139">
        <v>10000</v>
      </c>
      <c r="D19" s="128"/>
      <c r="E19" s="96"/>
      <c r="F19" s="190">
        <f>C19+D19+E19</f>
        <v>10000</v>
      </c>
      <c r="G19" s="261"/>
      <c r="H19" s="7"/>
      <c r="I19" s="23">
        <f>F19+G19+H19</f>
        <v>10000</v>
      </c>
      <c r="J19" s="22"/>
      <c r="K19" s="7"/>
      <c r="L19" s="23">
        <f>I19+J19+K19</f>
        <v>10000</v>
      </c>
      <c r="M19" s="22"/>
      <c r="N19" s="7"/>
      <c r="O19" s="210">
        <f>L19+M19+N19</f>
        <v>10000</v>
      </c>
      <c r="P19" s="220"/>
      <c r="Q19" s="221">
        <f t="shared" si="1"/>
        <v>10000</v>
      </c>
    </row>
    <row r="20" spans="1:17" ht="12.75">
      <c r="A20" s="81" t="s">
        <v>241</v>
      </c>
      <c r="B20" s="74"/>
      <c r="C20" s="139"/>
      <c r="D20" s="128">
        <f>3000</f>
        <v>3000</v>
      </c>
      <c r="E20" s="96"/>
      <c r="F20" s="190">
        <f aca="true" t="shared" si="3" ref="F20:F30">C20+D20+E20</f>
        <v>3000</v>
      </c>
      <c r="G20" s="261"/>
      <c r="H20" s="7"/>
      <c r="I20" s="23">
        <f>F20+G20+H20</f>
        <v>3000</v>
      </c>
      <c r="J20" s="22"/>
      <c r="K20" s="7"/>
      <c r="L20" s="23">
        <f>I20+J20+K20</f>
        <v>3000</v>
      </c>
      <c r="M20" s="22"/>
      <c r="N20" s="7"/>
      <c r="O20" s="210">
        <f>L20+M20+N20</f>
        <v>3000</v>
      </c>
      <c r="P20" s="220"/>
      <c r="Q20" s="221">
        <f t="shared" si="1"/>
        <v>3000</v>
      </c>
    </row>
    <row r="21" spans="1:17" ht="12.75">
      <c r="A21" s="33" t="s">
        <v>242</v>
      </c>
      <c r="B21" s="75"/>
      <c r="C21" s="139">
        <v>130895.91</v>
      </c>
      <c r="D21" s="128">
        <f>534.21</f>
        <v>534.21</v>
      </c>
      <c r="E21" s="96"/>
      <c r="F21" s="190">
        <f t="shared" si="3"/>
        <v>131430.12</v>
      </c>
      <c r="G21" s="261"/>
      <c r="H21" s="7"/>
      <c r="I21" s="23">
        <f>F21+G21+H21</f>
        <v>131430.12</v>
      </c>
      <c r="J21" s="22"/>
      <c r="K21" s="7"/>
      <c r="L21" s="23">
        <f>I21+J21+K21</f>
        <v>131430.12</v>
      </c>
      <c r="M21" s="22"/>
      <c r="N21" s="7"/>
      <c r="O21" s="210">
        <f>L21+M21+N21</f>
        <v>131430.12</v>
      </c>
      <c r="P21" s="220"/>
      <c r="Q21" s="221">
        <f t="shared" si="1"/>
        <v>131430.12</v>
      </c>
    </row>
    <row r="22" spans="1:17" ht="12.75" hidden="1">
      <c r="A22" s="33" t="s">
        <v>243</v>
      </c>
      <c r="B22" s="75"/>
      <c r="C22" s="139"/>
      <c r="D22" s="128"/>
      <c r="E22" s="96"/>
      <c r="F22" s="190">
        <f t="shared" si="3"/>
        <v>0</v>
      </c>
      <c r="G22" s="261"/>
      <c r="H22" s="7"/>
      <c r="I22" s="23">
        <f>F22+G22+H22</f>
        <v>0</v>
      </c>
      <c r="J22" s="22"/>
      <c r="K22" s="7"/>
      <c r="L22" s="23">
        <f>I22+J22+K22</f>
        <v>0</v>
      </c>
      <c r="M22" s="22"/>
      <c r="N22" s="7"/>
      <c r="O22" s="210">
        <f>L22+M22+N22</f>
        <v>0</v>
      </c>
      <c r="P22" s="220"/>
      <c r="Q22" s="221">
        <f t="shared" si="1"/>
        <v>0</v>
      </c>
    </row>
    <row r="23" spans="1:17" ht="12.75">
      <c r="A23" s="32" t="s">
        <v>22</v>
      </c>
      <c r="B23" s="74"/>
      <c r="C23" s="139">
        <f>SUM(C24:C29)</f>
        <v>126052.21</v>
      </c>
      <c r="D23" s="128">
        <f>SUM(D24:D29)</f>
        <v>1713.01</v>
      </c>
      <c r="E23" s="96">
        <f aca="true" t="shared" si="4" ref="E23:Q23">SUM(E24:E29)</f>
        <v>0</v>
      </c>
      <c r="F23" s="190">
        <f t="shared" si="4"/>
        <v>127765.22</v>
      </c>
      <c r="G23" s="222">
        <f t="shared" si="4"/>
        <v>0</v>
      </c>
      <c r="H23" s="96">
        <f t="shared" si="4"/>
        <v>0</v>
      </c>
      <c r="I23" s="163">
        <f t="shared" si="4"/>
        <v>127765.22</v>
      </c>
      <c r="J23" s="97">
        <f t="shared" si="4"/>
        <v>0</v>
      </c>
      <c r="K23" s="96">
        <f t="shared" si="4"/>
        <v>0</v>
      </c>
      <c r="L23" s="163">
        <f t="shared" si="4"/>
        <v>127765.22</v>
      </c>
      <c r="M23" s="97">
        <f t="shared" si="4"/>
        <v>0</v>
      </c>
      <c r="N23" s="96">
        <f t="shared" si="4"/>
        <v>0</v>
      </c>
      <c r="O23" s="190">
        <f t="shared" si="4"/>
        <v>127765.22</v>
      </c>
      <c r="P23" s="222">
        <f t="shared" si="4"/>
        <v>0</v>
      </c>
      <c r="Q23" s="190">
        <f t="shared" si="4"/>
        <v>127765.22</v>
      </c>
    </row>
    <row r="24" spans="1:17" ht="12.75">
      <c r="A24" s="32" t="s">
        <v>23</v>
      </c>
      <c r="B24" s="74"/>
      <c r="C24" s="139">
        <v>52501.31</v>
      </c>
      <c r="D24" s="128">
        <f>1713.01</f>
        <v>1713.01</v>
      </c>
      <c r="E24" s="96"/>
      <c r="F24" s="190">
        <f t="shared" si="3"/>
        <v>54214.32</v>
      </c>
      <c r="G24" s="261"/>
      <c r="H24" s="7"/>
      <c r="I24" s="23">
        <f aca="true" t="shared" si="5" ref="I24:I30">F24+G24+H24</f>
        <v>54214.32</v>
      </c>
      <c r="J24" s="22"/>
      <c r="K24" s="7"/>
      <c r="L24" s="23">
        <f aca="true" t="shared" si="6" ref="L24:L30">I24+J24+K24</f>
        <v>54214.32</v>
      </c>
      <c r="M24" s="22"/>
      <c r="N24" s="7"/>
      <c r="O24" s="210">
        <f aca="true" t="shared" si="7" ref="O24:O29">L24+M24+N24</f>
        <v>54214.32</v>
      </c>
      <c r="P24" s="220"/>
      <c r="Q24" s="221">
        <f t="shared" si="1"/>
        <v>54214.32</v>
      </c>
    </row>
    <row r="25" spans="1:17" ht="12.75">
      <c r="A25" s="33" t="s">
        <v>139</v>
      </c>
      <c r="B25" s="75"/>
      <c r="C25" s="139">
        <v>880.6</v>
      </c>
      <c r="D25" s="128"/>
      <c r="E25" s="96"/>
      <c r="F25" s="190">
        <f t="shared" si="3"/>
        <v>880.6</v>
      </c>
      <c r="G25" s="261"/>
      <c r="H25" s="7"/>
      <c r="I25" s="23">
        <f t="shared" si="5"/>
        <v>880.6</v>
      </c>
      <c r="J25" s="22"/>
      <c r="K25" s="7"/>
      <c r="L25" s="23">
        <f t="shared" si="6"/>
        <v>880.6</v>
      </c>
      <c r="M25" s="22"/>
      <c r="N25" s="7"/>
      <c r="O25" s="210">
        <f t="shared" si="7"/>
        <v>880.6</v>
      </c>
      <c r="P25" s="220"/>
      <c r="Q25" s="221">
        <f t="shared" si="1"/>
        <v>880.6</v>
      </c>
    </row>
    <row r="26" spans="1:17" ht="12.75">
      <c r="A26" s="32" t="s">
        <v>24</v>
      </c>
      <c r="B26" s="74"/>
      <c r="C26" s="139">
        <v>29804.7</v>
      </c>
      <c r="D26" s="128"/>
      <c r="E26" s="96"/>
      <c r="F26" s="190">
        <f t="shared" si="3"/>
        <v>29804.7</v>
      </c>
      <c r="G26" s="261"/>
      <c r="H26" s="7"/>
      <c r="I26" s="23">
        <f t="shared" si="5"/>
        <v>29804.7</v>
      </c>
      <c r="J26" s="22"/>
      <c r="K26" s="7"/>
      <c r="L26" s="23">
        <f t="shared" si="6"/>
        <v>29804.7</v>
      </c>
      <c r="M26" s="22"/>
      <c r="N26" s="7"/>
      <c r="O26" s="210">
        <f t="shared" si="7"/>
        <v>29804.7</v>
      </c>
      <c r="P26" s="220"/>
      <c r="Q26" s="221">
        <f t="shared" si="1"/>
        <v>29804.7</v>
      </c>
    </row>
    <row r="27" spans="1:17" ht="12.75">
      <c r="A27" s="33" t="s">
        <v>140</v>
      </c>
      <c r="B27" s="75"/>
      <c r="C27" s="139">
        <v>12585.8</v>
      </c>
      <c r="D27" s="128"/>
      <c r="E27" s="96"/>
      <c r="F27" s="190">
        <f t="shared" si="3"/>
        <v>12585.8</v>
      </c>
      <c r="G27" s="261"/>
      <c r="H27" s="7"/>
      <c r="I27" s="23">
        <f t="shared" si="5"/>
        <v>12585.8</v>
      </c>
      <c r="J27" s="22"/>
      <c r="K27" s="7"/>
      <c r="L27" s="23">
        <f t="shared" si="6"/>
        <v>12585.8</v>
      </c>
      <c r="M27" s="22"/>
      <c r="N27" s="7"/>
      <c r="O27" s="210">
        <f t="shared" si="7"/>
        <v>12585.8</v>
      </c>
      <c r="P27" s="220"/>
      <c r="Q27" s="221">
        <f t="shared" si="1"/>
        <v>12585.8</v>
      </c>
    </row>
    <row r="28" spans="1:17" ht="12.75">
      <c r="A28" s="33" t="s">
        <v>228</v>
      </c>
      <c r="B28" s="75"/>
      <c r="C28" s="139">
        <v>340.8</v>
      </c>
      <c r="D28" s="128"/>
      <c r="E28" s="96"/>
      <c r="F28" s="190">
        <f t="shared" si="3"/>
        <v>340.8</v>
      </c>
      <c r="G28" s="261"/>
      <c r="H28" s="7"/>
      <c r="I28" s="23">
        <f t="shared" si="5"/>
        <v>340.8</v>
      </c>
      <c r="J28" s="22"/>
      <c r="K28" s="7"/>
      <c r="L28" s="23">
        <f t="shared" si="6"/>
        <v>340.8</v>
      </c>
      <c r="M28" s="22"/>
      <c r="N28" s="7"/>
      <c r="O28" s="210">
        <f t="shared" si="7"/>
        <v>340.8</v>
      </c>
      <c r="P28" s="220"/>
      <c r="Q28" s="221">
        <f t="shared" si="1"/>
        <v>340.8</v>
      </c>
    </row>
    <row r="29" spans="1:17" ht="12.75">
      <c r="A29" s="33" t="s">
        <v>141</v>
      </c>
      <c r="B29" s="75"/>
      <c r="C29" s="139">
        <v>29939</v>
      </c>
      <c r="D29" s="128"/>
      <c r="E29" s="96"/>
      <c r="F29" s="190">
        <f t="shared" si="3"/>
        <v>29939</v>
      </c>
      <c r="G29" s="261"/>
      <c r="H29" s="7"/>
      <c r="I29" s="23">
        <f t="shared" si="5"/>
        <v>29939</v>
      </c>
      <c r="J29" s="22"/>
      <c r="K29" s="7"/>
      <c r="L29" s="23">
        <f t="shared" si="6"/>
        <v>29939</v>
      </c>
      <c r="M29" s="22"/>
      <c r="N29" s="7"/>
      <c r="O29" s="210">
        <f t="shared" si="7"/>
        <v>29939</v>
      </c>
      <c r="P29" s="220"/>
      <c r="Q29" s="221">
        <f>O29+P29</f>
        <v>29939</v>
      </c>
    </row>
    <row r="30" spans="1:17" ht="12.75">
      <c r="A30" s="33" t="s">
        <v>297</v>
      </c>
      <c r="B30" s="75"/>
      <c r="C30" s="139"/>
      <c r="D30" s="243">
        <f>2421+1769.02+100+968.95+492.63+100+1177.09+9000+27.05+478.8+8512.54+36.94+155.2+247.5+1000</f>
        <v>26486.72</v>
      </c>
      <c r="E30" s="96"/>
      <c r="F30" s="190">
        <f t="shared" si="3"/>
        <v>26486.72</v>
      </c>
      <c r="G30" s="218"/>
      <c r="H30" s="134"/>
      <c r="I30" s="23">
        <f t="shared" si="5"/>
        <v>26486.72</v>
      </c>
      <c r="J30" s="69"/>
      <c r="K30" s="134"/>
      <c r="L30" s="23">
        <f t="shared" si="6"/>
        <v>26486.72</v>
      </c>
      <c r="M30" s="69"/>
      <c r="N30" s="134"/>
      <c r="O30" s="211"/>
      <c r="P30" s="218"/>
      <c r="Q30" s="211"/>
    </row>
    <row r="31" spans="1:17" ht="12.75">
      <c r="A31" s="34" t="s">
        <v>206</v>
      </c>
      <c r="B31" s="76"/>
      <c r="C31" s="141">
        <f>SUM(C33:C37)</f>
        <v>5000</v>
      </c>
      <c r="D31" s="129">
        <f aca="true" t="shared" si="8" ref="D31:Q31">SUM(D33:D37)</f>
        <v>0</v>
      </c>
      <c r="E31" s="99">
        <f t="shared" si="8"/>
        <v>0</v>
      </c>
      <c r="F31" s="191">
        <f t="shared" si="8"/>
        <v>5000</v>
      </c>
      <c r="G31" s="223">
        <f t="shared" si="8"/>
        <v>0</v>
      </c>
      <c r="H31" s="99">
        <f t="shared" si="8"/>
        <v>0</v>
      </c>
      <c r="I31" s="164">
        <f t="shared" si="8"/>
        <v>5000</v>
      </c>
      <c r="J31" s="98">
        <f t="shared" si="8"/>
        <v>0</v>
      </c>
      <c r="K31" s="99">
        <f t="shared" si="8"/>
        <v>0</v>
      </c>
      <c r="L31" s="164">
        <f t="shared" si="8"/>
        <v>5000</v>
      </c>
      <c r="M31" s="98">
        <f t="shared" si="8"/>
        <v>0</v>
      </c>
      <c r="N31" s="99">
        <f t="shared" si="8"/>
        <v>0</v>
      </c>
      <c r="O31" s="191">
        <f t="shared" si="8"/>
        <v>5000</v>
      </c>
      <c r="P31" s="223">
        <f t="shared" si="8"/>
        <v>0</v>
      </c>
      <c r="Q31" s="191">
        <f t="shared" si="8"/>
        <v>5000</v>
      </c>
    </row>
    <row r="32" spans="1:17" ht="11.25" customHeight="1">
      <c r="A32" s="31" t="s">
        <v>20</v>
      </c>
      <c r="B32" s="73"/>
      <c r="C32" s="139"/>
      <c r="D32" s="128"/>
      <c r="E32" s="96"/>
      <c r="F32" s="190"/>
      <c r="G32" s="261"/>
      <c r="H32" s="7"/>
      <c r="I32" s="23"/>
      <c r="J32" s="22"/>
      <c r="K32" s="7"/>
      <c r="L32" s="23"/>
      <c r="M32" s="22"/>
      <c r="N32" s="7"/>
      <c r="O32" s="210"/>
      <c r="P32" s="220"/>
      <c r="Q32" s="221"/>
    </row>
    <row r="33" spans="1:17" ht="12.75" hidden="1">
      <c r="A33" s="81" t="s">
        <v>103</v>
      </c>
      <c r="B33" s="74"/>
      <c r="C33" s="139"/>
      <c r="D33" s="128"/>
      <c r="E33" s="96"/>
      <c r="F33" s="190">
        <f>C33+D33+E33</f>
        <v>0</v>
      </c>
      <c r="G33" s="261"/>
      <c r="H33" s="7"/>
      <c r="I33" s="23">
        <f>F33+G33+H33</f>
        <v>0</v>
      </c>
      <c r="J33" s="22"/>
      <c r="K33" s="7"/>
      <c r="L33" s="23">
        <f>I33+J33+K33</f>
        <v>0</v>
      </c>
      <c r="M33" s="22"/>
      <c r="N33" s="7"/>
      <c r="O33" s="210">
        <f>L33+M33+N33</f>
        <v>0</v>
      </c>
      <c r="P33" s="220"/>
      <c r="Q33" s="221">
        <f t="shared" si="1"/>
        <v>0</v>
      </c>
    </row>
    <row r="34" spans="1:17" ht="12.75" hidden="1">
      <c r="A34" s="33" t="s">
        <v>98</v>
      </c>
      <c r="B34" s="75"/>
      <c r="C34" s="139"/>
      <c r="D34" s="128"/>
      <c r="E34" s="96"/>
      <c r="F34" s="190">
        <f>C34+D34+E34</f>
        <v>0</v>
      </c>
      <c r="G34" s="261"/>
      <c r="H34" s="7"/>
      <c r="I34" s="23">
        <f>F34+G34+H34</f>
        <v>0</v>
      </c>
      <c r="J34" s="29"/>
      <c r="K34" s="7"/>
      <c r="L34" s="23">
        <f>I34+J34+K34</f>
        <v>0</v>
      </c>
      <c r="M34" s="29"/>
      <c r="N34" s="7"/>
      <c r="O34" s="210">
        <f>L34+M34+N34</f>
        <v>0</v>
      </c>
      <c r="P34" s="220"/>
      <c r="Q34" s="221">
        <f t="shared" si="1"/>
        <v>0</v>
      </c>
    </row>
    <row r="35" spans="1:17" ht="12.75" hidden="1">
      <c r="A35" s="33" t="s">
        <v>101</v>
      </c>
      <c r="B35" s="75"/>
      <c r="C35" s="139"/>
      <c r="D35" s="128"/>
      <c r="E35" s="96"/>
      <c r="F35" s="190">
        <f>C35+D35+E35</f>
        <v>0</v>
      </c>
      <c r="G35" s="261"/>
      <c r="H35" s="7"/>
      <c r="I35" s="23">
        <f>F35+G35+H35</f>
        <v>0</v>
      </c>
      <c r="J35" s="29"/>
      <c r="K35" s="7"/>
      <c r="L35" s="23">
        <f>I35+J35+K35</f>
        <v>0</v>
      </c>
      <c r="M35" s="29"/>
      <c r="N35" s="7"/>
      <c r="O35" s="210">
        <f>L35+M35+N35</f>
        <v>0</v>
      </c>
      <c r="P35" s="220"/>
      <c r="Q35" s="221">
        <f t="shared" si="1"/>
        <v>0</v>
      </c>
    </row>
    <row r="36" spans="1:17" ht="12.75" hidden="1">
      <c r="A36" s="33" t="s">
        <v>108</v>
      </c>
      <c r="B36" s="75"/>
      <c r="C36" s="139"/>
      <c r="D36" s="128"/>
      <c r="E36" s="96"/>
      <c r="F36" s="190">
        <f>C36+D36+E36</f>
        <v>0</v>
      </c>
      <c r="G36" s="261"/>
      <c r="H36" s="7"/>
      <c r="I36" s="23">
        <f>F36+G36+H36</f>
        <v>0</v>
      </c>
      <c r="J36" s="29"/>
      <c r="K36" s="7"/>
      <c r="L36" s="23">
        <f>I36+J36+K36</f>
        <v>0</v>
      </c>
      <c r="M36" s="29"/>
      <c r="N36" s="7"/>
      <c r="O36" s="210">
        <f>L36+M36+N36</f>
        <v>0</v>
      </c>
      <c r="P36" s="220"/>
      <c r="Q36" s="221">
        <f t="shared" si="1"/>
        <v>0</v>
      </c>
    </row>
    <row r="37" spans="1:17" ht="12.75">
      <c r="A37" s="81" t="s">
        <v>229</v>
      </c>
      <c r="B37" s="74"/>
      <c r="C37" s="139">
        <v>5000</v>
      </c>
      <c r="D37" s="128"/>
      <c r="E37" s="96"/>
      <c r="F37" s="190">
        <f>C37+D37+E37</f>
        <v>5000</v>
      </c>
      <c r="G37" s="261"/>
      <c r="H37" s="7"/>
      <c r="I37" s="23">
        <f>F37+G37+H37</f>
        <v>5000</v>
      </c>
      <c r="J37" s="22"/>
      <c r="K37" s="7"/>
      <c r="L37" s="23">
        <f>I37+J37+K37</f>
        <v>5000</v>
      </c>
      <c r="M37" s="22"/>
      <c r="N37" s="7"/>
      <c r="O37" s="210">
        <f>L37+M37+N37</f>
        <v>5000</v>
      </c>
      <c r="P37" s="220"/>
      <c r="Q37" s="221">
        <f t="shared" si="1"/>
        <v>5000</v>
      </c>
    </row>
    <row r="38" spans="1:17" ht="12.75">
      <c r="A38" s="34" t="s">
        <v>207</v>
      </c>
      <c r="B38" s="74"/>
      <c r="C38" s="139"/>
      <c r="D38" s="128"/>
      <c r="E38" s="96"/>
      <c r="F38" s="190"/>
      <c r="G38" s="261"/>
      <c r="H38" s="7"/>
      <c r="I38" s="23"/>
      <c r="J38" s="22"/>
      <c r="K38" s="7"/>
      <c r="L38" s="23"/>
      <c r="M38" s="22"/>
      <c r="N38" s="7"/>
      <c r="O38" s="210"/>
      <c r="P38" s="220"/>
      <c r="Q38" s="221"/>
    </row>
    <row r="39" spans="1:17" ht="12.75">
      <c r="A39" s="30" t="s">
        <v>25</v>
      </c>
      <c r="B39" s="72"/>
      <c r="C39" s="138">
        <f>SUM(C41:C61)</f>
        <v>129756.6</v>
      </c>
      <c r="D39" s="117">
        <f aca="true" t="shared" si="9" ref="D39:Q39">SUM(D41:D61)</f>
        <v>11594528.180000003</v>
      </c>
      <c r="E39" s="95">
        <f t="shared" si="9"/>
        <v>0</v>
      </c>
      <c r="F39" s="189">
        <f t="shared" si="9"/>
        <v>11724284.780000003</v>
      </c>
      <c r="G39" s="219">
        <f t="shared" si="9"/>
        <v>0</v>
      </c>
      <c r="H39" s="95">
        <f t="shared" si="9"/>
        <v>0</v>
      </c>
      <c r="I39" s="162">
        <f t="shared" si="9"/>
        <v>11724275.040000003</v>
      </c>
      <c r="J39" s="94">
        <f t="shared" si="9"/>
        <v>0</v>
      </c>
      <c r="K39" s="95">
        <f t="shared" si="9"/>
        <v>0</v>
      </c>
      <c r="L39" s="162">
        <f t="shared" si="9"/>
        <v>11724275.040000003</v>
      </c>
      <c r="M39" s="94">
        <f t="shared" si="9"/>
        <v>0</v>
      </c>
      <c r="N39" s="95">
        <f t="shared" si="9"/>
        <v>0</v>
      </c>
      <c r="O39" s="189">
        <f t="shared" si="9"/>
        <v>11724275.040000003</v>
      </c>
      <c r="P39" s="219">
        <f t="shared" si="9"/>
        <v>0</v>
      </c>
      <c r="Q39" s="189">
        <f t="shared" si="9"/>
        <v>11724275.040000003</v>
      </c>
    </row>
    <row r="40" spans="1:17" ht="10.5" customHeight="1">
      <c r="A40" s="35" t="s">
        <v>26</v>
      </c>
      <c r="B40" s="77"/>
      <c r="C40" s="139"/>
      <c r="D40" s="128"/>
      <c r="E40" s="96"/>
      <c r="F40" s="190"/>
      <c r="G40" s="261"/>
      <c r="H40" s="7"/>
      <c r="I40" s="23"/>
      <c r="J40" s="22"/>
      <c r="K40" s="7"/>
      <c r="L40" s="23"/>
      <c r="M40" s="22"/>
      <c r="N40" s="7"/>
      <c r="O40" s="210"/>
      <c r="P40" s="220"/>
      <c r="Q40" s="221"/>
    </row>
    <row r="41" spans="1:17" ht="12.75">
      <c r="A41" s="33" t="s">
        <v>27</v>
      </c>
      <c r="B41" s="75"/>
      <c r="C41" s="139">
        <v>129506.6</v>
      </c>
      <c r="D41" s="128"/>
      <c r="E41" s="96"/>
      <c r="F41" s="190">
        <f aca="true" t="shared" si="10" ref="F41:F61">C41+D41+E41</f>
        <v>129506.6</v>
      </c>
      <c r="G41" s="261"/>
      <c r="H41" s="7"/>
      <c r="I41" s="23">
        <f>F41+G41+H41</f>
        <v>129506.6</v>
      </c>
      <c r="J41" s="22"/>
      <c r="K41" s="7"/>
      <c r="L41" s="23">
        <f>I41+J41+K41</f>
        <v>129506.6</v>
      </c>
      <c r="M41" s="22"/>
      <c r="N41" s="7"/>
      <c r="O41" s="210">
        <f>L41+M41+N41</f>
        <v>129506.6</v>
      </c>
      <c r="P41" s="220"/>
      <c r="Q41" s="221">
        <f t="shared" si="1"/>
        <v>129506.6</v>
      </c>
    </row>
    <row r="42" spans="1:17" ht="12.75">
      <c r="A42" s="33" t="s">
        <v>28</v>
      </c>
      <c r="B42" s="75"/>
      <c r="C42" s="139"/>
      <c r="D42" s="128">
        <f>800+15+32053.4</f>
        <v>32868.4</v>
      </c>
      <c r="E42" s="96"/>
      <c r="F42" s="190">
        <f t="shared" si="10"/>
        <v>32868.4</v>
      </c>
      <c r="G42" s="261"/>
      <c r="H42" s="7"/>
      <c r="I42" s="23">
        <f aca="true" t="shared" si="11" ref="I42:I61">F42+G42+H42</f>
        <v>32868.4</v>
      </c>
      <c r="J42" s="22"/>
      <c r="K42" s="7"/>
      <c r="L42" s="23">
        <f aca="true" t="shared" si="12" ref="L42:L61">I42+J42+K42</f>
        <v>32868.4</v>
      </c>
      <c r="M42" s="22"/>
      <c r="N42" s="7"/>
      <c r="O42" s="210">
        <f aca="true" t="shared" si="13" ref="O42:O61">L42+M42+N42</f>
        <v>32868.4</v>
      </c>
      <c r="P42" s="220"/>
      <c r="Q42" s="221">
        <f t="shared" si="1"/>
        <v>32868.4</v>
      </c>
    </row>
    <row r="43" spans="1:17" ht="12.75">
      <c r="A43" s="33" t="s">
        <v>321</v>
      </c>
      <c r="B43" s="75">
        <v>12002</v>
      </c>
      <c r="C43" s="139"/>
      <c r="D43" s="128">
        <f>9.74</f>
        <v>9.74</v>
      </c>
      <c r="E43" s="96"/>
      <c r="F43" s="190">
        <f t="shared" si="10"/>
        <v>9.74</v>
      </c>
      <c r="G43" s="261"/>
      <c r="H43" s="7"/>
      <c r="I43" s="23"/>
      <c r="J43" s="22"/>
      <c r="K43" s="7"/>
      <c r="L43" s="23"/>
      <c r="M43" s="22"/>
      <c r="N43" s="7"/>
      <c r="O43" s="210"/>
      <c r="P43" s="220"/>
      <c r="Q43" s="221"/>
    </row>
    <row r="44" spans="1:17" ht="12.75">
      <c r="A44" s="33" t="s">
        <v>29</v>
      </c>
      <c r="B44" s="75"/>
      <c r="C44" s="139"/>
      <c r="D44" s="128">
        <f>148284.67+12646.55+9933653.38+15000+13643.49</f>
        <v>10123228.090000002</v>
      </c>
      <c r="E44" s="96"/>
      <c r="F44" s="190">
        <f t="shared" si="10"/>
        <v>10123228.090000002</v>
      </c>
      <c r="G44" s="261"/>
      <c r="H44" s="7"/>
      <c r="I44" s="23">
        <f t="shared" si="11"/>
        <v>10123228.090000002</v>
      </c>
      <c r="J44" s="22"/>
      <c r="K44" s="7"/>
      <c r="L44" s="23">
        <f t="shared" si="12"/>
        <v>10123228.090000002</v>
      </c>
      <c r="M44" s="22"/>
      <c r="N44" s="7"/>
      <c r="O44" s="210">
        <f t="shared" si="13"/>
        <v>10123228.090000002</v>
      </c>
      <c r="P44" s="220"/>
      <c r="Q44" s="221">
        <f t="shared" si="1"/>
        <v>10123228.090000002</v>
      </c>
    </row>
    <row r="45" spans="1:17" ht="12.75">
      <c r="A45" s="33" t="s">
        <v>30</v>
      </c>
      <c r="B45" s="75"/>
      <c r="C45" s="139"/>
      <c r="D45" s="128">
        <f>1355855.4+47237.11+5532.56+13300</f>
        <v>1421925.07</v>
      </c>
      <c r="E45" s="96"/>
      <c r="F45" s="190">
        <f t="shared" si="10"/>
        <v>1421925.07</v>
      </c>
      <c r="G45" s="261"/>
      <c r="H45" s="7"/>
      <c r="I45" s="23">
        <f t="shared" si="11"/>
        <v>1421925.07</v>
      </c>
      <c r="J45" s="22"/>
      <c r="K45" s="7"/>
      <c r="L45" s="23">
        <f t="shared" si="12"/>
        <v>1421925.07</v>
      </c>
      <c r="M45" s="22"/>
      <c r="N45" s="7"/>
      <c r="O45" s="210">
        <f t="shared" si="13"/>
        <v>1421925.07</v>
      </c>
      <c r="P45" s="220"/>
      <c r="Q45" s="221">
        <f t="shared" si="1"/>
        <v>1421925.07</v>
      </c>
    </row>
    <row r="46" spans="1:17" ht="12.75">
      <c r="A46" s="33" t="s">
        <v>31</v>
      </c>
      <c r="B46" s="75"/>
      <c r="C46" s="139"/>
      <c r="D46" s="128">
        <f>81.23+316.82</f>
        <v>398.05</v>
      </c>
      <c r="E46" s="96"/>
      <c r="F46" s="190">
        <f t="shared" si="10"/>
        <v>398.05</v>
      </c>
      <c r="G46" s="261"/>
      <c r="H46" s="7"/>
      <c r="I46" s="23">
        <f t="shared" si="11"/>
        <v>398.05</v>
      </c>
      <c r="J46" s="22"/>
      <c r="K46" s="7"/>
      <c r="L46" s="23">
        <f t="shared" si="12"/>
        <v>398.05</v>
      </c>
      <c r="M46" s="22"/>
      <c r="N46" s="7"/>
      <c r="O46" s="210">
        <f t="shared" si="13"/>
        <v>398.05</v>
      </c>
      <c r="P46" s="220"/>
      <c r="Q46" s="221">
        <f t="shared" si="1"/>
        <v>398.05</v>
      </c>
    </row>
    <row r="47" spans="1:17" ht="12.75">
      <c r="A47" s="33" t="s">
        <v>32</v>
      </c>
      <c r="B47" s="75"/>
      <c r="C47" s="139"/>
      <c r="D47" s="128">
        <f>451.07</f>
        <v>451.07</v>
      </c>
      <c r="E47" s="96"/>
      <c r="F47" s="190">
        <f t="shared" si="10"/>
        <v>451.07</v>
      </c>
      <c r="G47" s="261"/>
      <c r="H47" s="7"/>
      <c r="I47" s="23">
        <f t="shared" si="11"/>
        <v>451.07</v>
      </c>
      <c r="J47" s="22"/>
      <c r="K47" s="7"/>
      <c r="L47" s="23">
        <f t="shared" si="12"/>
        <v>451.07</v>
      </c>
      <c r="M47" s="22"/>
      <c r="N47" s="7"/>
      <c r="O47" s="210">
        <f t="shared" si="13"/>
        <v>451.07</v>
      </c>
      <c r="P47" s="220"/>
      <c r="Q47" s="221">
        <f t="shared" si="1"/>
        <v>451.07</v>
      </c>
    </row>
    <row r="48" spans="1:17" ht="12.75">
      <c r="A48" s="33" t="s">
        <v>33</v>
      </c>
      <c r="B48" s="75"/>
      <c r="C48" s="139"/>
      <c r="D48" s="128">
        <f>1900+1096+224</f>
        <v>3220</v>
      </c>
      <c r="E48" s="96"/>
      <c r="F48" s="190">
        <f t="shared" si="10"/>
        <v>3220</v>
      </c>
      <c r="G48" s="261"/>
      <c r="H48" s="7"/>
      <c r="I48" s="23">
        <f t="shared" si="11"/>
        <v>3220</v>
      </c>
      <c r="J48" s="22"/>
      <c r="K48" s="7"/>
      <c r="L48" s="23">
        <f t="shared" si="12"/>
        <v>3220</v>
      </c>
      <c r="M48" s="22"/>
      <c r="N48" s="7"/>
      <c r="O48" s="210">
        <f t="shared" si="13"/>
        <v>3220</v>
      </c>
      <c r="P48" s="220"/>
      <c r="Q48" s="221">
        <f t="shared" si="1"/>
        <v>3220</v>
      </c>
    </row>
    <row r="49" spans="1:17" ht="12.75" hidden="1">
      <c r="A49" s="33" t="s">
        <v>34</v>
      </c>
      <c r="B49" s="75"/>
      <c r="C49" s="139"/>
      <c r="D49" s="128"/>
      <c r="E49" s="96"/>
      <c r="F49" s="190">
        <f t="shared" si="10"/>
        <v>0</v>
      </c>
      <c r="G49" s="261"/>
      <c r="H49" s="7"/>
      <c r="I49" s="23">
        <f t="shared" si="11"/>
        <v>0</v>
      </c>
      <c r="J49" s="22"/>
      <c r="K49" s="7"/>
      <c r="L49" s="23">
        <f t="shared" si="12"/>
        <v>0</v>
      </c>
      <c r="M49" s="22"/>
      <c r="N49" s="7"/>
      <c r="O49" s="210">
        <f t="shared" si="13"/>
        <v>0</v>
      </c>
      <c r="P49" s="220"/>
      <c r="Q49" s="221">
        <f t="shared" si="1"/>
        <v>0</v>
      </c>
    </row>
    <row r="50" spans="1:17" ht="12.75" hidden="1">
      <c r="A50" s="33" t="s">
        <v>132</v>
      </c>
      <c r="B50" s="75"/>
      <c r="C50" s="139"/>
      <c r="D50" s="128"/>
      <c r="E50" s="96"/>
      <c r="F50" s="190">
        <f t="shared" si="10"/>
        <v>0</v>
      </c>
      <c r="G50" s="261"/>
      <c r="H50" s="7"/>
      <c r="I50" s="23">
        <f t="shared" si="11"/>
        <v>0</v>
      </c>
      <c r="J50" s="22"/>
      <c r="K50" s="7"/>
      <c r="L50" s="23">
        <f t="shared" si="12"/>
        <v>0</v>
      </c>
      <c r="M50" s="22"/>
      <c r="N50" s="7"/>
      <c r="O50" s="210">
        <f t="shared" si="13"/>
        <v>0</v>
      </c>
      <c r="P50" s="220"/>
      <c r="Q50" s="221">
        <f t="shared" si="1"/>
        <v>0</v>
      </c>
    </row>
    <row r="51" spans="1:17" ht="12.75">
      <c r="A51" s="33" t="s">
        <v>145</v>
      </c>
      <c r="B51" s="75"/>
      <c r="C51" s="139"/>
      <c r="D51" s="128">
        <f>10748.16</f>
        <v>10748.16</v>
      </c>
      <c r="E51" s="96"/>
      <c r="F51" s="190">
        <f t="shared" si="10"/>
        <v>10748.16</v>
      </c>
      <c r="G51" s="261"/>
      <c r="H51" s="7"/>
      <c r="I51" s="23">
        <f t="shared" si="11"/>
        <v>10748.16</v>
      </c>
      <c r="J51" s="22"/>
      <c r="K51" s="7"/>
      <c r="L51" s="23">
        <f t="shared" si="12"/>
        <v>10748.16</v>
      </c>
      <c r="M51" s="22"/>
      <c r="N51" s="7"/>
      <c r="O51" s="210">
        <f t="shared" si="13"/>
        <v>10748.16</v>
      </c>
      <c r="P51" s="220"/>
      <c r="Q51" s="221">
        <f t="shared" si="1"/>
        <v>10748.16</v>
      </c>
    </row>
    <row r="52" spans="1:17" ht="12.75">
      <c r="A52" s="33" t="s">
        <v>35</v>
      </c>
      <c r="B52" s="75"/>
      <c r="C52" s="139"/>
      <c r="D52" s="128">
        <f>55.21+754.79</f>
        <v>810</v>
      </c>
      <c r="E52" s="96"/>
      <c r="F52" s="190">
        <f t="shared" si="10"/>
        <v>810</v>
      </c>
      <c r="G52" s="261"/>
      <c r="H52" s="7"/>
      <c r="I52" s="23">
        <f t="shared" si="11"/>
        <v>810</v>
      </c>
      <c r="J52" s="22"/>
      <c r="K52" s="7"/>
      <c r="L52" s="23">
        <f t="shared" si="12"/>
        <v>810</v>
      </c>
      <c r="M52" s="22"/>
      <c r="N52" s="7"/>
      <c r="O52" s="210">
        <f t="shared" si="13"/>
        <v>810</v>
      </c>
      <c r="P52" s="224"/>
      <c r="Q52" s="221">
        <f t="shared" si="1"/>
        <v>810</v>
      </c>
    </row>
    <row r="53" spans="1:17" ht="12.75" hidden="1">
      <c r="A53" s="33" t="s">
        <v>36</v>
      </c>
      <c r="B53" s="75"/>
      <c r="C53" s="139"/>
      <c r="D53" s="128"/>
      <c r="E53" s="96"/>
      <c r="F53" s="190">
        <f t="shared" si="10"/>
        <v>0</v>
      </c>
      <c r="G53" s="261"/>
      <c r="H53" s="7"/>
      <c r="I53" s="23">
        <f t="shared" si="11"/>
        <v>0</v>
      </c>
      <c r="J53" s="29"/>
      <c r="K53" s="7"/>
      <c r="L53" s="23">
        <f t="shared" si="12"/>
        <v>0</v>
      </c>
      <c r="M53" s="22"/>
      <c r="N53" s="7"/>
      <c r="O53" s="210">
        <f t="shared" si="13"/>
        <v>0</v>
      </c>
      <c r="P53" s="220"/>
      <c r="Q53" s="221">
        <f t="shared" si="1"/>
        <v>0</v>
      </c>
    </row>
    <row r="54" spans="1:17" ht="12.75" hidden="1">
      <c r="A54" s="33" t="s">
        <v>187</v>
      </c>
      <c r="B54" s="75"/>
      <c r="C54" s="139"/>
      <c r="D54" s="128"/>
      <c r="E54" s="96"/>
      <c r="F54" s="190">
        <f t="shared" si="10"/>
        <v>0</v>
      </c>
      <c r="G54" s="261"/>
      <c r="H54" s="7"/>
      <c r="I54" s="23">
        <f t="shared" si="11"/>
        <v>0</v>
      </c>
      <c r="J54" s="29"/>
      <c r="K54" s="7"/>
      <c r="L54" s="23">
        <f t="shared" si="12"/>
        <v>0</v>
      </c>
      <c r="M54" s="22"/>
      <c r="N54" s="7"/>
      <c r="O54" s="210">
        <f t="shared" si="13"/>
        <v>0</v>
      </c>
      <c r="P54" s="220"/>
      <c r="Q54" s="221">
        <f t="shared" si="1"/>
        <v>0</v>
      </c>
    </row>
    <row r="55" spans="1:17" ht="12.75" hidden="1">
      <c r="A55" s="33" t="s">
        <v>146</v>
      </c>
      <c r="B55" s="75"/>
      <c r="C55" s="139"/>
      <c r="D55" s="128"/>
      <c r="E55" s="96"/>
      <c r="F55" s="190">
        <f t="shared" si="10"/>
        <v>0</v>
      </c>
      <c r="G55" s="261"/>
      <c r="H55" s="7"/>
      <c r="I55" s="23">
        <f t="shared" si="11"/>
        <v>0</v>
      </c>
      <c r="J55" s="29"/>
      <c r="K55" s="7"/>
      <c r="L55" s="23">
        <f t="shared" si="12"/>
        <v>0</v>
      </c>
      <c r="M55" s="22"/>
      <c r="N55" s="7"/>
      <c r="O55" s="210">
        <f t="shared" si="13"/>
        <v>0</v>
      </c>
      <c r="P55" s="220"/>
      <c r="Q55" s="221">
        <f t="shared" si="1"/>
        <v>0</v>
      </c>
    </row>
    <row r="56" spans="1:17" ht="12.75" hidden="1">
      <c r="A56" s="33" t="s">
        <v>37</v>
      </c>
      <c r="B56" s="75"/>
      <c r="C56" s="139"/>
      <c r="D56" s="128"/>
      <c r="E56" s="96"/>
      <c r="F56" s="190">
        <f t="shared" si="10"/>
        <v>0</v>
      </c>
      <c r="G56" s="261"/>
      <c r="H56" s="7"/>
      <c r="I56" s="23">
        <f t="shared" si="11"/>
        <v>0</v>
      </c>
      <c r="J56" s="22"/>
      <c r="K56" s="7"/>
      <c r="L56" s="23">
        <f t="shared" si="12"/>
        <v>0</v>
      </c>
      <c r="M56" s="22"/>
      <c r="N56" s="7"/>
      <c r="O56" s="210">
        <f t="shared" si="13"/>
        <v>0</v>
      </c>
      <c r="P56" s="220"/>
      <c r="Q56" s="221">
        <f t="shared" si="1"/>
        <v>0</v>
      </c>
    </row>
    <row r="57" spans="1:17" ht="12.75" hidden="1">
      <c r="A57" s="33" t="s">
        <v>44</v>
      </c>
      <c r="B57" s="75"/>
      <c r="C57" s="139"/>
      <c r="D57" s="128"/>
      <c r="E57" s="96"/>
      <c r="F57" s="190">
        <f t="shared" si="10"/>
        <v>0</v>
      </c>
      <c r="G57" s="261"/>
      <c r="H57" s="7"/>
      <c r="I57" s="23">
        <f t="shared" si="11"/>
        <v>0</v>
      </c>
      <c r="J57" s="22"/>
      <c r="K57" s="7"/>
      <c r="L57" s="23">
        <f t="shared" si="12"/>
        <v>0</v>
      </c>
      <c r="M57" s="22"/>
      <c r="N57" s="7"/>
      <c r="O57" s="210">
        <f t="shared" si="13"/>
        <v>0</v>
      </c>
      <c r="P57" s="220"/>
      <c r="Q57" s="221">
        <f t="shared" si="1"/>
        <v>0</v>
      </c>
    </row>
    <row r="58" spans="1:17" ht="12.75" hidden="1">
      <c r="A58" s="33" t="s">
        <v>38</v>
      </c>
      <c r="B58" s="75"/>
      <c r="C58" s="139"/>
      <c r="D58" s="128"/>
      <c r="E58" s="96"/>
      <c r="F58" s="190">
        <f t="shared" si="10"/>
        <v>0</v>
      </c>
      <c r="G58" s="261"/>
      <c r="H58" s="7"/>
      <c r="I58" s="23">
        <f t="shared" si="11"/>
        <v>0</v>
      </c>
      <c r="J58" s="22"/>
      <c r="K58" s="7"/>
      <c r="L58" s="23">
        <f t="shared" si="12"/>
        <v>0</v>
      </c>
      <c r="M58" s="22"/>
      <c r="N58" s="7"/>
      <c r="O58" s="210">
        <f t="shared" si="13"/>
        <v>0</v>
      </c>
      <c r="P58" s="220"/>
      <c r="Q58" s="221">
        <f t="shared" si="1"/>
        <v>0</v>
      </c>
    </row>
    <row r="59" spans="1:17" ht="12.75" hidden="1">
      <c r="A59" s="33" t="s">
        <v>39</v>
      </c>
      <c r="B59" s="75"/>
      <c r="C59" s="139"/>
      <c r="D59" s="128"/>
      <c r="E59" s="96"/>
      <c r="F59" s="190">
        <f t="shared" si="10"/>
        <v>0</v>
      </c>
      <c r="G59" s="261"/>
      <c r="H59" s="7"/>
      <c r="I59" s="23">
        <f t="shared" si="11"/>
        <v>0</v>
      </c>
      <c r="J59" s="22"/>
      <c r="K59" s="7"/>
      <c r="L59" s="23">
        <f t="shared" si="12"/>
        <v>0</v>
      </c>
      <c r="M59" s="22"/>
      <c r="N59" s="7"/>
      <c r="O59" s="210">
        <f t="shared" si="13"/>
        <v>0</v>
      </c>
      <c r="P59" s="220"/>
      <c r="Q59" s="221">
        <f t="shared" si="1"/>
        <v>0</v>
      </c>
    </row>
    <row r="60" spans="1:17" ht="12.75">
      <c r="A60" s="33" t="s">
        <v>40</v>
      </c>
      <c r="B60" s="75"/>
      <c r="C60" s="139">
        <v>250</v>
      </c>
      <c r="D60" s="128">
        <f>5.96+863.64</f>
        <v>869.6</v>
      </c>
      <c r="E60" s="96"/>
      <c r="F60" s="190">
        <f t="shared" si="10"/>
        <v>1119.6</v>
      </c>
      <c r="G60" s="261"/>
      <c r="H60" s="7"/>
      <c r="I60" s="23">
        <f t="shared" si="11"/>
        <v>1119.6</v>
      </c>
      <c r="J60" s="22"/>
      <c r="K60" s="7"/>
      <c r="L60" s="23">
        <f t="shared" si="12"/>
        <v>1119.6</v>
      </c>
      <c r="M60" s="22"/>
      <c r="N60" s="7"/>
      <c r="O60" s="210">
        <f t="shared" si="13"/>
        <v>1119.6</v>
      </c>
      <c r="P60" s="220"/>
      <c r="Q60" s="221">
        <f t="shared" si="1"/>
        <v>1119.6</v>
      </c>
    </row>
    <row r="61" spans="1:17" ht="12.75" hidden="1">
      <c r="A61" s="33" t="s">
        <v>149</v>
      </c>
      <c r="B61" s="75"/>
      <c r="C61" s="139"/>
      <c r="D61" s="128"/>
      <c r="E61" s="96"/>
      <c r="F61" s="190">
        <f t="shared" si="10"/>
        <v>0</v>
      </c>
      <c r="G61" s="261"/>
      <c r="H61" s="7"/>
      <c r="I61" s="23">
        <f t="shared" si="11"/>
        <v>0</v>
      </c>
      <c r="J61" s="22"/>
      <c r="K61" s="7"/>
      <c r="L61" s="23">
        <f t="shared" si="12"/>
        <v>0</v>
      </c>
      <c r="M61" s="22"/>
      <c r="N61" s="7"/>
      <c r="O61" s="210">
        <f t="shared" si="13"/>
        <v>0</v>
      </c>
      <c r="P61" s="220"/>
      <c r="Q61" s="221">
        <f t="shared" si="1"/>
        <v>0</v>
      </c>
    </row>
    <row r="62" spans="1:17" ht="12.75">
      <c r="A62" s="30" t="s">
        <v>41</v>
      </c>
      <c r="B62" s="72"/>
      <c r="C62" s="138">
        <f>SUM(C64:C77)</f>
        <v>0</v>
      </c>
      <c r="D62" s="117">
        <f aca="true" t="shared" si="14" ref="D62:Q62">SUM(D64:D77)</f>
        <v>506339.23</v>
      </c>
      <c r="E62" s="95">
        <f t="shared" si="14"/>
        <v>0</v>
      </c>
      <c r="F62" s="189">
        <f t="shared" si="14"/>
        <v>506339.23</v>
      </c>
      <c r="G62" s="219">
        <f t="shared" si="14"/>
        <v>0</v>
      </c>
      <c r="H62" s="95">
        <f t="shared" si="14"/>
        <v>0</v>
      </c>
      <c r="I62" s="162">
        <f t="shared" si="14"/>
        <v>506339.23</v>
      </c>
      <c r="J62" s="94">
        <f t="shared" si="14"/>
        <v>0</v>
      </c>
      <c r="K62" s="95">
        <f t="shared" si="14"/>
        <v>0</v>
      </c>
      <c r="L62" s="162">
        <f t="shared" si="14"/>
        <v>506339.23</v>
      </c>
      <c r="M62" s="94">
        <f t="shared" si="14"/>
        <v>0</v>
      </c>
      <c r="N62" s="95">
        <f t="shared" si="14"/>
        <v>0</v>
      </c>
      <c r="O62" s="189">
        <f t="shared" si="14"/>
        <v>506339.23</v>
      </c>
      <c r="P62" s="219">
        <f t="shared" si="14"/>
        <v>0</v>
      </c>
      <c r="Q62" s="189">
        <f t="shared" si="14"/>
        <v>506339.23</v>
      </c>
    </row>
    <row r="63" spans="1:17" ht="12.75">
      <c r="A63" s="35" t="s">
        <v>26</v>
      </c>
      <c r="B63" s="77"/>
      <c r="C63" s="139"/>
      <c r="D63" s="128"/>
      <c r="E63" s="96"/>
      <c r="F63" s="190"/>
      <c r="G63" s="261"/>
      <c r="H63" s="7"/>
      <c r="I63" s="23"/>
      <c r="J63" s="22"/>
      <c r="K63" s="7"/>
      <c r="L63" s="23"/>
      <c r="M63" s="22"/>
      <c r="N63" s="7"/>
      <c r="O63" s="210"/>
      <c r="P63" s="220"/>
      <c r="Q63" s="221"/>
    </row>
    <row r="64" spans="1:17" ht="12.75" hidden="1">
      <c r="A64" s="33" t="s">
        <v>29</v>
      </c>
      <c r="B64" s="75"/>
      <c r="C64" s="139"/>
      <c r="D64" s="128"/>
      <c r="E64" s="96"/>
      <c r="F64" s="190">
        <f aca="true" t="shared" si="15" ref="F64:F77">C64+D64+E64</f>
        <v>0</v>
      </c>
      <c r="G64" s="261"/>
      <c r="H64" s="7"/>
      <c r="I64" s="23">
        <f>F64+G64+H64</f>
        <v>0</v>
      </c>
      <c r="J64" s="22"/>
      <c r="K64" s="7"/>
      <c r="L64" s="23">
        <f>I64+J64+K64</f>
        <v>0</v>
      </c>
      <c r="M64" s="22"/>
      <c r="N64" s="7"/>
      <c r="O64" s="210">
        <f>L64+M64+N64</f>
        <v>0</v>
      </c>
      <c r="P64" s="220"/>
      <c r="Q64" s="221">
        <f t="shared" si="1"/>
        <v>0</v>
      </c>
    </row>
    <row r="65" spans="1:17" ht="12.75" hidden="1">
      <c r="A65" s="37" t="s">
        <v>30</v>
      </c>
      <c r="B65" s="78"/>
      <c r="C65" s="139"/>
      <c r="D65" s="128"/>
      <c r="E65" s="96"/>
      <c r="F65" s="190">
        <f t="shared" si="15"/>
        <v>0</v>
      </c>
      <c r="G65" s="261"/>
      <c r="H65" s="7"/>
      <c r="I65" s="23">
        <f aca="true" t="shared" si="16" ref="I65:I77">F65+G65+H65</f>
        <v>0</v>
      </c>
      <c r="J65" s="22"/>
      <c r="K65" s="7"/>
      <c r="L65" s="23">
        <f aca="true" t="shared" si="17" ref="L65:L77">I65+J65+K65</f>
        <v>0</v>
      </c>
      <c r="M65" s="22"/>
      <c r="N65" s="7"/>
      <c r="O65" s="210">
        <f aca="true" t="shared" si="18" ref="O65:O77">L65+M65+N65</f>
        <v>0</v>
      </c>
      <c r="P65" s="220"/>
      <c r="Q65" s="221">
        <f t="shared" si="1"/>
        <v>0</v>
      </c>
    </row>
    <row r="66" spans="1:17" ht="12.75" hidden="1">
      <c r="A66" s="37" t="s">
        <v>28</v>
      </c>
      <c r="B66" s="78"/>
      <c r="C66" s="139"/>
      <c r="D66" s="128"/>
      <c r="E66" s="96"/>
      <c r="F66" s="190">
        <f t="shared" si="15"/>
        <v>0</v>
      </c>
      <c r="G66" s="261"/>
      <c r="H66" s="7"/>
      <c r="I66" s="23">
        <f t="shared" si="16"/>
        <v>0</v>
      </c>
      <c r="J66" s="22"/>
      <c r="K66" s="7"/>
      <c r="L66" s="23">
        <f t="shared" si="17"/>
        <v>0</v>
      </c>
      <c r="M66" s="22"/>
      <c r="N66" s="7"/>
      <c r="O66" s="210">
        <f t="shared" si="18"/>
        <v>0</v>
      </c>
      <c r="P66" s="220"/>
      <c r="Q66" s="221">
        <f t="shared" si="1"/>
        <v>0</v>
      </c>
    </row>
    <row r="67" spans="1:17" ht="12.75" hidden="1">
      <c r="A67" s="37" t="s">
        <v>42</v>
      </c>
      <c r="B67" s="78"/>
      <c r="C67" s="139"/>
      <c r="D67" s="128"/>
      <c r="E67" s="96"/>
      <c r="F67" s="190">
        <f t="shared" si="15"/>
        <v>0</v>
      </c>
      <c r="G67" s="261"/>
      <c r="H67" s="7"/>
      <c r="I67" s="23">
        <f t="shared" si="16"/>
        <v>0</v>
      </c>
      <c r="J67" s="22"/>
      <c r="K67" s="7"/>
      <c r="L67" s="23">
        <f t="shared" si="17"/>
        <v>0</v>
      </c>
      <c r="M67" s="22"/>
      <c r="N67" s="7"/>
      <c r="O67" s="210">
        <f t="shared" si="18"/>
        <v>0</v>
      </c>
      <c r="P67" s="220"/>
      <c r="Q67" s="221">
        <f t="shared" si="1"/>
        <v>0</v>
      </c>
    </row>
    <row r="68" spans="1:17" ht="12.75">
      <c r="A68" s="33" t="s">
        <v>31</v>
      </c>
      <c r="B68" s="75"/>
      <c r="C68" s="139"/>
      <c r="D68" s="128">
        <f>1620.82+1409.62</f>
        <v>3030.4399999999996</v>
      </c>
      <c r="E68" s="96"/>
      <c r="F68" s="190">
        <f t="shared" si="15"/>
        <v>3030.4399999999996</v>
      </c>
      <c r="G68" s="261"/>
      <c r="H68" s="7"/>
      <c r="I68" s="23">
        <f t="shared" si="16"/>
        <v>3030.4399999999996</v>
      </c>
      <c r="J68" s="22"/>
      <c r="K68" s="7"/>
      <c r="L68" s="23">
        <f t="shared" si="17"/>
        <v>3030.4399999999996</v>
      </c>
      <c r="M68" s="22"/>
      <c r="N68" s="7"/>
      <c r="O68" s="210">
        <f t="shared" si="18"/>
        <v>3030.4399999999996</v>
      </c>
      <c r="P68" s="220"/>
      <c r="Q68" s="221">
        <f t="shared" si="1"/>
        <v>3030.4399999999996</v>
      </c>
    </row>
    <row r="69" spans="1:17" ht="12.75" hidden="1">
      <c r="A69" s="33" t="s">
        <v>199</v>
      </c>
      <c r="B69" s="75"/>
      <c r="C69" s="139"/>
      <c r="D69" s="128"/>
      <c r="E69" s="96"/>
      <c r="F69" s="190">
        <f t="shared" si="15"/>
        <v>0</v>
      </c>
      <c r="G69" s="261"/>
      <c r="H69" s="7"/>
      <c r="I69" s="23">
        <f t="shared" si="16"/>
        <v>0</v>
      </c>
      <c r="J69" s="22"/>
      <c r="K69" s="7"/>
      <c r="L69" s="23">
        <f t="shared" si="17"/>
        <v>0</v>
      </c>
      <c r="M69" s="22"/>
      <c r="N69" s="7"/>
      <c r="O69" s="210">
        <f t="shared" si="18"/>
        <v>0</v>
      </c>
      <c r="P69" s="220"/>
      <c r="Q69" s="221">
        <f t="shared" si="1"/>
        <v>0</v>
      </c>
    </row>
    <row r="70" spans="1:17" ht="12.75">
      <c r="A70" s="33" t="s">
        <v>145</v>
      </c>
      <c r="B70" s="75"/>
      <c r="C70" s="139"/>
      <c r="D70" s="128">
        <f>143308.79</f>
        <v>143308.79</v>
      </c>
      <c r="E70" s="96"/>
      <c r="F70" s="190">
        <f t="shared" si="15"/>
        <v>143308.79</v>
      </c>
      <c r="G70" s="261"/>
      <c r="H70" s="7"/>
      <c r="I70" s="23">
        <f t="shared" si="16"/>
        <v>143308.79</v>
      </c>
      <c r="J70" s="22"/>
      <c r="K70" s="7"/>
      <c r="L70" s="23">
        <f t="shared" si="17"/>
        <v>143308.79</v>
      </c>
      <c r="M70" s="22"/>
      <c r="N70" s="7"/>
      <c r="O70" s="210">
        <f t="shared" si="18"/>
        <v>143308.79</v>
      </c>
      <c r="P70" s="220"/>
      <c r="Q70" s="221">
        <f t="shared" si="1"/>
        <v>143308.79</v>
      </c>
    </row>
    <row r="71" spans="1:17" ht="12.75" hidden="1">
      <c r="A71" s="33" t="s">
        <v>146</v>
      </c>
      <c r="B71" s="75"/>
      <c r="C71" s="139"/>
      <c r="D71" s="128"/>
      <c r="E71" s="96"/>
      <c r="F71" s="190">
        <f t="shared" si="15"/>
        <v>0</v>
      </c>
      <c r="G71" s="261"/>
      <c r="H71" s="7"/>
      <c r="I71" s="23">
        <f t="shared" si="16"/>
        <v>0</v>
      </c>
      <c r="J71" s="22"/>
      <c r="K71" s="7"/>
      <c r="L71" s="23">
        <f t="shared" si="17"/>
        <v>0</v>
      </c>
      <c r="M71" s="22"/>
      <c r="N71" s="7"/>
      <c r="O71" s="210">
        <f t="shared" si="18"/>
        <v>0</v>
      </c>
      <c r="P71" s="220"/>
      <c r="Q71" s="221">
        <f t="shared" si="1"/>
        <v>0</v>
      </c>
    </row>
    <row r="72" spans="1:17" ht="12.75">
      <c r="A72" s="33" t="s">
        <v>43</v>
      </c>
      <c r="B72" s="75"/>
      <c r="C72" s="139"/>
      <c r="D72" s="128">
        <f>360000</f>
        <v>360000</v>
      </c>
      <c r="E72" s="96"/>
      <c r="F72" s="190">
        <f t="shared" si="15"/>
        <v>360000</v>
      </c>
      <c r="G72" s="261"/>
      <c r="H72" s="7"/>
      <c r="I72" s="23">
        <f t="shared" si="16"/>
        <v>360000</v>
      </c>
      <c r="J72" s="22"/>
      <c r="K72" s="7"/>
      <c r="L72" s="23">
        <f t="shared" si="17"/>
        <v>360000</v>
      </c>
      <c r="M72" s="22"/>
      <c r="N72" s="7"/>
      <c r="O72" s="210">
        <f t="shared" si="18"/>
        <v>360000</v>
      </c>
      <c r="P72" s="220"/>
      <c r="Q72" s="221">
        <f t="shared" si="1"/>
        <v>360000</v>
      </c>
    </row>
    <row r="73" spans="1:17" ht="12.75" hidden="1">
      <c r="A73" s="33" t="s">
        <v>44</v>
      </c>
      <c r="B73" s="75"/>
      <c r="C73" s="139"/>
      <c r="D73" s="128"/>
      <c r="E73" s="96"/>
      <c r="F73" s="190">
        <f t="shared" si="15"/>
        <v>0</v>
      </c>
      <c r="G73" s="261"/>
      <c r="H73" s="7"/>
      <c r="I73" s="23">
        <f t="shared" si="16"/>
        <v>0</v>
      </c>
      <c r="J73" s="22"/>
      <c r="K73" s="7"/>
      <c r="L73" s="23">
        <f t="shared" si="17"/>
        <v>0</v>
      </c>
      <c r="M73" s="22"/>
      <c r="N73" s="7"/>
      <c r="O73" s="210">
        <f t="shared" si="18"/>
        <v>0</v>
      </c>
      <c r="P73" s="220"/>
      <c r="Q73" s="221">
        <f t="shared" si="1"/>
        <v>0</v>
      </c>
    </row>
    <row r="74" spans="1:17" ht="12.75" hidden="1">
      <c r="A74" s="33" t="s">
        <v>45</v>
      </c>
      <c r="B74" s="75"/>
      <c r="C74" s="139"/>
      <c r="D74" s="128"/>
      <c r="E74" s="96"/>
      <c r="F74" s="190">
        <f t="shared" si="15"/>
        <v>0</v>
      </c>
      <c r="G74" s="261"/>
      <c r="H74" s="7"/>
      <c r="I74" s="23">
        <f t="shared" si="16"/>
        <v>0</v>
      </c>
      <c r="J74" s="22"/>
      <c r="K74" s="7"/>
      <c r="L74" s="23">
        <f t="shared" si="17"/>
        <v>0</v>
      </c>
      <c r="M74" s="22"/>
      <c r="N74" s="7"/>
      <c r="O74" s="210">
        <f t="shared" si="18"/>
        <v>0</v>
      </c>
      <c r="P74" s="220"/>
      <c r="Q74" s="221">
        <f t="shared" si="1"/>
        <v>0</v>
      </c>
    </row>
    <row r="75" spans="1:17" ht="12.75" hidden="1">
      <c r="A75" s="33" t="s">
        <v>35</v>
      </c>
      <c r="B75" s="75"/>
      <c r="C75" s="139"/>
      <c r="D75" s="128"/>
      <c r="E75" s="96"/>
      <c r="F75" s="190">
        <f t="shared" si="15"/>
        <v>0</v>
      </c>
      <c r="G75" s="261"/>
      <c r="H75" s="7"/>
      <c r="I75" s="23">
        <f t="shared" si="16"/>
        <v>0</v>
      </c>
      <c r="J75" s="22"/>
      <c r="K75" s="7"/>
      <c r="L75" s="23">
        <f t="shared" si="17"/>
        <v>0</v>
      </c>
      <c r="M75" s="22"/>
      <c r="N75" s="7"/>
      <c r="O75" s="210">
        <f t="shared" si="18"/>
        <v>0</v>
      </c>
      <c r="P75" s="225"/>
      <c r="Q75" s="221">
        <f t="shared" si="1"/>
        <v>0</v>
      </c>
    </row>
    <row r="76" spans="1:17" ht="12.75" hidden="1">
      <c r="A76" s="33" t="s">
        <v>39</v>
      </c>
      <c r="B76" s="75"/>
      <c r="C76" s="139"/>
      <c r="D76" s="128"/>
      <c r="E76" s="96"/>
      <c r="F76" s="190">
        <f t="shared" si="15"/>
        <v>0</v>
      </c>
      <c r="G76" s="261"/>
      <c r="H76" s="7"/>
      <c r="I76" s="23">
        <f t="shared" si="16"/>
        <v>0</v>
      </c>
      <c r="J76" s="22"/>
      <c r="K76" s="7"/>
      <c r="L76" s="23">
        <f t="shared" si="17"/>
        <v>0</v>
      </c>
      <c r="M76" s="22"/>
      <c r="N76" s="7"/>
      <c r="O76" s="210">
        <f t="shared" si="18"/>
        <v>0</v>
      </c>
      <c r="P76" s="225"/>
      <c r="Q76" s="221">
        <f t="shared" si="1"/>
        <v>0</v>
      </c>
    </row>
    <row r="77" spans="1:17" ht="12.75" hidden="1">
      <c r="A77" s="33" t="s">
        <v>149</v>
      </c>
      <c r="B77" s="75"/>
      <c r="C77" s="139"/>
      <c r="D77" s="128"/>
      <c r="E77" s="96"/>
      <c r="F77" s="190">
        <f t="shared" si="15"/>
        <v>0</v>
      </c>
      <c r="G77" s="261"/>
      <c r="H77" s="7"/>
      <c r="I77" s="23">
        <f t="shared" si="16"/>
        <v>0</v>
      </c>
      <c r="J77" s="22"/>
      <c r="K77" s="7"/>
      <c r="L77" s="23">
        <f t="shared" si="17"/>
        <v>0</v>
      </c>
      <c r="M77" s="22"/>
      <c r="N77" s="7"/>
      <c r="O77" s="210">
        <f t="shared" si="18"/>
        <v>0</v>
      </c>
      <c r="P77" s="220"/>
      <c r="Q77" s="221">
        <f t="shared" si="1"/>
        <v>0</v>
      </c>
    </row>
    <row r="78" spans="1:17" ht="16.5" thickBot="1">
      <c r="A78" s="38" t="s">
        <v>46</v>
      </c>
      <c r="B78" s="79"/>
      <c r="C78" s="142">
        <f>C11+C17+C39+C62+C31</f>
        <v>5751704.72</v>
      </c>
      <c r="D78" s="130">
        <f aca="true" t="shared" si="19" ref="D78:Q78">D11+D17+D39+D62+D31</f>
        <v>12177604.510000004</v>
      </c>
      <c r="E78" s="101">
        <f t="shared" si="19"/>
        <v>0</v>
      </c>
      <c r="F78" s="192">
        <f t="shared" si="19"/>
        <v>17929309.230000004</v>
      </c>
      <c r="G78" s="226">
        <f t="shared" si="19"/>
        <v>0</v>
      </c>
      <c r="H78" s="101">
        <f t="shared" si="19"/>
        <v>0</v>
      </c>
      <c r="I78" s="165">
        <f t="shared" si="19"/>
        <v>17929299.490000002</v>
      </c>
      <c r="J78" s="100">
        <f t="shared" si="19"/>
        <v>0</v>
      </c>
      <c r="K78" s="101">
        <f t="shared" si="19"/>
        <v>0</v>
      </c>
      <c r="L78" s="165">
        <f t="shared" si="19"/>
        <v>17929299.490000002</v>
      </c>
      <c r="M78" s="100">
        <f t="shared" si="19"/>
        <v>0</v>
      </c>
      <c r="N78" s="101">
        <f t="shared" si="19"/>
        <v>0</v>
      </c>
      <c r="O78" s="192">
        <f t="shared" si="19"/>
        <v>17902812.770000003</v>
      </c>
      <c r="P78" s="226">
        <f t="shared" si="19"/>
        <v>0</v>
      </c>
      <c r="Q78" s="192">
        <f t="shared" si="19"/>
        <v>17902812.770000003</v>
      </c>
    </row>
    <row r="79" spans="1:17" ht="12.75">
      <c r="A79" s="30" t="s">
        <v>47</v>
      </c>
      <c r="B79" s="72"/>
      <c r="C79" s="138"/>
      <c r="D79" s="128"/>
      <c r="E79" s="96"/>
      <c r="F79" s="190"/>
      <c r="G79" s="261"/>
      <c r="H79" s="7"/>
      <c r="I79" s="23"/>
      <c r="J79" s="22"/>
      <c r="K79" s="7"/>
      <c r="L79" s="23"/>
      <c r="M79" s="22"/>
      <c r="N79" s="7"/>
      <c r="O79" s="210"/>
      <c r="P79" s="220"/>
      <c r="Q79" s="221"/>
    </row>
    <row r="80" spans="1:17" ht="12.75">
      <c r="A80" s="30" t="s">
        <v>61</v>
      </c>
      <c r="B80" s="84"/>
      <c r="C80" s="138">
        <f aca="true" t="shared" si="20" ref="C80:Q80">C81+C88</f>
        <v>112277</v>
      </c>
      <c r="D80" s="117">
        <f t="shared" si="20"/>
        <v>46800.56</v>
      </c>
      <c r="E80" s="95">
        <f t="shared" si="20"/>
        <v>0</v>
      </c>
      <c r="F80" s="189">
        <f t="shared" si="20"/>
        <v>159077.56</v>
      </c>
      <c r="G80" s="219">
        <f t="shared" si="20"/>
        <v>0</v>
      </c>
      <c r="H80" s="95">
        <f t="shared" si="20"/>
        <v>0</v>
      </c>
      <c r="I80" s="162">
        <f t="shared" si="20"/>
        <v>159077.56</v>
      </c>
      <c r="J80" s="94">
        <f t="shared" si="20"/>
        <v>0</v>
      </c>
      <c r="K80" s="95">
        <f t="shared" si="20"/>
        <v>0</v>
      </c>
      <c r="L80" s="162">
        <f t="shared" si="20"/>
        <v>159077.56</v>
      </c>
      <c r="M80" s="94">
        <f t="shared" si="20"/>
        <v>0</v>
      </c>
      <c r="N80" s="95">
        <f t="shared" si="20"/>
        <v>0</v>
      </c>
      <c r="O80" s="189">
        <f t="shared" si="20"/>
        <v>159077.56</v>
      </c>
      <c r="P80" s="219">
        <f t="shared" si="20"/>
        <v>0</v>
      </c>
      <c r="Q80" s="189">
        <f t="shared" si="20"/>
        <v>159077.56</v>
      </c>
    </row>
    <row r="81" spans="1:17" ht="12.75">
      <c r="A81" s="39" t="s">
        <v>49</v>
      </c>
      <c r="B81" s="84"/>
      <c r="C81" s="143">
        <f>SUM(C83:C87)</f>
        <v>69277</v>
      </c>
      <c r="D81" s="131">
        <f aca="true" t="shared" si="21" ref="D81:Q81">SUM(D83:D87)</f>
        <v>2652.21</v>
      </c>
      <c r="E81" s="103">
        <f t="shared" si="21"/>
        <v>0</v>
      </c>
      <c r="F81" s="193">
        <f t="shared" si="21"/>
        <v>71929.21</v>
      </c>
      <c r="G81" s="227">
        <f t="shared" si="21"/>
        <v>0</v>
      </c>
      <c r="H81" s="103">
        <f t="shared" si="21"/>
        <v>0</v>
      </c>
      <c r="I81" s="166">
        <f t="shared" si="21"/>
        <v>71929.21</v>
      </c>
      <c r="J81" s="102">
        <f t="shared" si="21"/>
        <v>0</v>
      </c>
      <c r="K81" s="103">
        <f t="shared" si="21"/>
        <v>0</v>
      </c>
      <c r="L81" s="166">
        <f t="shared" si="21"/>
        <v>71929.21</v>
      </c>
      <c r="M81" s="102">
        <f t="shared" si="21"/>
        <v>0</v>
      </c>
      <c r="N81" s="103">
        <f t="shared" si="21"/>
        <v>0</v>
      </c>
      <c r="O81" s="193">
        <f t="shared" si="21"/>
        <v>71929.21</v>
      </c>
      <c r="P81" s="227">
        <f t="shared" si="21"/>
        <v>0</v>
      </c>
      <c r="Q81" s="193">
        <f t="shared" si="21"/>
        <v>71929.21</v>
      </c>
    </row>
    <row r="82" spans="1:17" ht="12.75">
      <c r="A82" s="35" t="s">
        <v>26</v>
      </c>
      <c r="B82" s="80"/>
      <c r="C82" s="139"/>
      <c r="D82" s="128"/>
      <c r="E82" s="96"/>
      <c r="F82" s="189"/>
      <c r="G82" s="261"/>
      <c r="H82" s="7"/>
      <c r="I82" s="21"/>
      <c r="J82" s="22"/>
      <c r="K82" s="7"/>
      <c r="L82" s="21"/>
      <c r="M82" s="22"/>
      <c r="N82" s="7"/>
      <c r="O82" s="209"/>
      <c r="P82" s="220"/>
      <c r="Q82" s="221"/>
    </row>
    <row r="83" spans="1:17" ht="12.75">
      <c r="A83" s="33" t="s">
        <v>51</v>
      </c>
      <c r="B83" s="80"/>
      <c r="C83" s="139">
        <v>7889</v>
      </c>
      <c r="D83" s="128"/>
      <c r="E83" s="96"/>
      <c r="F83" s="190">
        <f>C83+D83+E83</f>
        <v>7889</v>
      </c>
      <c r="G83" s="261"/>
      <c r="H83" s="7"/>
      <c r="I83" s="23">
        <f>F83+G83+H83</f>
        <v>7889</v>
      </c>
      <c r="J83" s="22"/>
      <c r="K83" s="7"/>
      <c r="L83" s="23">
        <f>I83+J83+K83</f>
        <v>7889</v>
      </c>
      <c r="M83" s="22"/>
      <c r="N83" s="7"/>
      <c r="O83" s="210">
        <f>L83+M83+N83</f>
        <v>7889</v>
      </c>
      <c r="P83" s="220"/>
      <c r="Q83" s="221">
        <f>O83+P83</f>
        <v>7889</v>
      </c>
    </row>
    <row r="84" spans="1:17" ht="12.75" hidden="1">
      <c r="A84" s="33" t="s">
        <v>63</v>
      </c>
      <c r="B84" s="80"/>
      <c r="C84" s="139"/>
      <c r="D84" s="128"/>
      <c r="E84" s="96"/>
      <c r="F84" s="190">
        <f>C84+D84+E84</f>
        <v>0</v>
      </c>
      <c r="G84" s="261"/>
      <c r="H84" s="7"/>
      <c r="I84" s="23">
        <f>F84+G84+H84</f>
        <v>0</v>
      </c>
      <c r="J84" s="22"/>
      <c r="K84" s="7"/>
      <c r="L84" s="23">
        <f>I84+J84+K84</f>
        <v>0</v>
      </c>
      <c r="M84" s="22"/>
      <c r="N84" s="7"/>
      <c r="O84" s="210">
        <f>L84+M84+N84</f>
        <v>0</v>
      </c>
      <c r="P84" s="220"/>
      <c r="Q84" s="221">
        <f>O84+P84</f>
        <v>0</v>
      </c>
    </row>
    <row r="85" spans="1:17" ht="12.75">
      <c r="A85" s="37" t="s">
        <v>193</v>
      </c>
      <c r="B85" s="80"/>
      <c r="C85" s="139">
        <v>61388</v>
      </c>
      <c r="D85" s="128"/>
      <c r="E85" s="96"/>
      <c r="F85" s="190">
        <f>C85+D85+E85</f>
        <v>61388</v>
      </c>
      <c r="G85" s="261"/>
      <c r="H85" s="7"/>
      <c r="I85" s="23">
        <f>F85+G85+H85</f>
        <v>61388</v>
      </c>
      <c r="J85" s="22"/>
      <c r="K85" s="7"/>
      <c r="L85" s="23">
        <f>I85+J85+K85</f>
        <v>61388</v>
      </c>
      <c r="M85" s="22"/>
      <c r="N85" s="7"/>
      <c r="O85" s="210">
        <f>L85+M85+N85</f>
        <v>61388</v>
      </c>
      <c r="P85" s="220"/>
      <c r="Q85" s="221">
        <f>O85+P85</f>
        <v>61388</v>
      </c>
    </row>
    <row r="86" spans="1:17" ht="12.75" hidden="1">
      <c r="A86" s="33" t="s">
        <v>72</v>
      </c>
      <c r="B86" s="80"/>
      <c r="C86" s="139"/>
      <c r="D86" s="128"/>
      <c r="E86" s="96"/>
      <c r="F86" s="190">
        <f>C86+D86+E86</f>
        <v>0</v>
      </c>
      <c r="G86" s="261"/>
      <c r="H86" s="7"/>
      <c r="I86" s="23">
        <f>F86+G86+H86</f>
        <v>0</v>
      </c>
      <c r="J86" s="22"/>
      <c r="K86" s="7"/>
      <c r="L86" s="23">
        <f>I86+J86+K86</f>
        <v>0</v>
      </c>
      <c r="M86" s="22"/>
      <c r="N86" s="7"/>
      <c r="O86" s="210">
        <f>L86+M86+N86</f>
        <v>0</v>
      </c>
      <c r="P86" s="220"/>
      <c r="Q86" s="221">
        <f>O86+P86</f>
        <v>0</v>
      </c>
    </row>
    <row r="87" spans="1:17" ht="12.75">
      <c r="A87" s="32" t="s">
        <v>64</v>
      </c>
      <c r="B87" s="80"/>
      <c r="C87" s="139"/>
      <c r="D87" s="128">
        <f>2652.21</f>
        <v>2652.21</v>
      </c>
      <c r="E87" s="96"/>
      <c r="F87" s="190">
        <f>C87+D87+E87</f>
        <v>2652.21</v>
      </c>
      <c r="G87" s="261"/>
      <c r="H87" s="7"/>
      <c r="I87" s="23">
        <f>F87+G87+H87</f>
        <v>2652.21</v>
      </c>
      <c r="J87" s="22"/>
      <c r="K87" s="7"/>
      <c r="L87" s="23">
        <f>I87+J87+K87</f>
        <v>2652.21</v>
      </c>
      <c r="M87" s="22"/>
      <c r="N87" s="7"/>
      <c r="O87" s="210">
        <f>L87+M87+N87</f>
        <v>2652.21</v>
      </c>
      <c r="P87" s="220"/>
      <c r="Q87" s="221">
        <f>O87+P87</f>
        <v>2652.21</v>
      </c>
    </row>
    <row r="88" spans="1:17" ht="12.75">
      <c r="A88" s="40" t="s">
        <v>53</v>
      </c>
      <c r="B88" s="84"/>
      <c r="C88" s="144">
        <f>SUM(C90:C96)</f>
        <v>43000</v>
      </c>
      <c r="D88" s="132">
        <f aca="true" t="shared" si="22" ref="D88:Q88">SUM(D90:D96)</f>
        <v>44148.35</v>
      </c>
      <c r="E88" s="106">
        <f t="shared" si="22"/>
        <v>0</v>
      </c>
      <c r="F88" s="194">
        <f t="shared" si="22"/>
        <v>87148.35</v>
      </c>
      <c r="G88" s="228">
        <f t="shared" si="22"/>
        <v>0</v>
      </c>
      <c r="H88" s="106">
        <f t="shared" si="22"/>
        <v>0</v>
      </c>
      <c r="I88" s="167">
        <f t="shared" si="22"/>
        <v>87148.35</v>
      </c>
      <c r="J88" s="105">
        <f t="shared" si="22"/>
        <v>0</v>
      </c>
      <c r="K88" s="106">
        <f t="shared" si="22"/>
        <v>0</v>
      </c>
      <c r="L88" s="167">
        <f t="shared" si="22"/>
        <v>87148.35</v>
      </c>
      <c r="M88" s="105">
        <f t="shared" si="22"/>
        <v>0</v>
      </c>
      <c r="N88" s="106">
        <f t="shared" si="22"/>
        <v>0</v>
      </c>
      <c r="O88" s="194">
        <f t="shared" si="22"/>
        <v>87148.35</v>
      </c>
      <c r="P88" s="228">
        <f t="shared" si="22"/>
        <v>0</v>
      </c>
      <c r="Q88" s="194">
        <f t="shared" si="22"/>
        <v>87148.35</v>
      </c>
    </row>
    <row r="89" spans="1:17" ht="12.75">
      <c r="A89" s="31" t="s">
        <v>26</v>
      </c>
      <c r="B89" s="80"/>
      <c r="C89" s="141"/>
      <c r="D89" s="129"/>
      <c r="E89" s="99"/>
      <c r="F89" s="191"/>
      <c r="G89" s="262"/>
      <c r="H89" s="8"/>
      <c r="I89" s="25"/>
      <c r="J89" s="24"/>
      <c r="K89" s="8"/>
      <c r="L89" s="25"/>
      <c r="M89" s="24"/>
      <c r="N89" s="8"/>
      <c r="O89" s="212"/>
      <c r="P89" s="220"/>
      <c r="Q89" s="221"/>
    </row>
    <row r="90" spans="1:17" ht="13.5" thickBot="1">
      <c r="A90" s="270" t="s">
        <v>267</v>
      </c>
      <c r="B90" s="271"/>
      <c r="C90" s="272"/>
      <c r="D90" s="273">
        <f>1838.82</f>
        <v>1838.82</v>
      </c>
      <c r="E90" s="274"/>
      <c r="F90" s="275">
        <f aca="true" t="shared" si="23" ref="F90:F96">C90+D90+E90</f>
        <v>1838.82</v>
      </c>
      <c r="G90" s="261"/>
      <c r="H90" s="7"/>
      <c r="I90" s="23">
        <f>F90+G90+H90</f>
        <v>1838.82</v>
      </c>
      <c r="J90" s="22"/>
      <c r="K90" s="7"/>
      <c r="L90" s="23">
        <f aca="true" t="shared" si="24" ref="L90:L96">I90+J90+K90</f>
        <v>1838.82</v>
      </c>
      <c r="M90" s="22"/>
      <c r="N90" s="7"/>
      <c r="O90" s="210">
        <f>L90+M90+N90</f>
        <v>1838.82</v>
      </c>
      <c r="P90" s="220"/>
      <c r="Q90" s="221">
        <f aca="true" t="shared" si="25" ref="Q90:Q96">O90+P90</f>
        <v>1838.82</v>
      </c>
    </row>
    <row r="91" spans="1:17" ht="12.75">
      <c r="A91" s="37" t="s">
        <v>225</v>
      </c>
      <c r="B91" s="80"/>
      <c r="C91" s="139">
        <v>10000</v>
      </c>
      <c r="D91" s="128">
        <f>19000</f>
        <v>19000</v>
      </c>
      <c r="E91" s="96"/>
      <c r="F91" s="190">
        <f t="shared" si="23"/>
        <v>29000</v>
      </c>
      <c r="G91" s="261"/>
      <c r="H91" s="7"/>
      <c r="I91" s="23">
        <f aca="true" t="shared" si="26" ref="I91:I96">F91+G91+H91</f>
        <v>29000</v>
      </c>
      <c r="J91" s="22"/>
      <c r="K91" s="7"/>
      <c r="L91" s="23">
        <f t="shared" si="24"/>
        <v>29000</v>
      </c>
      <c r="M91" s="22"/>
      <c r="N91" s="7"/>
      <c r="O91" s="210">
        <f aca="true" t="shared" si="27" ref="O91:O96">L91+M91+N91</f>
        <v>29000</v>
      </c>
      <c r="P91" s="220"/>
      <c r="Q91" s="221">
        <f t="shared" si="25"/>
        <v>29000</v>
      </c>
    </row>
    <row r="92" spans="1:17" ht="12.75" hidden="1">
      <c r="A92" s="32" t="s">
        <v>54</v>
      </c>
      <c r="B92" s="80"/>
      <c r="C92" s="139"/>
      <c r="D92" s="128"/>
      <c r="E92" s="96"/>
      <c r="F92" s="190">
        <f t="shared" si="23"/>
        <v>0</v>
      </c>
      <c r="G92" s="261"/>
      <c r="H92" s="7"/>
      <c r="I92" s="23">
        <f t="shared" si="26"/>
        <v>0</v>
      </c>
      <c r="J92" s="22"/>
      <c r="K92" s="7"/>
      <c r="L92" s="23">
        <f t="shared" si="24"/>
        <v>0</v>
      </c>
      <c r="M92" s="22"/>
      <c r="N92" s="7"/>
      <c r="O92" s="210">
        <f t="shared" si="27"/>
        <v>0</v>
      </c>
      <c r="P92" s="220"/>
      <c r="Q92" s="221">
        <f t="shared" si="25"/>
        <v>0</v>
      </c>
    </row>
    <row r="93" spans="1:17" ht="12.75" hidden="1">
      <c r="A93" s="33" t="s">
        <v>192</v>
      </c>
      <c r="B93" s="80"/>
      <c r="C93" s="139"/>
      <c r="D93" s="128"/>
      <c r="E93" s="96"/>
      <c r="F93" s="190">
        <f t="shared" si="23"/>
        <v>0</v>
      </c>
      <c r="G93" s="261"/>
      <c r="H93" s="7"/>
      <c r="I93" s="23">
        <f t="shared" si="26"/>
        <v>0</v>
      </c>
      <c r="J93" s="22"/>
      <c r="K93" s="7"/>
      <c r="L93" s="23">
        <f t="shared" si="24"/>
        <v>0</v>
      </c>
      <c r="M93" s="22"/>
      <c r="N93" s="7"/>
      <c r="O93" s="210">
        <f t="shared" si="27"/>
        <v>0</v>
      </c>
      <c r="P93" s="220"/>
      <c r="Q93" s="221">
        <f t="shared" si="25"/>
        <v>0</v>
      </c>
    </row>
    <row r="94" spans="1:17" ht="12.75" hidden="1">
      <c r="A94" s="33" t="s">
        <v>72</v>
      </c>
      <c r="B94" s="80"/>
      <c r="C94" s="139"/>
      <c r="D94" s="128"/>
      <c r="E94" s="96"/>
      <c r="F94" s="190">
        <f t="shared" si="23"/>
        <v>0</v>
      </c>
      <c r="G94" s="261"/>
      <c r="H94" s="7"/>
      <c r="I94" s="23">
        <f t="shared" si="26"/>
        <v>0</v>
      </c>
      <c r="J94" s="22"/>
      <c r="K94" s="7"/>
      <c r="L94" s="23">
        <f t="shared" si="24"/>
        <v>0</v>
      </c>
      <c r="M94" s="22"/>
      <c r="N94" s="7"/>
      <c r="O94" s="210">
        <f t="shared" si="27"/>
        <v>0</v>
      </c>
      <c r="P94" s="220"/>
      <c r="Q94" s="221">
        <f t="shared" si="25"/>
        <v>0</v>
      </c>
    </row>
    <row r="95" spans="1:17" ht="12.75">
      <c r="A95" s="33" t="s">
        <v>230</v>
      </c>
      <c r="B95" s="80"/>
      <c r="C95" s="139">
        <v>3000</v>
      </c>
      <c r="D95" s="128"/>
      <c r="E95" s="96"/>
      <c r="F95" s="190">
        <f t="shared" si="23"/>
        <v>3000</v>
      </c>
      <c r="G95" s="261"/>
      <c r="H95" s="7"/>
      <c r="I95" s="23">
        <f t="shared" si="26"/>
        <v>3000</v>
      </c>
      <c r="J95" s="22"/>
      <c r="K95" s="7"/>
      <c r="L95" s="23">
        <f t="shared" si="24"/>
        <v>3000</v>
      </c>
      <c r="M95" s="22"/>
      <c r="N95" s="7"/>
      <c r="O95" s="210">
        <f t="shared" si="27"/>
        <v>3000</v>
      </c>
      <c r="P95" s="220"/>
      <c r="Q95" s="221">
        <f t="shared" si="25"/>
        <v>3000</v>
      </c>
    </row>
    <row r="96" spans="1:17" ht="12.75">
      <c r="A96" s="41" t="s">
        <v>64</v>
      </c>
      <c r="B96" s="83"/>
      <c r="C96" s="253">
        <v>30000</v>
      </c>
      <c r="D96" s="244">
        <f>23309.53</f>
        <v>23309.53</v>
      </c>
      <c r="E96" s="104"/>
      <c r="F96" s="195">
        <f t="shared" si="23"/>
        <v>53309.53</v>
      </c>
      <c r="G96" s="263"/>
      <c r="H96" s="10"/>
      <c r="I96" s="27">
        <f t="shared" si="26"/>
        <v>53309.53</v>
      </c>
      <c r="J96" s="26"/>
      <c r="K96" s="10"/>
      <c r="L96" s="27">
        <f t="shared" si="24"/>
        <v>53309.53</v>
      </c>
      <c r="M96" s="26"/>
      <c r="N96" s="10"/>
      <c r="O96" s="213">
        <f t="shared" si="27"/>
        <v>53309.53</v>
      </c>
      <c r="P96" s="229"/>
      <c r="Q96" s="230">
        <f t="shared" si="25"/>
        <v>53309.53</v>
      </c>
    </row>
    <row r="97" spans="1:17" ht="12.75">
      <c r="A97" s="30" t="s">
        <v>294</v>
      </c>
      <c r="B97" s="84"/>
      <c r="C97" s="138">
        <f>C98+C102</f>
        <v>29374.5</v>
      </c>
      <c r="D97" s="117">
        <f aca="true" t="shared" si="28" ref="D97:Q97">D98+D102</f>
        <v>31250.47</v>
      </c>
      <c r="E97" s="95">
        <f t="shared" si="28"/>
        <v>0</v>
      </c>
      <c r="F97" s="189">
        <f t="shared" si="28"/>
        <v>60624.97</v>
      </c>
      <c r="G97" s="219">
        <f t="shared" si="28"/>
        <v>0</v>
      </c>
      <c r="H97" s="95">
        <f t="shared" si="28"/>
        <v>0</v>
      </c>
      <c r="I97" s="162">
        <f t="shared" si="28"/>
        <v>60074.43000000001</v>
      </c>
      <c r="J97" s="94">
        <f t="shared" si="28"/>
        <v>0</v>
      </c>
      <c r="K97" s="95">
        <f t="shared" si="28"/>
        <v>0</v>
      </c>
      <c r="L97" s="162">
        <f t="shared" si="28"/>
        <v>60074.43000000001</v>
      </c>
      <c r="M97" s="94">
        <f t="shared" si="28"/>
        <v>0</v>
      </c>
      <c r="N97" s="95">
        <f t="shared" si="28"/>
        <v>0</v>
      </c>
      <c r="O97" s="189">
        <f t="shared" si="28"/>
        <v>60074.43000000001</v>
      </c>
      <c r="P97" s="219">
        <f t="shared" si="28"/>
        <v>0</v>
      </c>
      <c r="Q97" s="189">
        <f t="shared" si="28"/>
        <v>60074.43000000001</v>
      </c>
    </row>
    <row r="98" spans="1:17" ht="12.75">
      <c r="A98" s="39" t="s">
        <v>49</v>
      </c>
      <c r="B98" s="84"/>
      <c r="C98" s="143">
        <f>SUM(C100:C101)</f>
        <v>29374.5</v>
      </c>
      <c r="D98" s="131">
        <f>SUM(D100:D101)</f>
        <v>10212.91</v>
      </c>
      <c r="E98" s="103">
        <f aca="true" t="shared" si="29" ref="E98:Q98">SUM(E100:E100)</f>
        <v>0</v>
      </c>
      <c r="F98" s="193">
        <f>SUM(F100:F101)</f>
        <v>39587.41</v>
      </c>
      <c r="G98" s="227">
        <f t="shared" si="29"/>
        <v>0</v>
      </c>
      <c r="H98" s="103">
        <f t="shared" si="29"/>
        <v>0</v>
      </c>
      <c r="I98" s="166">
        <f t="shared" si="29"/>
        <v>39036.87</v>
      </c>
      <c r="J98" s="102">
        <f t="shared" si="29"/>
        <v>0</v>
      </c>
      <c r="K98" s="103">
        <f t="shared" si="29"/>
        <v>0</v>
      </c>
      <c r="L98" s="166">
        <f t="shared" si="29"/>
        <v>39036.87</v>
      </c>
      <c r="M98" s="102">
        <f t="shared" si="29"/>
        <v>0</v>
      </c>
      <c r="N98" s="103">
        <f t="shared" si="29"/>
        <v>0</v>
      </c>
      <c r="O98" s="193">
        <f t="shared" si="29"/>
        <v>39036.87</v>
      </c>
      <c r="P98" s="227">
        <f t="shared" si="29"/>
        <v>0</v>
      </c>
      <c r="Q98" s="193">
        <f t="shared" si="29"/>
        <v>39036.87</v>
      </c>
    </row>
    <row r="99" spans="1:17" ht="12.75">
      <c r="A99" s="35" t="s">
        <v>26</v>
      </c>
      <c r="B99" s="80"/>
      <c r="C99" s="139"/>
      <c r="D99" s="128"/>
      <c r="E99" s="96"/>
      <c r="F99" s="190"/>
      <c r="G99" s="261"/>
      <c r="H99" s="7"/>
      <c r="I99" s="23"/>
      <c r="J99" s="22"/>
      <c r="K99" s="7"/>
      <c r="L99" s="23"/>
      <c r="M99" s="22"/>
      <c r="N99" s="7"/>
      <c r="O99" s="210"/>
      <c r="P99" s="220"/>
      <c r="Q99" s="221"/>
    </row>
    <row r="100" spans="1:17" ht="12.75">
      <c r="A100" s="33" t="s">
        <v>51</v>
      </c>
      <c r="B100" s="80"/>
      <c r="C100" s="139">
        <v>29374.5</v>
      </c>
      <c r="D100" s="128">
        <f>9662.37</f>
        <v>9662.37</v>
      </c>
      <c r="E100" s="96"/>
      <c r="F100" s="190">
        <f>C100+D100+E100</f>
        <v>39036.87</v>
      </c>
      <c r="G100" s="261"/>
      <c r="H100" s="7"/>
      <c r="I100" s="23">
        <f>F100+G100+H100</f>
        <v>39036.87</v>
      </c>
      <c r="J100" s="22"/>
      <c r="K100" s="7"/>
      <c r="L100" s="23">
        <f>I100+J100+K100</f>
        <v>39036.87</v>
      </c>
      <c r="M100" s="22"/>
      <c r="N100" s="7"/>
      <c r="O100" s="210">
        <f>L100+M100+N100</f>
        <v>39036.87</v>
      </c>
      <c r="P100" s="220"/>
      <c r="Q100" s="221">
        <f>O100+P100</f>
        <v>39036.87</v>
      </c>
    </row>
    <row r="101" spans="1:17" ht="12.75">
      <c r="A101" s="33" t="s">
        <v>72</v>
      </c>
      <c r="B101" s="80"/>
      <c r="C101" s="139"/>
      <c r="D101" s="128">
        <f>307.63+242.91</f>
        <v>550.54</v>
      </c>
      <c r="E101" s="96"/>
      <c r="F101" s="190">
        <f>C101+D101+E101</f>
        <v>550.54</v>
      </c>
      <c r="G101" s="261"/>
      <c r="H101" s="7"/>
      <c r="I101" s="23"/>
      <c r="J101" s="22"/>
      <c r="K101" s="7"/>
      <c r="L101" s="23"/>
      <c r="M101" s="22"/>
      <c r="N101" s="7"/>
      <c r="O101" s="210"/>
      <c r="P101" s="220"/>
      <c r="Q101" s="221"/>
    </row>
    <row r="102" spans="1:17" ht="12.75">
      <c r="A102" s="39" t="s">
        <v>53</v>
      </c>
      <c r="B102" s="84"/>
      <c r="C102" s="143">
        <f>C104+C105</f>
        <v>0</v>
      </c>
      <c r="D102" s="131">
        <f>D104+D105</f>
        <v>21037.56</v>
      </c>
      <c r="E102" s="103">
        <f aca="true" t="shared" si="30" ref="E102:Q102">E105</f>
        <v>0</v>
      </c>
      <c r="F102" s="193">
        <f>F104+F105</f>
        <v>21037.56</v>
      </c>
      <c r="G102" s="227">
        <f t="shared" si="30"/>
        <v>0</v>
      </c>
      <c r="H102" s="103">
        <f t="shared" si="30"/>
        <v>0</v>
      </c>
      <c r="I102" s="166">
        <f t="shared" si="30"/>
        <v>21037.56</v>
      </c>
      <c r="J102" s="102">
        <f t="shared" si="30"/>
        <v>0</v>
      </c>
      <c r="K102" s="103">
        <f t="shared" si="30"/>
        <v>0</v>
      </c>
      <c r="L102" s="166">
        <f t="shared" si="30"/>
        <v>21037.56</v>
      </c>
      <c r="M102" s="102">
        <f t="shared" si="30"/>
        <v>0</v>
      </c>
      <c r="N102" s="103">
        <f t="shared" si="30"/>
        <v>0</v>
      </c>
      <c r="O102" s="193">
        <f t="shared" si="30"/>
        <v>21037.56</v>
      </c>
      <c r="P102" s="227">
        <f t="shared" si="30"/>
        <v>0</v>
      </c>
      <c r="Q102" s="193">
        <f t="shared" si="30"/>
        <v>21037.56</v>
      </c>
    </row>
    <row r="103" spans="1:17" ht="12.75">
      <c r="A103" s="35" t="s">
        <v>26</v>
      </c>
      <c r="B103" s="80"/>
      <c r="C103" s="139"/>
      <c r="D103" s="128"/>
      <c r="E103" s="96"/>
      <c r="F103" s="190"/>
      <c r="G103" s="261"/>
      <c r="H103" s="7"/>
      <c r="I103" s="23"/>
      <c r="J103" s="22"/>
      <c r="K103" s="7"/>
      <c r="L103" s="23"/>
      <c r="M103" s="22"/>
      <c r="N103" s="7"/>
      <c r="O103" s="210"/>
      <c r="P103" s="220"/>
      <c r="Q103" s="221"/>
    </row>
    <row r="104" spans="1:17" ht="12.75" hidden="1">
      <c r="A104" s="78" t="s">
        <v>54</v>
      </c>
      <c r="B104" s="80"/>
      <c r="C104" s="139"/>
      <c r="D104" s="128"/>
      <c r="E104" s="96"/>
      <c r="F104" s="190">
        <f>C104+D104+E104</f>
        <v>0</v>
      </c>
      <c r="G104" s="261"/>
      <c r="H104" s="7"/>
      <c r="I104" s="23"/>
      <c r="J104" s="22"/>
      <c r="K104" s="7"/>
      <c r="L104" s="23"/>
      <c r="M104" s="22"/>
      <c r="N104" s="7"/>
      <c r="O104" s="210"/>
      <c r="P104" s="220"/>
      <c r="Q104" s="221"/>
    </row>
    <row r="105" spans="1:17" ht="12.75">
      <c r="A105" s="137" t="s">
        <v>73</v>
      </c>
      <c r="B105" s="83"/>
      <c r="C105" s="253"/>
      <c r="D105" s="244">
        <f>17763.45+3274.11</f>
        <v>21037.56</v>
      </c>
      <c r="E105" s="104"/>
      <c r="F105" s="195">
        <f>C105+D105+E105</f>
        <v>21037.56</v>
      </c>
      <c r="G105" s="263"/>
      <c r="H105" s="10"/>
      <c r="I105" s="27">
        <f>F105+G105+H105</f>
        <v>21037.56</v>
      </c>
      <c r="J105" s="26"/>
      <c r="K105" s="10"/>
      <c r="L105" s="27">
        <f>I105+J105+K105</f>
        <v>21037.56</v>
      </c>
      <c r="M105" s="26"/>
      <c r="N105" s="10"/>
      <c r="O105" s="213">
        <f>L105+M105+N105</f>
        <v>21037.56</v>
      </c>
      <c r="P105" s="229"/>
      <c r="Q105" s="230">
        <f>O105+P105</f>
        <v>21037.56</v>
      </c>
    </row>
    <row r="106" spans="1:17" ht="12.75">
      <c r="A106" s="34" t="s">
        <v>66</v>
      </c>
      <c r="B106" s="84"/>
      <c r="C106" s="141">
        <f>C107+C114</f>
        <v>10901.86</v>
      </c>
      <c r="D106" s="129">
        <f aca="true" t="shared" si="31" ref="D106:Q106">D107+D114</f>
        <v>3798</v>
      </c>
      <c r="E106" s="99">
        <f t="shared" si="31"/>
        <v>0</v>
      </c>
      <c r="F106" s="191">
        <f t="shared" si="31"/>
        <v>14699.86</v>
      </c>
      <c r="G106" s="223">
        <f t="shared" si="31"/>
        <v>0</v>
      </c>
      <c r="H106" s="99">
        <f t="shared" si="31"/>
        <v>0</v>
      </c>
      <c r="I106" s="164">
        <f t="shared" si="31"/>
        <v>14699.86</v>
      </c>
      <c r="J106" s="98">
        <f t="shared" si="31"/>
        <v>0</v>
      </c>
      <c r="K106" s="99">
        <f t="shared" si="31"/>
        <v>0</v>
      </c>
      <c r="L106" s="164">
        <f t="shared" si="31"/>
        <v>14699.86</v>
      </c>
      <c r="M106" s="98">
        <f t="shared" si="31"/>
        <v>0</v>
      </c>
      <c r="N106" s="99">
        <f t="shared" si="31"/>
        <v>0</v>
      </c>
      <c r="O106" s="191">
        <f t="shared" si="31"/>
        <v>14699.86</v>
      </c>
      <c r="P106" s="223">
        <f t="shared" si="31"/>
        <v>0</v>
      </c>
      <c r="Q106" s="191">
        <f t="shared" si="31"/>
        <v>14699.86</v>
      </c>
    </row>
    <row r="107" spans="1:17" ht="12.75">
      <c r="A107" s="39" t="s">
        <v>49</v>
      </c>
      <c r="B107" s="84"/>
      <c r="C107" s="143">
        <f>SUM(C109:C113)</f>
        <v>10901.86</v>
      </c>
      <c r="D107" s="131">
        <f aca="true" t="shared" si="32" ref="D107:Q107">SUM(D109:D113)</f>
        <v>3798</v>
      </c>
      <c r="E107" s="103">
        <f t="shared" si="32"/>
        <v>0</v>
      </c>
      <c r="F107" s="193">
        <f t="shared" si="32"/>
        <v>14699.86</v>
      </c>
      <c r="G107" s="227">
        <f t="shared" si="32"/>
        <v>0</v>
      </c>
      <c r="H107" s="103">
        <f t="shared" si="32"/>
        <v>0</v>
      </c>
      <c r="I107" s="166">
        <f t="shared" si="32"/>
        <v>14699.86</v>
      </c>
      <c r="J107" s="102">
        <f t="shared" si="32"/>
        <v>0</v>
      </c>
      <c r="K107" s="103">
        <f t="shared" si="32"/>
        <v>0</v>
      </c>
      <c r="L107" s="166">
        <f t="shared" si="32"/>
        <v>14699.86</v>
      </c>
      <c r="M107" s="102">
        <f t="shared" si="32"/>
        <v>0</v>
      </c>
      <c r="N107" s="103">
        <f t="shared" si="32"/>
        <v>0</v>
      </c>
      <c r="O107" s="193">
        <f t="shared" si="32"/>
        <v>14699.86</v>
      </c>
      <c r="P107" s="227">
        <f t="shared" si="32"/>
        <v>0</v>
      </c>
      <c r="Q107" s="193">
        <f t="shared" si="32"/>
        <v>14699.86</v>
      </c>
    </row>
    <row r="108" spans="1:17" ht="12.75">
      <c r="A108" s="35" t="s">
        <v>26</v>
      </c>
      <c r="B108" s="80"/>
      <c r="C108" s="139"/>
      <c r="D108" s="128"/>
      <c r="E108" s="96"/>
      <c r="F108" s="189"/>
      <c r="G108" s="261"/>
      <c r="H108" s="7"/>
      <c r="I108" s="21"/>
      <c r="J108" s="22"/>
      <c r="K108" s="7"/>
      <c r="L108" s="21"/>
      <c r="M108" s="22"/>
      <c r="N108" s="7"/>
      <c r="O108" s="209"/>
      <c r="P108" s="220"/>
      <c r="Q108" s="221"/>
    </row>
    <row r="109" spans="1:17" ht="12.75">
      <c r="A109" s="36" t="s">
        <v>51</v>
      </c>
      <c r="B109" s="83"/>
      <c r="C109" s="253">
        <v>10901.86</v>
      </c>
      <c r="D109" s="244">
        <f>-348+4146</f>
        <v>3798</v>
      </c>
      <c r="E109" s="104"/>
      <c r="F109" s="195">
        <f>C109+D109+E109</f>
        <v>14699.86</v>
      </c>
      <c r="G109" s="261"/>
      <c r="H109" s="7"/>
      <c r="I109" s="23">
        <f>SUM(F109:H109)</f>
        <v>14699.86</v>
      </c>
      <c r="J109" s="22"/>
      <c r="K109" s="7"/>
      <c r="L109" s="23">
        <f>I109+J109+K109</f>
        <v>14699.86</v>
      </c>
      <c r="M109" s="22"/>
      <c r="N109" s="7"/>
      <c r="O109" s="210">
        <f>L109+M109+N109</f>
        <v>14699.86</v>
      </c>
      <c r="P109" s="220"/>
      <c r="Q109" s="221">
        <f>O109+P109</f>
        <v>14699.86</v>
      </c>
    </row>
    <row r="110" spans="1:17" ht="12.75" hidden="1">
      <c r="A110" s="155" t="s">
        <v>73</v>
      </c>
      <c r="B110" s="80">
        <v>1245</v>
      </c>
      <c r="C110" s="139"/>
      <c r="D110" s="128"/>
      <c r="E110" s="96"/>
      <c r="F110" s="190">
        <f>C110+D110+E110</f>
        <v>0</v>
      </c>
      <c r="G110" s="261"/>
      <c r="H110" s="7"/>
      <c r="I110" s="23">
        <f>SUM(F110:H110)</f>
        <v>0</v>
      </c>
      <c r="J110" s="22"/>
      <c r="K110" s="7"/>
      <c r="L110" s="23">
        <f>I110+J110+K110</f>
        <v>0</v>
      </c>
      <c r="M110" s="22"/>
      <c r="N110" s="7"/>
      <c r="O110" s="210">
        <f>L110+M110+N110</f>
        <v>0</v>
      </c>
      <c r="P110" s="220"/>
      <c r="Q110" s="221">
        <f>O110+P110</f>
        <v>0</v>
      </c>
    </row>
    <row r="111" spans="1:17" ht="12.75" hidden="1">
      <c r="A111" s="37" t="s">
        <v>67</v>
      </c>
      <c r="B111" s="80">
        <v>33166</v>
      </c>
      <c r="C111" s="139"/>
      <c r="D111" s="128"/>
      <c r="E111" s="96"/>
      <c r="F111" s="190">
        <f>C111+D111+E111</f>
        <v>0</v>
      </c>
      <c r="G111" s="261"/>
      <c r="H111" s="7"/>
      <c r="I111" s="23">
        <f>SUM(F111:H111)</f>
        <v>0</v>
      </c>
      <c r="J111" s="22"/>
      <c r="K111" s="7"/>
      <c r="L111" s="23">
        <f>I111+J111+K111</f>
        <v>0</v>
      </c>
      <c r="M111" s="22"/>
      <c r="N111" s="7"/>
      <c r="O111" s="210">
        <f>L111+M111+N111</f>
        <v>0</v>
      </c>
      <c r="P111" s="220"/>
      <c r="Q111" s="221">
        <f>O111+P111</f>
        <v>0</v>
      </c>
    </row>
    <row r="112" spans="1:17" ht="12.75" hidden="1">
      <c r="A112" s="37" t="s">
        <v>256</v>
      </c>
      <c r="B112" s="80">
        <v>33064</v>
      </c>
      <c r="C112" s="139"/>
      <c r="D112" s="128"/>
      <c r="E112" s="96"/>
      <c r="F112" s="190">
        <f>C112+D112+E112</f>
        <v>0</v>
      </c>
      <c r="G112" s="261"/>
      <c r="H112" s="7"/>
      <c r="I112" s="23">
        <f>SUM(F112:H112)</f>
        <v>0</v>
      </c>
      <c r="J112" s="22"/>
      <c r="K112" s="7"/>
      <c r="L112" s="23">
        <f>I112+J112+K112</f>
        <v>0</v>
      </c>
      <c r="M112" s="22"/>
      <c r="N112" s="7"/>
      <c r="O112" s="210">
        <f>L112+M112+N112</f>
        <v>0</v>
      </c>
      <c r="P112" s="220"/>
      <c r="Q112" s="221">
        <f>O112+P112</f>
        <v>0</v>
      </c>
    </row>
    <row r="113" spans="1:17" ht="12.75" hidden="1">
      <c r="A113" s="37" t="s">
        <v>63</v>
      </c>
      <c r="B113" s="80"/>
      <c r="C113" s="139"/>
      <c r="D113" s="128"/>
      <c r="E113" s="96"/>
      <c r="F113" s="190">
        <f>C113+D113+E113</f>
        <v>0</v>
      </c>
      <c r="G113" s="261"/>
      <c r="H113" s="7"/>
      <c r="I113" s="23">
        <f>SUM(F113:H113)</f>
        <v>0</v>
      </c>
      <c r="J113" s="22"/>
      <c r="K113" s="7"/>
      <c r="L113" s="23">
        <f>I113+J113+K113</f>
        <v>0</v>
      </c>
      <c r="M113" s="22"/>
      <c r="N113" s="7"/>
      <c r="O113" s="210">
        <f>L113+M113+N113</f>
        <v>0</v>
      </c>
      <c r="P113" s="220"/>
      <c r="Q113" s="221">
        <f>O113+P113</f>
        <v>0</v>
      </c>
    </row>
    <row r="114" spans="1:17" ht="12.75" hidden="1">
      <c r="A114" s="39" t="s">
        <v>53</v>
      </c>
      <c r="B114" s="84"/>
      <c r="C114" s="143">
        <f>C116</f>
        <v>0</v>
      </c>
      <c r="D114" s="131">
        <f aca="true" t="shared" si="33" ref="D114:Q114">D116</f>
        <v>0</v>
      </c>
      <c r="E114" s="103">
        <f t="shared" si="33"/>
        <v>0</v>
      </c>
      <c r="F114" s="193">
        <f t="shared" si="33"/>
        <v>0</v>
      </c>
      <c r="G114" s="227">
        <f t="shared" si="33"/>
        <v>0</v>
      </c>
      <c r="H114" s="103">
        <f t="shared" si="33"/>
        <v>0</v>
      </c>
      <c r="I114" s="166">
        <f t="shared" si="33"/>
        <v>0</v>
      </c>
      <c r="J114" s="102">
        <f t="shared" si="33"/>
        <v>0</v>
      </c>
      <c r="K114" s="103">
        <f t="shared" si="33"/>
        <v>0</v>
      </c>
      <c r="L114" s="166">
        <f t="shared" si="33"/>
        <v>0</v>
      </c>
      <c r="M114" s="102">
        <f t="shared" si="33"/>
        <v>0</v>
      </c>
      <c r="N114" s="103">
        <f t="shared" si="33"/>
        <v>0</v>
      </c>
      <c r="O114" s="193">
        <f t="shared" si="33"/>
        <v>0</v>
      </c>
      <c r="P114" s="227">
        <f t="shared" si="33"/>
        <v>0</v>
      </c>
      <c r="Q114" s="193">
        <f t="shared" si="33"/>
        <v>0</v>
      </c>
    </row>
    <row r="115" spans="1:17" ht="12.75" hidden="1">
      <c r="A115" s="35" t="s">
        <v>26</v>
      </c>
      <c r="B115" s="80"/>
      <c r="C115" s="139"/>
      <c r="D115" s="128"/>
      <c r="E115" s="96"/>
      <c r="F115" s="189"/>
      <c r="G115" s="261"/>
      <c r="H115" s="7"/>
      <c r="I115" s="21"/>
      <c r="J115" s="22"/>
      <c r="K115" s="7"/>
      <c r="L115" s="21"/>
      <c r="M115" s="22"/>
      <c r="N115" s="7"/>
      <c r="O115" s="209"/>
      <c r="P115" s="220"/>
      <c r="Q115" s="221"/>
    </row>
    <row r="116" spans="1:17" ht="12.75" hidden="1">
      <c r="A116" s="36" t="s">
        <v>155</v>
      </c>
      <c r="B116" s="83"/>
      <c r="C116" s="253"/>
      <c r="D116" s="244"/>
      <c r="E116" s="104"/>
      <c r="F116" s="195">
        <f>C116+D116+E116</f>
        <v>0</v>
      </c>
      <c r="G116" s="263"/>
      <c r="H116" s="10"/>
      <c r="I116" s="27">
        <f>SUM(F116:H116)</f>
        <v>0</v>
      </c>
      <c r="J116" s="26"/>
      <c r="K116" s="10"/>
      <c r="L116" s="27">
        <f>I116+J116+K116</f>
        <v>0</v>
      </c>
      <c r="M116" s="26"/>
      <c r="N116" s="10"/>
      <c r="O116" s="213">
        <f>L116+M116+N116</f>
        <v>0</v>
      </c>
      <c r="P116" s="229"/>
      <c r="Q116" s="230">
        <f>O116+P116</f>
        <v>0</v>
      </c>
    </row>
    <row r="117" spans="1:17" ht="12.75">
      <c r="A117" s="30" t="s">
        <v>68</v>
      </c>
      <c r="B117" s="84"/>
      <c r="C117" s="138">
        <f>C118+C130</f>
        <v>1735440</v>
      </c>
      <c r="D117" s="117">
        <f aca="true" t="shared" si="34" ref="D117:Q117">D118+D130</f>
        <v>33583.46</v>
      </c>
      <c r="E117" s="95">
        <f t="shared" si="34"/>
        <v>0</v>
      </c>
      <c r="F117" s="189">
        <f t="shared" si="34"/>
        <v>1769023.46</v>
      </c>
      <c r="G117" s="219">
        <f t="shared" si="34"/>
        <v>0</v>
      </c>
      <c r="H117" s="95">
        <f t="shared" si="34"/>
        <v>0</v>
      </c>
      <c r="I117" s="162">
        <f t="shared" si="34"/>
        <v>1769023.46</v>
      </c>
      <c r="J117" s="94">
        <f t="shared" si="34"/>
        <v>0</v>
      </c>
      <c r="K117" s="95">
        <f t="shared" si="34"/>
        <v>0</v>
      </c>
      <c r="L117" s="162">
        <f t="shared" si="34"/>
        <v>1769023.46</v>
      </c>
      <c r="M117" s="94">
        <f t="shared" si="34"/>
        <v>0</v>
      </c>
      <c r="N117" s="95">
        <f t="shared" si="34"/>
        <v>0</v>
      </c>
      <c r="O117" s="189">
        <f t="shared" si="34"/>
        <v>1769023.46</v>
      </c>
      <c r="P117" s="219">
        <f t="shared" si="34"/>
        <v>0</v>
      </c>
      <c r="Q117" s="189">
        <f t="shared" si="34"/>
        <v>1769023.46</v>
      </c>
    </row>
    <row r="118" spans="1:17" ht="12.75">
      <c r="A118" s="39" t="s">
        <v>49</v>
      </c>
      <c r="B118" s="84"/>
      <c r="C118" s="143">
        <f>SUM(C121:C129)</f>
        <v>1725440</v>
      </c>
      <c r="D118" s="131">
        <f aca="true" t="shared" si="35" ref="D118:Q118">SUM(D121:D129)</f>
        <v>41583.46</v>
      </c>
      <c r="E118" s="103">
        <f t="shared" si="35"/>
        <v>0</v>
      </c>
      <c r="F118" s="193">
        <f t="shared" si="35"/>
        <v>1767023.46</v>
      </c>
      <c r="G118" s="227">
        <f t="shared" si="35"/>
        <v>0</v>
      </c>
      <c r="H118" s="103">
        <f t="shared" si="35"/>
        <v>0</v>
      </c>
      <c r="I118" s="166">
        <f t="shared" si="35"/>
        <v>1767023.46</v>
      </c>
      <c r="J118" s="102">
        <f t="shared" si="35"/>
        <v>0</v>
      </c>
      <c r="K118" s="103">
        <f t="shared" si="35"/>
        <v>0</v>
      </c>
      <c r="L118" s="166">
        <f t="shared" si="35"/>
        <v>1767023.46</v>
      </c>
      <c r="M118" s="102">
        <f t="shared" si="35"/>
        <v>0</v>
      </c>
      <c r="N118" s="103">
        <f t="shared" si="35"/>
        <v>0</v>
      </c>
      <c r="O118" s="193">
        <f t="shared" si="35"/>
        <v>1767023.46</v>
      </c>
      <c r="P118" s="227">
        <f t="shared" si="35"/>
        <v>0</v>
      </c>
      <c r="Q118" s="193">
        <f t="shared" si="35"/>
        <v>1767023.46</v>
      </c>
    </row>
    <row r="119" spans="1:17" ht="12.75">
      <c r="A119" s="35" t="s">
        <v>26</v>
      </c>
      <c r="B119" s="80"/>
      <c r="C119" s="139"/>
      <c r="D119" s="128"/>
      <c r="E119" s="96"/>
      <c r="F119" s="189"/>
      <c r="G119" s="261"/>
      <c r="H119" s="7"/>
      <c r="I119" s="21"/>
      <c r="J119" s="22"/>
      <c r="K119" s="7"/>
      <c r="L119" s="21"/>
      <c r="M119" s="22"/>
      <c r="N119" s="7"/>
      <c r="O119" s="209"/>
      <c r="P119" s="220"/>
      <c r="Q119" s="221"/>
    </row>
    <row r="120" spans="1:17" ht="12.75">
      <c r="A120" s="37" t="s">
        <v>276</v>
      </c>
      <c r="B120" s="80"/>
      <c r="C120" s="139">
        <f>C121+C122</f>
        <v>1127000</v>
      </c>
      <c r="D120" s="128">
        <f aca="true" t="shared" si="36" ref="D120:Q120">D121+D122</f>
        <v>29104.66</v>
      </c>
      <c r="E120" s="96">
        <f t="shared" si="36"/>
        <v>0</v>
      </c>
      <c r="F120" s="190">
        <f t="shared" si="36"/>
        <v>1156104.66</v>
      </c>
      <c r="G120" s="222">
        <f t="shared" si="36"/>
        <v>0</v>
      </c>
      <c r="H120" s="96">
        <f t="shared" si="36"/>
        <v>0</v>
      </c>
      <c r="I120" s="163">
        <f t="shared" si="36"/>
        <v>1156104.66</v>
      </c>
      <c r="J120" s="97">
        <f t="shared" si="36"/>
        <v>0</v>
      </c>
      <c r="K120" s="96">
        <f t="shared" si="36"/>
        <v>0</v>
      </c>
      <c r="L120" s="163">
        <f t="shared" si="36"/>
        <v>1156104.66</v>
      </c>
      <c r="M120" s="97">
        <f t="shared" si="36"/>
        <v>0</v>
      </c>
      <c r="N120" s="96">
        <f t="shared" si="36"/>
        <v>0</v>
      </c>
      <c r="O120" s="190">
        <f t="shared" si="36"/>
        <v>1156104.66</v>
      </c>
      <c r="P120" s="222">
        <f t="shared" si="36"/>
        <v>0</v>
      </c>
      <c r="Q120" s="190">
        <f t="shared" si="36"/>
        <v>1156104.66</v>
      </c>
    </row>
    <row r="121" spans="1:17" ht="12.75">
      <c r="A121" s="37" t="s">
        <v>277</v>
      </c>
      <c r="B121" s="80"/>
      <c r="C121" s="139">
        <v>566000</v>
      </c>
      <c r="D121" s="180">
        <f>22080.22+36.94+5.96+155.2+863.64-4000</f>
        <v>19141.96</v>
      </c>
      <c r="E121" s="96"/>
      <c r="F121" s="190">
        <f aca="true" t="shared" si="37" ref="F121:F129">C121+D121+E121</f>
        <v>585141.96</v>
      </c>
      <c r="G121" s="264"/>
      <c r="H121" s="11"/>
      <c r="I121" s="23">
        <f aca="true" t="shared" si="38" ref="I121:I129">F121+G121+H121</f>
        <v>585141.96</v>
      </c>
      <c r="J121" s="22"/>
      <c r="K121" s="7"/>
      <c r="L121" s="23">
        <f aca="true" t="shared" si="39" ref="L121:L129">I121+J121+K121</f>
        <v>585141.96</v>
      </c>
      <c r="M121" s="22"/>
      <c r="N121" s="7"/>
      <c r="O121" s="210">
        <f aca="true" t="shared" si="40" ref="O121:O129">L121+M121+N121</f>
        <v>585141.96</v>
      </c>
      <c r="P121" s="220"/>
      <c r="Q121" s="221">
        <f aca="true" t="shared" si="41" ref="Q121:Q129">O121+P121</f>
        <v>585141.96</v>
      </c>
    </row>
    <row r="122" spans="1:17" ht="12.75">
      <c r="A122" s="33" t="s">
        <v>278</v>
      </c>
      <c r="B122" s="80"/>
      <c r="C122" s="139">
        <v>561000</v>
      </c>
      <c r="D122" s="128">
        <f>1450.16+8512.54</f>
        <v>9962.7</v>
      </c>
      <c r="E122" s="96"/>
      <c r="F122" s="190">
        <f t="shared" si="37"/>
        <v>570962.7</v>
      </c>
      <c r="G122" s="264"/>
      <c r="H122" s="11"/>
      <c r="I122" s="23">
        <f t="shared" si="38"/>
        <v>570962.7</v>
      </c>
      <c r="J122" s="22"/>
      <c r="K122" s="7"/>
      <c r="L122" s="23">
        <f t="shared" si="39"/>
        <v>570962.7</v>
      </c>
      <c r="M122" s="22"/>
      <c r="N122" s="7"/>
      <c r="O122" s="210">
        <f t="shared" si="40"/>
        <v>570962.7</v>
      </c>
      <c r="P122" s="220"/>
      <c r="Q122" s="221">
        <f t="shared" si="41"/>
        <v>570962.7</v>
      </c>
    </row>
    <row r="123" spans="1:17" ht="12.75">
      <c r="A123" s="37" t="s">
        <v>69</v>
      </c>
      <c r="B123" s="80"/>
      <c r="C123" s="139">
        <v>28840</v>
      </c>
      <c r="D123" s="128"/>
      <c r="E123" s="96"/>
      <c r="F123" s="190">
        <f t="shared" si="37"/>
        <v>28840</v>
      </c>
      <c r="G123" s="261"/>
      <c r="H123" s="7"/>
      <c r="I123" s="23">
        <f t="shared" si="38"/>
        <v>28840</v>
      </c>
      <c r="J123" s="22"/>
      <c r="K123" s="7"/>
      <c r="L123" s="23">
        <f t="shared" si="39"/>
        <v>28840</v>
      </c>
      <c r="M123" s="22"/>
      <c r="N123" s="7"/>
      <c r="O123" s="210">
        <f t="shared" si="40"/>
        <v>28840</v>
      </c>
      <c r="P123" s="220"/>
      <c r="Q123" s="221">
        <f t="shared" si="41"/>
        <v>28840</v>
      </c>
    </row>
    <row r="124" spans="1:17" ht="12.75" hidden="1">
      <c r="A124" s="33" t="s">
        <v>70</v>
      </c>
      <c r="B124" s="80"/>
      <c r="C124" s="139"/>
      <c r="D124" s="128"/>
      <c r="E124" s="96"/>
      <c r="F124" s="190">
        <f t="shared" si="37"/>
        <v>0</v>
      </c>
      <c r="G124" s="261"/>
      <c r="H124" s="7"/>
      <c r="I124" s="23">
        <f t="shared" si="38"/>
        <v>0</v>
      </c>
      <c r="J124" s="22"/>
      <c r="K124" s="7"/>
      <c r="L124" s="23">
        <f t="shared" si="39"/>
        <v>0</v>
      </c>
      <c r="M124" s="22"/>
      <c r="N124" s="7"/>
      <c r="O124" s="210">
        <f t="shared" si="40"/>
        <v>0</v>
      </c>
      <c r="P124" s="220"/>
      <c r="Q124" s="221">
        <f t="shared" si="41"/>
        <v>0</v>
      </c>
    </row>
    <row r="125" spans="1:17" ht="12.75" hidden="1">
      <c r="A125" s="33" t="s">
        <v>63</v>
      </c>
      <c r="B125" s="80"/>
      <c r="C125" s="139"/>
      <c r="D125" s="128"/>
      <c r="E125" s="96"/>
      <c r="F125" s="190">
        <f t="shared" si="37"/>
        <v>0</v>
      </c>
      <c r="G125" s="261"/>
      <c r="H125" s="7"/>
      <c r="I125" s="23">
        <f t="shared" si="38"/>
        <v>0</v>
      </c>
      <c r="J125" s="22"/>
      <c r="K125" s="7"/>
      <c r="L125" s="23">
        <f t="shared" si="39"/>
        <v>0</v>
      </c>
      <c r="M125" s="22"/>
      <c r="N125" s="7"/>
      <c r="O125" s="210">
        <f t="shared" si="40"/>
        <v>0</v>
      </c>
      <c r="P125" s="220"/>
      <c r="Q125" s="221">
        <f t="shared" si="41"/>
        <v>0</v>
      </c>
    </row>
    <row r="126" spans="1:17" ht="12.75" hidden="1">
      <c r="A126" s="33" t="s">
        <v>71</v>
      </c>
      <c r="B126" s="80">
        <v>91252</v>
      </c>
      <c r="C126" s="139"/>
      <c r="D126" s="128"/>
      <c r="E126" s="96"/>
      <c r="F126" s="190">
        <f t="shared" si="37"/>
        <v>0</v>
      </c>
      <c r="G126" s="261"/>
      <c r="H126" s="7"/>
      <c r="I126" s="23">
        <f t="shared" si="38"/>
        <v>0</v>
      </c>
      <c r="J126" s="22"/>
      <c r="K126" s="7"/>
      <c r="L126" s="23">
        <f t="shared" si="39"/>
        <v>0</v>
      </c>
      <c r="M126" s="22"/>
      <c r="N126" s="7"/>
      <c r="O126" s="210">
        <f t="shared" si="40"/>
        <v>0</v>
      </c>
      <c r="P126" s="220"/>
      <c r="Q126" s="221">
        <f t="shared" si="41"/>
        <v>0</v>
      </c>
    </row>
    <row r="127" spans="1:17" ht="12.75" hidden="1">
      <c r="A127" s="33" t="s">
        <v>133</v>
      </c>
      <c r="B127" s="80">
        <v>27355</v>
      </c>
      <c r="C127" s="139"/>
      <c r="D127" s="128"/>
      <c r="E127" s="96"/>
      <c r="F127" s="190">
        <f t="shared" si="37"/>
        <v>0</v>
      </c>
      <c r="G127" s="261"/>
      <c r="H127" s="7"/>
      <c r="I127" s="23">
        <f t="shared" si="38"/>
        <v>0</v>
      </c>
      <c r="J127" s="22"/>
      <c r="K127" s="7"/>
      <c r="L127" s="23">
        <f t="shared" si="39"/>
        <v>0</v>
      </c>
      <c r="M127" s="22"/>
      <c r="N127" s="7"/>
      <c r="O127" s="210">
        <f t="shared" si="40"/>
        <v>0</v>
      </c>
      <c r="P127" s="220"/>
      <c r="Q127" s="221">
        <f t="shared" si="41"/>
        <v>0</v>
      </c>
    </row>
    <row r="128" spans="1:17" ht="12.75">
      <c r="A128" s="33" t="s">
        <v>51</v>
      </c>
      <c r="B128" s="80"/>
      <c r="C128" s="139">
        <v>569600</v>
      </c>
      <c r="D128" s="128">
        <f>478.8+8000+4000</f>
        <v>12478.8</v>
      </c>
      <c r="E128" s="96"/>
      <c r="F128" s="190">
        <f t="shared" si="37"/>
        <v>582078.8</v>
      </c>
      <c r="G128" s="261"/>
      <c r="H128" s="7"/>
      <c r="I128" s="23">
        <f t="shared" si="38"/>
        <v>582078.8</v>
      </c>
      <c r="J128" s="22"/>
      <c r="K128" s="7"/>
      <c r="L128" s="23">
        <f t="shared" si="39"/>
        <v>582078.8</v>
      </c>
      <c r="M128" s="22"/>
      <c r="N128" s="7"/>
      <c r="O128" s="210">
        <f t="shared" si="40"/>
        <v>582078.8</v>
      </c>
      <c r="P128" s="220"/>
      <c r="Q128" s="221">
        <f t="shared" si="41"/>
        <v>582078.8</v>
      </c>
    </row>
    <row r="129" spans="1:17" ht="12" customHeight="1" hidden="1">
      <c r="A129" s="33" t="s">
        <v>72</v>
      </c>
      <c r="B129" s="80"/>
      <c r="C129" s="139"/>
      <c r="D129" s="128"/>
      <c r="E129" s="96"/>
      <c r="F129" s="190">
        <f t="shared" si="37"/>
        <v>0</v>
      </c>
      <c r="G129" s="261"/>
      <c r="H129" s="7"/>
      <c r="I129" s="23">
        <f t="shared" si="38"/>
        <v>0</v>
      </c>
      <c r="J129" s="22"/>
      <c r="K129" s="7"/>
      <c r="L129" s="23">
        <f t="shared" si="39"/>
        <v>0</v>
      </c>
      <c r="M129" s="22"/>
      <c r="N129" s="7"/>
      <c r="O129" s="210">
        <f t="shared" si="40"/>
        <v>0</v>
      </c>
      <c r="P129" s="220"/>
      <c r="Q129" s="221">
        <f t="shared" si="41"/>
        <v>0</v>
      </c>
    </row>
    <row r="130" spans="1:17" ht="12.75">
      <c r="A130" s="40" t="s">
        <v>53</v>
      </c>
      <c r="B130" s="84"/>
      <c r="C130" s="144">
        <f>SUM(C132:C134)</f>
        <v>10000</v>
      </c>
      <c r="D130" s="132">
        <f aca="true" t="shared" si="42" ref="D130:Q130">SUM(D132:D134)</f>
        <v>-8000</v>
      </c>
      <c r="E130" s="106">
        <f t="shared" si="42"/>
        <v>0</v>
      </c>
      <c r="F130" s="194">
        <f t="shared" si="42"/>
        <v>2000</v>
      </c>
      <c r="G130" s="228">
        <f t="shared" si="42"/>
        <v>0</v>
      </c>
      <c r="H130" s="106">
        <f t="shared" si="42"/>
        <v>0</v>
      </c>
      <c r="I130" s="167">
        <f t="shared" si="42"/>
        <v>2000</v>
      </c>
      <c r="J130" s="105">
        <f t="shared" si="42"/>
        <v>0</v>
      </c>
      <c r="K130" s="106">
        <f t="shared" si="42"/>
        <v>0</v>
      </c>
      <c r="L130" s="167">
        <f t="shared" si="42"/>
        <v>2000</v>
      </c>
      <c r="M130" s="105">
        <f t="shared" si="42"/>
        <v>0</v>
      </c>
      <c r="N130" s="106">
        <f t="shared" si="42"/>
        <v>0</v>
      </c>
      <c r="O130" s="194">
        <f t="shared" si="42"/>
        <v>2000</v>
      </c>
      <c r="P130" s="228">
        <f t="shared" si="42"/>
        <v>0</v>
      </c>
      <c r="Q130" s="194">
        <f t="shared" si="42"/>
        <v>2000</v>
      </c>
    </row>
    <row r="131" spans="1:17" ht="12.75">
      <c r="A131" s="31" t="s">
        <v>26</v>
      </c>
      <c r="B131" s="80"/>
      <c r="C131" s="141"/>
      <c r="D131" s="129"/>
      <c r="E131" s="99"/>
      <c r="F131" s="191"/>
      <c r="G131" s="262"/>
      <c r="H131" s="8"/>
      <c r="I131" s="25"/>
      <c r="J131" s="24"/>
      <c r="K131" s="8"/>
      <c r="L131" s="25"/>
      <c r="M131" s="24"/>
      <c r="N131" s="8"/>
      <c r="O131" s="212"/>
      <c r="P131" s="220"/>
      <c r="Q131" s="221"/>
    </row>
    <row r="132" spans="1:17" ht="12.75" hidden="1">
      <c r="A132" s="32" t="s">
        <v>54</v>
      </c>
      <c r="B132" s="80"/>
      <c r="C132" s="139"/>
      <c r="D132" s="128"/>
      <c r="E132" s="96"/>
      <c r="F132" s="190">
        <f>C132+D132+E132</f>
        <v>0</v>
      </c>
      <c r="G132" s="261"/>
      <c r="H132" s="7"/>
      <c r="I132" s="23">
        <f>F132+G132+H132</f>
        <v>0</v>
      </c>
      <c r="J132" s="22"/>
      <c r="K132" s="7"/>
      <c r="L132" s="23">
        <f>I132+J132+K132</f>
        <v>0</v>
      </c>
      <c r="M132" s="22"/>
      <c r="N132" s="7"/>
      <c r="O132" s="210">
        <f>L132+M132+N132</f>
        <v>0</v>
      </c>
      <c r="P132" s="220"/>
      <c r="Q132" s="221">
        <f>O132+P132</f>
        <v>0</v>
      </c>
    </row>
    <row r="133" spans="1:17" ht="12.75">
      <c r="A133" s="36" t="s">
        <v>80</v>
      </c>
      <c r="B133" s="83"/>
      <c r="C133" s="253">
        <v>10000</v>
      </c>
      <c r="D133" s="244">
        <f>-8000</f>
        <v>-8000</v>
      </c>
      <c r="E133" s="104"/>
      <c r="F133" s="195">
        <f>C133+D133+E133</f>
        <v>2000</v>
      </c>
      <c r="G133" s="261"/>
      <c r="H133" s="7"/>
      <c r="I133" s="23">
        <f>F133+G133+H133</f>
        <v>2000</v>
      </c>
      <c r="J133" s="22"/>
      <c r="K133" s="7"/>
      <c r="L133" s="23">
        <f>I133+J133+K133</f>
        <v>2000</v>
      </c>
      <c r="M133" s="22"/>
      <c r="N133" s="7"/>
      <c r="O133" s="210">
        <f>L133+M133+N133</f>
        <v>2000</v>
      </c>
      <c r="P133" s="220"/>
      <c r="Q133" s="221">
        <f>O133+P133</f>
        <v>2000</v>
      </c>
    </row>
    <row r="134" spans="1:17" ht="12.75" hidden="1">
      <c r="A134" s="36" t="s">
        <v>73</v>
      </c>
      <c r="B134" s="83"/>
      <c r="C134" s="253"/>
      <c r="D134" s="244"/>
      <c r="E134" s="104"/>
      <c r="F134" s="195">
        <f>C134+D134+E134</f>
        <v>0</v>
      </c>
      <c r="G134" s="263"/>
      <c r="H134" s="10"/>
      <c r="I134" s="27">
        <f>F134+G134+H134</f>
        <v>0</v>
      </c>
      <c r="J134" s="26"/>
      <c r="K134" s="10"/>
      <c r="L134" s="27">
        <f>I134+J134+K134</f>
        <v>0</v>
      </c>
      <c r="M134" s="26"/>
      <c r="N134" s="10"/>
      <c r="O134" s="213">
        <f>L134+M134+N134</f>
        <v>0</v>
      </c>
      <c r="P134" s="229"/>
      <c r="Q134" s="230">
        <f>O134+P134</f>
        <v>0</v>
      </c>
    </row>
    <row r="135" spans="1:17" ht="12.75">
      <c r="A135" s="34" t="s">
        <v>74</v>
      </c>
      <c r="B135" s="84"/>
      <c r="C135" s="141">
        <f>C136+C141</f>
        <v>73560</v>
      </c>
      <c r="D135" s="129">
        <f aca="true" t="shared" si="43" ref="D135:Q135">D136+D141</f>
        <v>22334.679999999997</v>
      </c>
      <c r="E135" s="99">
        <f t="shared" si="43"/>
        <v>0</v>
      </c>
      <c r="F135" s="191">
        <f t="shared" si="43"/>
        <v>95894.68000000001</v>
      </c>
      <c r="G135" s="223">
        <f t="shared" si="43"/>
        <v>0</v>
      </c>
      <c r="H135" s="99">
        <f t="shared" si="43"/>
        <v>0</v>
      </c>
      <c r="I135" s="164">
        <f t="shared" si="43"/>
        <v>91809.93000000001</v>
      </c>
      <c r="J135" s="98">
        <f t="shared" si="43"/>
        <v>0</v>
      </c>
      <c r="K135" s="99">
        <f t="shared" si="43"/>
        <v>0</v>
      </c>
      <c r="L135" s="164">
        <f t="shared" si="43"/>
        <v>91809.93000000001</v>
      </c>
      <c r="M135" s="98">
        <f t="shared" si="43"/>
        <v>0</v>
      </c>
      <c r="N135" s="99">
        <f t="shared" si="43"/>
        <v>0</v>
      </c>
      <c r="O135" s="191">
        <f t="shared" si="43"/>
        <v>91809.93000000001</v>
      </c>
      <c r="P135" s="223">
        <f t="shared" si="43"/>
        <v>0</v>
      </c>
      <c r="Q135" s="191">
        <f t="shared" si="43"/>
        <v>91809.93000000001</v>
      </c>
    </row>
    <row r="136" spans="1:17" ht="12.75">
      <c r="A136" s="39" t="s">
        <v>49</v>
      </c>
      <c r="B136" s="84"/>
      <c r="C136" s="143">
        <f>SUM(C138:C140)</f>
        <v>55060</v>
      </c>
      <c r="D136" s="131">
        <f aca="true" t="shared" si="44" ref="D136:Q136">SUM(D138:D140)</f>
        <v>13812.289999999997</v>
      </c>
      <c r="E136" s="103">
        <f t="shared" si="44"/>
        <v>0</v>
      </c>
      <c r="F136" s="193">
        <f t="shared" si="44"/>
        <v>68872.29000000001</v>
      </c>
      <c r="G136" s="227">
        <f t="shared" si="44"/>
        <v>0</v>
      </c>
      <c r="H136" s="103">
        <f t="shared" si="44"/>
        <v>0</v>
      </c>
      <c r="I136" s="166">
        <f t="shared" si="44"/>
        <v>68872.29000000001</v>
      </c>
      <c r="J136" s="102">
        <f t="shared" si="44"/>
        <v>0</v>
      </c>
      <c r="K136" s="103">
        <f t="shared" si="44"/>
        <v>0</v>
      </c>
      <c r="L136" s="166">
        <f t="shared" si="44"/>
        <v>68872.29000000001</v>
      </c>
      <c r="M136" s="102">
        <f t="shared" si="44"/>
        <v>0</v>
      </c>
      <c r="N136" s="103">
        <f t="shared" si="44"/>
        <v>0</v>
      </c>
      <c r="O136" s="193">
        <f t="shared" si="44"/>
        <v>68872.29000000001</v>
      </c>
      <c r="P136" s="227">
        <f t="shared" si="44"/>
        <v>0</v>
      </c>
      <c r="Q136" s="193">
        <f t="shared" si="44"/>
        <v>68872.29000000001</v>
      </c>
    </row>
    <row r="137" spans="1:17" ht="12.75">
      <c r="A137" s="35" t="s">
        <v>26</v>
      </c>
      <c r="B137" s="80"/>
      <c r="C137" s="139"/>
      <c r="D137" s="128"/>
      <c r="E137" s="96"/>
      <c r="F137" s="189"/>
      <c r="G137" s="261"/>
      <c r="H137" s="7"/>
      <c r="I137" s="21"/>
      <c r="J137" s="22"/>
      <c r="K137" s="7"/>
      <c r="L137" s="21"/>
      <c r="M137" s="22"/>
      <c r="N137" s="7"/>
      <c r="O137" s="209"/>
      <c r="P137" s="220"/>
      <c r="Q137" s="221"/>
    </row>
    <row r="138" spans="1:17" ht="12.75">
      <c r="A138" s="33" t="s">
        <v>51</v>
      </c>
      <c r="B138" s="80"/>
      <c r="C138" s="139">
        <v>29060</v>
      </c>
      <c r="D138" s="128">
        <f>17353.01-5000+534.21</f>
        <v>12887.219999999998</v>
      </c>
      <c r="E138" s="96"/>
      <c r="F138" s="190">
        <f>C138+D138+E138</f>
        <v>41947.22</v>
      </c>
      <c r="G138" s="261"/>
      <c r="H138" s="7"/>
      <c r="I138" s="23">
        <f>F138+G138+H138</f>
        <v>41947.22</v>
      </c>
      <c r="J138" s="22"/>
      <c r="K138" s="7"/>
      <c r="L138" s="23">
        <f>I138+J138+K138</f>
        <v>41947.22</v>
      </c>
      <c r="M138" s="22"/>
      <c r="N138" s="7"/>
      <c r="O138" s="210">
        <f>L138+M138+N138</f>
        <v>41947.22</v>
      </c>
      <c r="P138" s="220"/>
      <c r="Q138" s="221">
        <f>O138+P138</f>
        <v>41947.22</v>
      </c>
    </row>
    <row r="139" spans="1:17" ht="12.75" hidden="1">
      <c r="A139" s="33" t="s">
        <v>73</v>
      </c>
      <c r="B139" s="80"/>
      <c r="C139" s="139"/>
      <c r="D139" s="128"/>
      <c r="E139" s="96"/>
      <c r="F139" s="190">
        <f>C139+D139+E139</f>
        <v>0</v>
      </c>
      <c r="G139" s="261"/>
      <c r="H139" s="7"/>
      <c r="I139" s="23">
        <f>F139+G139+H139</f>
        <v>0</v>
      </c>
      <c r="J139" s="22"/>
      <c r="K139" s="7"/>
      <c r="L139" s="23">
        <f>I139+J139+K139</f>
        <v>0</v>
      </c>
      <c r="M139" s="22"/>
      <c r="N139" s="7"/>
      <c r="O139" s="210">
        <f>L139+M139+N139</f>
        <v>0</v>
      </c>
      <c r="P139" s="220"/>
      <c r="Q139" s="221">
        <f>O139+P139</f>
        <v>0</v>
      </c>
    </row>
    <row r="140" spans="1:17" ht="12.75">
      <c r="A140" s="33" t="s">
        <v>75</v>
      </c>
      <c r="B140" s="80"/>
      <c r="C140" s="139">
        <v>26000</v>
      </c>
      <c r="D140" s="128">
        <f>925.07</f>
        <v>925.07</v>
      </c>
      <c r="E140" s="96"/>
      <c r="F140" s="190">
        <f>C140+D140+E140</f>
        <v>26925.07</v>
      </c>
      <c r="G140" s="261"/>
      <c r="H140" s="7"/>
      <c r="I140" s="23">
        <f>F140+G140+H140</f>
        <v>26925.07</v>
      </c>
      <c r="J140" s="22"/>
      <c r="K140" s="7"/>
      <c r="L140" s="23">
        <f>I140+J140+K140</f>
        <v>26925.07</v>
      </c>
      <c r="M140" s="22"/>
      <c r="N140" s="7"/>
      <c r="O140" s="210">
        <f>L140+M140+N140</f>
        <v>26925.07</v>
      </c>
      <c r="P140" s="220"/>
      <c r="Q140" s="221">
        <f>O140+P140</f>
        <v>26925.07</v>
      </c>
    </row>
    <row r="141" spans="1:17" ht="12.75">
      <c r="A141" s="40" t="s">
        <v>53</v>
      </c>
      <c r="B141" s="84"/>
      <c r="C141" s="144">
        <f aca="true" t="shared" si="45" ref="C141:Q141">SUM(C143:C146)</f>
        <v>18500</v>
      </c>
      <c r="D141" s="132">
        <f t="shared" si="45"/>
        <v>8522.39</v>
      </c>
      <c r="E141" s="106">
        <f t="shared" si="45"/>
        <v>0</v>
      </c>
      <c r="F141" s="194">
        <f t="shared" si="45"/>
        <v>27022.39</v>
      </c>
      <c r="G141" s="228">
        <f t="shared" si="45"/>
        <v>0</v>
      </c>
      <c r="H141" s="106">
        <f t="shared" si="45"/>
        <v>0</v>
      </c>
      <c r="I141" s="167">
        <f t="shared" si="45"/>
        <v>22937.64</v>
      </c>
      <c r="J141" s="105">
        <f t="shared" si="45"/>
        <v>0</v>
      </c>
      <c r="K141" s="106">
        <f t="shared" si="45"/>
        <v>0</v>
      </c>
      <c r="L141" s="167">
        <f t="shared" si="45"/>
        <v>22937.64</v>
      </c>
      <c r="M141" s="105">
        <f t="shared" si="45"/>
        <v>0</v>
      </c>
      <c r="N141" s="106">
        <f t="shared" si="45"/>
        <v>0</v>
      </c>
      <c r="O141" s="194">
        <f t="shared" si="45"/>
        <v>22937.64</v>
      </c>
      <c r="P141" s="228">
        <f t="shared" si="45"/>
        <v>0</v>
      </c>
      <c r="Q141" s="194">
        <f t="shared" si="45"/>
        <v>22937.64</v>
      </c>
    </row>
    <row r="142" spans="1:17" ht="12.75">
      <c r="A142" s="31" t="s">
        <v>26</v>
      </c>
      <c r="B142" s="80"/>
      <c r="C142" s="141"/>
      <c r="D142" s="129"/>
      <c r="E142" s="99"/>
      <c r="F142" s="191"/>
      <c r="G142" s="262"/>
      <c r="H142" s="8"/>
      <c r="I142" s="25"/>
      <c r="J142" s="24"/>
      <c r="K142" s="8"/>
      <c r="L142" s="25"/>
      <c r="M142" s="24"/>
      <c r="N142" s="8"/>
      <c r="O142" s="212"/>
      <c r="P142" s="220"/>
      <c r="Q142" s="221"/>
    </row>
    <row r="143" spans="1:17" ht="12.75" hidden="1">
      <c r="A143" s="33" t="s">
        <v>153</v>
      </c>
      <c r="B143" s="80">
        <v>98861</v>
      </c>
      <c r="C143" s="139"/>
      <c r="D143" s="128"/>
      <c r="E143" s="96"/>
      <c r="F143" s="190">
        <f>C143+D143+E143</f>
        <v>0</v>
      </c>
      <c r="G143" s="262"/>
      <c r="H143" s="8"/>
      <c r="I143" s="23">
        <f>F143+G143+H143</f>
        <v>0</v>
      </c>
      <c r="J143" s="24"/>
      <c r="K143" s="8"/>
      <c r="L143" s="23">
        <f>I143+J143+K143</f>
        <v>0</v>
      </c>
      <c r="M143" s="24"/>
      <c r="N143" s="8"/>
      <c r="O143" s="210">
        <f>L143+M143+N143</f>
        <v>0</v>
      </c>
      <c r="P143" s="220"/>
      <c r="Q143" s="221">
        <f>O143+P143</f>
        <v>0</v>
      </c>
    </row>
    <row r="144" spans="1:17" ht="12.75" hidden="1">
      <c r="A144" s="33" t="s">
        <v>200</v>
      </c>
      <c r="B144" s="80">
        <v>7938</v>
      </c>
      <c r="C144" s="139"/>
      <c r="D144" s="128"/>
      <c r="E144" s="96"/>
      <c r="F144" s="190">
        <f>C144+D144+E144</f>
        <v>0</v>
      </c>
      <c r="G144" s="262"/>
      <c r="H144" s="8"/>
      <c r="I144" s="23">
        <f>F144+G144+H144</f>
        <v>0</v>
      </c>
      <c r="J144" s="24"/>
      <c r="K144" s="8"/>
      <c r="L144" s="23">
        <f>I144+J144+K144</f>
        <v>0</v>
      </c>
      <c r="M144" s="24"/>
      <c r="N144" s="8"/>
      <c r="O144" s="210">
        <f>L144+M144+N144</f>
        <v>0</v>
      </c>
      <c r="P144" s="220"/>
      <c r="Q144" s="221">
        <f>O144+P144</f>
        <v>0</v>
      </c>
    </row>
    <row r="145" spans="1:17" ht="12.75">
      <c r="A145" s="33" t="s">
        <v>349</v>
      </c>
      <c r="B145" s="80"/>
      <c r="C145" s="139"/>
      <c r="D145" s="128">
        <f>4084.75</f>
        <v>4084.75</v>
      </c>
      <c r="E145" s="96"/>
      <c r="F145" s="190">
        <f>C145+D145+E145</f>
        <v>4084.75</v>
      </c>
      <c r="G145" s="262"/>
      <c r="H145" s="8"/>
      <c r="I145" s="23"/>
      <c r="J145" s="24"/>
      <c r="K145" s="8"/>
      <c r="L145" s="23"/>
      <c r="M145" s="24"/>
      <c r="N145" s="8"/>
      <c r="O145" s="210"/>
      <c r="P145" s="220"/>
      <c r="Q145" s="221"/>
    </row>
    <row r="146" spans="1:17" ht="12.75">
      <c r="A146" s="43" t="s">
        <v>54</v>
      </c>
      <c r="B146" s="83"/>
      <c r="C146" s="253">
        <v>18500</v>
      </c>
      <c r="D146" s="244">
        <f>13937.64-9500</f>
        <v>4437.639999999999</v>
      </c>
      <c r="E146" s="104"/>
      <c r="F146" s="195">
        <f>C146+D146+E146</f>
        <v>22937.64</v>
      </c>
      <c r="G146" s="263"/>
      <c r="H146" s="10"/>
      <c r="I146" s="27">
        <f>F146+G146+H146</f>
        <v>22937.64</v>
      </c>
      <c r="J146" s="26"/>
      <c r="K146" s="10"/>
      <c r="L146" s="27">
        <f>I146+J146+K146</f>
        <v>22937.64</v>
      </c>
      <c r="M146" s="26"/>
      <c r="N146" s="10"/>
      <c r="O146" s="213">
        <f>L146+M146+N146</f>
        <v>22937.64</v>
      </c>
      <c r="P146" s="229"/>
      <c r="Q146" s="230">
        <f>O146+P146</f>
        <v>22937.64</v>
      </c>
    </row>
    <row r="147" spans="1:17" ht="12.75">
      <c r="A147" s="30" t="s">
        <v>245</v>
      </c>
      <c r="B147" s="84"/>
      <c r="C147" s="138">
        <f aca="true" t="shared" si="46" ref="C147:Q147">C148+C165</f>
        <v>8062.6900000000005</v>
      </c>
      <c r="D147" s="117">
        <f t="shared" si="46"/>
        <v>235701.95</v>
      </c>
      <c r="E147" s="95">
        <f t="shared" si="46"/>
        <v>0</v>
      </c>
      <c r="F147" s="189">
        <f t="shared" si="46"/>
        <v>243764.64</v>
      </c>
      <c r="G147" s="219">
        <f t="shared" si="46"/>
        <v>0</v>
      </c>
      <c r="H147" s="95">
        <f t="shared" si="46"/>
        <v>0</v>
      </c>
      <c r="I147" s="162">
        <f t="shared" si="46"/>
        <v>31259.08</v>
      </c>
      <c r="J147" s="94">
        <f t="shared" si="46"/>
        <v>0</v>
      </c>
      <c r="K147" s="95">
        <f t="shared" si="46"/>
        <v>0</v>
      </c>
      <c r="L147" s="162">
        <f t="shared" si="46"/>
        <v>31259.08</v>
      </c>
      <c r="M147" s="94">
        <f t="shared" si="46"/>
        <v>0</v>
      </c>
      <c r="N147" s="95">
        <f t="shared" si="46"/>
        <v>0</v>
      </c>
      <c r="O147" s="189">
        <f t="shared" si="46"/>
        <v>31259.08</v>
      </c>
      <c r="P147" s="219">
        <f t="shared" si="46"/>
        <v>0</v>
      </c>
      <c r="Q147" s="189">
        <f t="shared" si="46"/>
        <v>31259.08</v>
      </c>
    </row>
    <row r="148" spans="1:17" ht="12.75">
      <c r="A148" s="39" t="s">
        <v>49</v>
      </c>
      <c r="B148" s="84"/>
      <c r="C148" s="143">
        <f aca="true" t="shared" si="47" ref="C148:Q148">SUM(C150:C164)</f>
        <v>8062.6900000000005</v>
      </c>
      <c r="D148" s="131">
        <f t="shared" si="47"/>
        <v>26719.200000000004</v>
      </c>
      <c r="E148" s="103">
        <f t="shared" si="47"/>
        <v>0</v>
      </c>
      <c r="F148" s="193">
        <f t="shared" si="47"/>
        <v>34781.89</v>
      </c>
      <c r="G148" s="227">
        <f t="shared" si="47"/>
        <v>0</v>
      </c>
      <c r="H148" s="103">
        <f t="shared" si="47"/>
        <v>0</v>
      </c>
      <c r="I148" s="166">
        <f t="shared" si="47"/>
        <v>21432.57</v>
      </c>
      <c r="J148" s="102">
        <f t="shared" si="47"/>
        <v>0</v>
      </c>
      <c r="K148" s="103">
        <f t="shared" si="47"/>
        <v>0</v>
      </c>
      <c r="L148" s="166">
        <f t="shared" si="47"/>
        <v>21432.57</v>
      </c>
      <c r="M148" s="102">
        <f t="shared" si="47"/>
        <v>0</v>
      </c>
      <c r="N148" s="103">
        <f t="shared" si="47"/>
        <v>0</v>
      </c>
      <c r="O148" s="193">
        <f t="shared" si="47"/>
        <v>21432.57</v>
      </c>
      <c r="P148" s="227">
        <f t="shared" si="47"/>
        <v>0</v>
      </c>
      <c r="Q148" s="193">
        <f t="shared" si="47"/>
        <v>21432.57</v>
      </c>
    </row>
    <row r="149" spans="1:17" ht="12.75">
      <c r="A149" s="31" t="s">
        <v>26</v>
      </c>
      <c r="B149" s="80"/>
      <c r="C149" s="141"/>
      <c r="D149" s="129"/>
      <c r="E149" s="99"/>
      <c r="F149" s="191"/>
      <c r="G149" s="262"/>
      <c r="H149" s="8"/>
      <c r="I149" s="25"/>
      <c r="J149" s="24"/>
      <c r="K149" s="8"/>
      <c r="L149" s="25"/>
      <c r="M149" s="24"/>
      <c r="N149" s="8"/>
      <c r="O149" s="212"/>
      <c r="P149" s="220"/>
      <c r="Q149" s="221"/>
    </row>
    <row r="150" spans="1:17" ht="12.75">
      <c r="A150" s="33" t="s">
        <v>51</v>
      </c>
      <c r="B150" s="80"/>
      <c r="C150" s="139">
        <v>3162.69</v>
      </c>
      <c r="D150" s="180">
        <f>575.3+368.8+500+100</f>
        <v>1544.1</v>
      </c>
      <c r="E150" s="96"/>
      <c r="F150" s="190">
        <f aca="true" t="shared" si="48" ref="F150:F164">C150+D150+E150</f>
        <v>4706.79</v>
      </c>
      <c r="G150" s="261"/>
      <c r="H150" s="7"/>
      <c r="I150" s="23">
        <f>F150+G150+H150</f>
        <v>4706.79</v>
      </c>
      <c r="J150" s="29"/>
      <c r="K150" s="7"/>
      <c r="L150" s="23">
        <f>I150+J150+K150</f>
        <v>4706.79</v>
      </c>
      <c r="M150" s="29"/>
      <c r="N150" s="7"/>
      <c r="O150" s="210">
        <f>L150+M150+N150</f>
        <v>4706.79</v>
      </c>
      <c r="P150" s="220"/>
      <c r="Q150" s="221">
        <f>O150+P150</f>
        <v>4706.79</v>
      </c>
    </row>
    <row r="151" spans="1:17" ht="12.75">
      <c r="A151" s="81" t="s">
        <v>329</v>
      </c>
      <c r="B151" s="80">
        <v>2046</v>
      </c>
      <c r="C151" s="139"/>
      <c r="D151" s="128">
        <f>2510.73</f>
        <v>2510.73</v>
      </c>
      <c r="E151" s="96"/>
      <c r="F151" s="190">
        <f t="shared" si="48"/>
        <v>2510.73</v>
      </c>
      <c r="G151" s="261"/>
      <c r="H151" s="7"/>
      <c r="I151" s="23">
        <f aca="true" t="shared" si="49" ref="I151:I164">F151+G151+H151</f>
        <v>2510.73</v>
      </c>
      <c r="J151" s="22"/>
      <c r="K151" s="7"/>
      <c r="L151" s="23">
        <f aca="true" t="shared" si="50" ref="L151:L164">I151+J151+K151</f>
        <v>2510.73</v>
      </c>
      <c r="M151" s="22"/>
      <c r="N151" s="7"/>
      <c r="O151" s="210">
        <f aca="true" t="shared" si="51" ref="O151:O164">L151+M151+N151</f>
        <v>2510.73</v>
      </c>
      <c r="P151" s="220"/>
      <c r="Q151" s="221">
        <f aca="true" t="shared" si="52" ref="Q151:Q164">O151+P151</f>
        <v>2510.73</v>
      </c>
    </row>
    <row r="152" spans="1:17" ht="12.75">
      <c r="A152" s="81" t="s">
        <v>330</v>
      </c>
      <c r="B152" s="80">
        <v>2016</v>
      </c>
      <c r="C152" s="139"/>
      <c r="D152" s="128">
        <f>459.09</f>
        <v>459.09</v>
      </c>
      <c r="E152" s="96"/>
      <c r="F152" s="190">
        <f t="shared" si="48"/>
        <v>459.09</v>
      </c>
      <c r="G152" s="261"/>
      <c r="H152" s="7"/>
      <c r="I152" s="23">
        <f t="shared" si="49"/>
        <v>459.09</v>
      </c>
      <c r="J152" s="22"/>
      <c r="K152" s="7"/>
      <c r="L152" s="23">
        <f t="shared" si="50"/>
        <v>459.09</v>
      </c>
      <c r="M152" s="22"/>
      <c r="N152" s="7"/>
      <c r="O152" s="210">
        <f t="shared" si="51"/>
        <v>459.09</v>
      </c>
      <c r="P152" s="220"/>
      <c r="Q152" s="221">
        <f t="shared" si="52"/>
        <v>459.09</v>
      </c>
    </row>
    <row r="153" spans="1:17" ht="12.75" hidden="1">
      <c r="A153" s="81" t="s">
        <v>285</v>
      </c>
      <c r="B153" s="80"/>
      <c r="C153" s="139"/>
      <c r="D153" s="128"/>
      <c r="E153" s="96"/>
      <c r="F153" s="190">
        <f t="shared" si="48"/>
        <v>0</v>
      </c>
      <c r="G153" s="261"/>
      <c r="H153" s="7"/>
      <c r="I153" s="23">
        <f t="shared" si="49"/>
        <v>0</v>
      </c>
      <c r="J153" s="22"/>
      <c r="K153" s="7"/>
      <c r="L153" s="23">
        <f t="shared" si="50"/>
        <v>0</v>
      </c>
      <c r="M153" s="22"/>
      <c r="N153" s="7"/>
      <c r="O153" s="210">
        <f t="shared" si="51"/>
        <v>0</v>
      </c>
      <c r="P153" s="220"/>
      <c r="Q153" s="221">
        <f t="shared" si="52"/>
        <v>0</v>
      </c>
    </row>
    <row r="154" spans="1:17" ht="12.75" hidden="1">
      <c r="A154" s="42" t="s">
        <v>331</v>
      </c>
      <c r="B154" s="80">
        <v>2064</v>
      </c>
      <c r="C154" s="139"/>
      <c r="D154" s="128"/>
      <c r="E154" s="96"/>
      <c r="F154" s="190">
        <f t="shared" si="48"/>
        <v>0</v>
      </c>
      <c r="G154" s="261"/>
      <c r="H154" s="7"/>
      <c r="I154" s="23">
        <f t="shared" si="49"/>
        <v>0</v>
      </c>
      <c r="J154" s="22"/>
      <c r="K154" s="7"/>
      <c r="L154" s="23">
        <f t="shared" si="50"/>
        <v>0</v>
      </c>
      <c r="M154" s="22"/>
      <c r="N154" s="7"/>
      <c r="O154" s="210">
        <f t="shared" si="51"/>
        <v>0</v>
      </c>
      <c r="P154" s="220"/>
      <c r="Q154" s="221">
        <f t="shared" si="52"/>
        <v>0</v>
      </c>
    </row>
    <row r="155" spans="1:17" ht="12.75">
      <c r="A155" s="42" t="s">
        <v>332</v>
      </c>
      <c r="B155" s="80">
        <v>2079</v>
      </c>
      <c r="C155" s="139"/>
      <c r="D155" s="128">
        <f>73.55</f>
        <v>73.55</v>
      </c>
      <c r="E155" s="96"/>
      <c r="F155" s="190">
        <f t="shared" si="48"/>
        <v>73.55</v>
      </c>
      <c r="G155" s="261"/>
      <c r="H155" s="7"/>
      <c r="I155" s="23">
        <f t="shared" si="49"/>
        <v>73.55</v>
      </c>
      <c r="J155" s="22"/>
      <c r="K155" s="7"/>
      <c r="L155" s="23">
        <f t="shared" si="50"/>
        <v>73.55</v>
      </c>
      <c r="M155" s="22"/>
      <c r="N155" s="7"/>
      <c r="O155" s="210">
        <f t="shared" si="51"/>
        <v>73.55</v>
      </c>
      <c r="P155" s="220"/>
      <c r="Q155" s="221">
        <f t="shared" si="52"/>
        <v>73.55</v>
      </c>
    </row>
    <row r="156" spans="1:17" ht="12.75" hidden="1">
      <c r="A156" s="81" t="s">
        <v>272</v>
      </c>
      <c r="B156" s="80">
        <v>2079</v>
      </c>
      <c r="C156" s="139"/>
      <c r="D156" s="128"/>
      <c r="E156" s="96"/>
      <c r="F156" s="190">
        <f t="shared" si="48"/>
        <v>0</v>
      </c>
      <c r="G156" s="261"/>
      <c r="H156" s="7"/>
      <c r="I156" s="23">
        <f t="shared" si="49"/>
        <v>0</v>
      </c>
      <c r="J156" s="22"/>
      <c r="K156" s="7"/>
      <c r="L156" s="23">
        <f t="shared" si="50"/>
        <v>0</v>
      </c>
      <c r="M156" s="22"/>
      <c r="N156" s="7"/>
      <c r="O156" s="210">
        <f t="shared" si="51"/>
        <v>0</v>
      </c>
      <c r="P156" s="220"/>
      <c r="Q156" s="221">
        <f t="shared" si="52"/>
        <v>0</v>
      </c>
    </row>
    <row r="157" spans="1:17" ht="12.75">
      <c r="A157" s="42" t="s">
        <v>347</v>
      </c>
      <c r="B157" s="80"/>
      <c r="C157" s="139"/>
      <c r="D157" s="128">
        <f>2601.16</f>
        <v>2601.16</v>
      </c>
      <c r="E157" s="96"/>
      <c r="F157" s="190">
        <f t="shared" si="48"/>
        <v>2601.16</v>
      </c>
      <c r="G157" s="261"/>
      <c r="H157" s="7"/>
      <c r="I157" s="23"/>
      <c r="J157" s="22"/>
      <c r="K157" s="7"/>
      <c r="L157" s="23"/>
      <c r="M157" s="22"/>
      <c r="N157" s="7"/>
      <c r="O157" s="210"/>
      <c r="P157" s="220"/>
      <c r="Q157" s="221"/>
    </row>
    <row r="158" spans="1:17" ht="12.75">
      <c r="A158" s="81" t="s">
        <v>320</v>
      </c>
      <c r="B158" s="80"/>
      <c r="C158" s="139"/>
      <c r="D158" s="128">
        <f>10748.16</f>
        <v>10748.16</v>
      </c>
      <c r="E158" s="96"/>
      <c r="F158" s="190">
        <f t="shared" si="48"/>
        <v>10748.16</v>
      </c>
      <c r="G158" s="261"/>
      <c r="H158" s="7"/>
      <c r="I158" s="23"/>
      <c r="J158" s="22"/>
      <c r="K158" s="7"/>
      <c r="L158" s="23"/>
      <c r="M158" s="22"/>
      <c r="N158" s="7"/>
      <c r="O158" s="210"/>
      <c r="P158" s="220"/>
      <c r="Q158" s="221"/>
    </row>
    <row r="159" spans="1:17" ht="12.75" hidden="1">
      <c r="A159" s="81" t="s">
        <v>268</v>
      </c>
      <c r="B159" s="80">
        <v>2067</v>
      </c>
      <c r="C159" s="139"/>
      <c r="D159" s="128"/>
      <c r="E159" s="96"/>
      <c r="F159" s="190">
        <f t="shared" si="48"/>
        <v>0</v>
      </c>
      <c r="G159" s="261"/>
      <c r="H159" s="7"/>
      <c r="I159" s="23">
        <f t="shared" si="49"/>
        <v>0</v>
      </c>
      <c r="J159" s="22"/>
      <c r="K159" s="7"/>
      <c r="L159" s="23">
        <f t="shared" si="50"/>
        <v>0</v>
      </c>
      <c r="M159" s="22"/>
      <c r="N159" s="7"/>
      <c r="O159" s="210">
        <f t="shared" si="51"/>
        <v>0</v>
      </c>
      <c r="P159" s="220"/>
      <c r="Q159" s="221">
        <f t="shared" si="52"/>
        <v>0</v>
      </c>
    </row>
    <row r="160" spans="1:17" ht="12.75" hidden="1">
      <c r="A160" s="81" t="s">
        <v>273</v>
      </c>
      <c r="B160" s="80">
        <v>2074</v>
      </c>
      <c r="C160" s="139"/>
      <c r="D160" s="128"/>
      <c r="E160" s="96"/>
      <c r="F160" s="190">
        <f t="shared" si="48"/>
        <v>0</v>
      </c>
      <c r="G160" s="261"/>
      <c r="H160" s="7"/>
      <c r="I160" s="23">
        <f t="shared" si="49"/>
        <v>0</v>
      </c>
      <c r="J160" s="22"/>
      <c r="K160" s="7"/>
      <c r="L160" s="23">
        <f t="shared" si="50"/>
        <v>0</v>
      </c>
      <c r="M160" s="22"/>
      <c r="N160" s="7"/>
      <c r="O160" s="210">
        <f t="shared" si="51"/>
        <v>0</v>
      </c>
      <c r="P160" s="220"/>
      <c r="Q160" s="221">
        <f t="shared" si="52"/>
        <v>0</v>
      </c>
    </row>
    <row r="161" spans="1:17" ht="12.75">
      <c r="A161" s="81" t="s">
        <v>333</v>
      </c>
      <c r="B161" s="80"/>
      <c r="C161" s="139"/>
      <c r="D161" s="128">
        <f>347.99</f>
        <v>347.99</v>
      </c>
      <c r="E161" s="96"/>
      <c r="F161" s="190">
        <f t="shared" si="48"/>
        <v>347.99</v>
      </c>
      <c r="G161" s="261"/>
      <c r="H161" s="7"/>
      <c r="I161" s="23">
        <f t="shared" si="49"/>
        <v>347.99</v>
      </c>
      <c r="J161" s="22"/>
      <c r="K161" s="7"/>
      <c r="L161" s="23">
        <f t="shared" si="50"/>
        <v>347.99</v>
      </c>
      <c r="M161" s="22"/>
      <c r="N161" s="7"/>
      <c r="O161" s="210">
        <f t="shared" si="51"/>
        <v>347.99</v>
      </c>
      <c r="P161" s="220"/>
      <c r="Q161" s="221">
        <f t="shared" si="52"/>
        <v>347.99</v>
      </c>
    </row>
    <row r="162" spans="1:17" ht="12.75" hidden="1">
      <c r="A162" s="81" t="s">
        <v>301</v>
      </c>
      <c r="B162" s="80"/>
      <c r="C162" s="139"/>
      <c r="D162" s="128"/>
      <c r="E162" s="96"/>
      <c r="F162" s="190">
        <f t="shared" si="48"/>
        <v>0</v>
      </c>
      <c r="G162" s="261"/>
      <c r="H162" s="7"/>
      <c r="I162" s="23">
        <f t="shared" si="49"/>
        <v>0</v>
      </c>
      <c r="J162" s="22"/>
      <c r="K162" s="7"/>
      <c r="L162" s="23">
        <f t="shared" si="50"/>
        <v>0</v>
      </c>
      <c r="M162" s="22"/>
      <c r="N162" s="7"/>
      <c r="O162" s="210">
        <f t="shared" si="51"/>
        <v>0</v>
      </c>
      <c r="P162" s="220"/>
      <c r="Q162" s="221">
        <f t="shared" si="52"/>
        <v>0</v>
      </c>
    </row>
    <row r="163" spans="1:17" ht="12.75" hidden="1">
      <c r="A163" s="81" t="s">
        <v>334</v>
      </c>
      <c r="B163" s="80">
        <v>2058</v>
      </c>
      <c r="C163" s="139"/>
      <c r="D163" s="128"/>
      <c r="E163" s="96"/>
      <c r="F163" s="190">
        <f t="shared" si="48"/>
        <v>0</v>
      </c>
      <c r="G163" s="261"/>
      <c r="H163" s="7"/>
      <c r="I163" s="23">
        <f t="shared" si="49"/>
        <v>0</v>
      </c>
      <c r="J163" s="22"/>
      <c r="K163" s="7"/>
      <c r="L163" s="23">
        <f t="shared" si="50"/>
        <v>0</v>
      </c>
      <c r="M163" s="22"/>
      <c r="N163" s="7"/>
      <c r="O163" s="210">
        <f t="shared" si="51"/>
        <v>0</v>
      </c>
      <c r="P163" s="220"/>
      <c r="Q163" s="221">
        <f t="shared" si="52"/>
        <v>0</v>
      </c>
    </row>
    <row r="164" spans="1:17" ht="12.75">
      <c r="A164" s="33" t="s">
        <v>73</v>
      </c>
      <c r="B164" s="80"/>
      <c r="C164" s="139">
        <v>4900</v>
      </c>
      <c r="D164" s="128">
        <f>1200+4000+544.23+686.81+1193.04+637.66+1072.68+100-500-500</f>
        <v>8434.42</v>
      </c>
      <c r="E164" s="96"/>
      <c r="F164" s="190">
        <f t="shared" si="48"/>
        <v>13334.42</v>
      </c>
      <c r="G164" s="261"/>
      <c r="H164" s="7"/>
      <c r="I164" s="23">
        <f t="shared" si="49"/>
        <v>13334.42</v>
      </c>
      <c r="J164" s="22"/>
      <c r="K164" s="7"/>
      <c r="L164" s="23">
        <f t="shared" si="50"/>
        <v>13334.42</v>
      </c>
      <c r="M164" s="22"/>
      <c r="N164" s="7"/>
      <c r="O164" s="210">
        <f t="shared" si="51"/>
        <v>13334.42</v>
      </c>
      <c r="P164" s="220"/>
      <c r="Q164" s="221">
        <f t="shared" si="52"/>
        <v>13334.42</v>
      </c>
    </row>
    <row r="165" spans="1:17" ht="12.75">
      <c r="A165" s="40" t="s">
        <v>53</v>
      </c>
      <c r="B165" s="84"/>
      <c r="C165" s="144">
        <f aca="true" t="shared" si="53" ref="C165:Q165">SUM(C167:C174)</f>
        <v>0</v>
      </c>
      <c r="D165" s="132">
        <f t="shared" si="53"/>
        <v>208982.75</v>
      </c>
      <c r="E165" s="106">
        <f t="shared" si="53"/>
        <v>0</v>
      </c>
      <c r="F165" s="194">
        <f t="shared" si="53"/>
        <v>208982.75</v>
      </c>
      <c r="G165" s="228">
        <f t="shared" si="53"/>
        <v>0</v>
      </c>
      <c r="H165" s="106">
        <f t="shared" si="53"/>
        <v>0</v>
      </c>
      <c r="I165" s="167">
        <f t="shared" si="53"/>
        <v>9826.51</v>
      </c>
      <c r="J165" s="105">
        <f t="shared" si="53"/>
        <v>0</v>
      </c>
      <c r="K165" s="106">
        <f t="shared" si="53"/>
        <v>0</v>
      </c>
      <c r="L165" s="167">
        <f t="shared" si="53"/>
        <v>9826.51</v>
      </c>
      <c r="M165" s="105">
        <f t="shared" si="53"/>
        <v>0</v>
      </c>
      <c r="N165" s="106">
        <f t="shared" si="53"/>
        <v>0</v>
      </c>
      <c r="O165" s="194">
        <f t="shared" si="53"/>
        <v>9826.51</v>
      </c>
      <c r="P165" s="228">
        <f t="shared" si="53"/>
        <v>0</v>
      </c>
      <c r="Q165" s="194">
        <f t="shared" si="53"/>
        <v>9826.51</v>
      </c>
    </row>
    <row r="166" spans="1:17" ht="12.75">
      <c r="A166" s="42" t="s">
        <v>26</v>
      </c>
      <c r="B166" s="80"/>
      <c r="C166" s="139"/>
      <c r="D166" s="128"/>
      <c r="E166" s="96"/>
      <c r="F166" s="190"/>
      <c r="G166" s="261"/>
      <c r="H166" s="7"/>
      <c r="I166" s="23"/>
      <c r="J166" s="22"/>
      <c r="K166" s="7"/>
      <c r="L166" s="23"/>
      <c r="M166" s="22"/>
      <c r="N166" s="7"/>
      <c r="O166" s="210"/>
      <c r="P166" s="220"/>
      <c r="Q166" s="221"/>
    </row>
    <row r="167" spans="1:17" ht="12.75">
      <c r="A167" s="42" t="s">
        <v>332</v>
      </c>
      <c r="B167" s="80">
        <v>2079</v>
      </c>
      <c r="C167" s="139"/>
      <c r="D167" s="128">
        <f>1145.26+247.5</f>
        <v>1392.76</v>
      </c>
      <c r="E167" s="96"/>
      <c r="F167" s="190">
        <f aca="true" t="shared" si="54" ref="F167:F174">C167+D167+E167</f>
        <v>1392.76</v>
      </c>
      <c r="G167" s="261"/>
      <c r="H167" s="7"/>
      <c r="I167" s="23">
        <f aca="true" t="shared" si="55" ref="I167:I174">F167+G167+H167</f>
        <v>1392.76</v>
      </c>
      <c r="J167" s="22"/>
      <c r="K167" s="7"/>
      <c r="L167" s="23">
        <f aca="true" t="shared" si="56" ref="L167:L174">I167+J167+K167</f>
        <v>1392.76</v>
      </c>
      <c r="M167" s="22"/>
      <c r="N167" s="7"/>
      <c r="O167" s="210">
        <f aca="true" t="shared" si="57" ref="O167:O174">L167+M167+N167</f>
        <v>1392.76</v>
      </c>
      <c r="P167" s="220"/>
      <c r="Q167" s="221">
        <f>O167+P167</f>
        <v>1392.76</v>
      </c>
    </row>
    <row r="168" spans="1:17" ht="12.75" hidden="1">
      <c r="A168" s="81" t="s">
        <v>272</v>
      </c>
      <c r="B168" s="80">
        <v>2079</v>
      </c>
      <c r="C168" s="139"/>
      <c r="D168" s="128"/>
      <c r="E168" s="96"/>
      <c r="F168" s="190">
        <f t="shared" si="54"/>
        <v>0</v>
      </c>
      <c r="G168" s="261"/>
      <c r="H168" s="7"/>
      <c r="I168" s="23">
        <f t="shared" si="55"/>
        <v>0</v>
      </c>
      <c r="J168" s="22"/>
      <c r="K168" s="7"/>
      <c r="L168" s="23">
        <f t="shared" si="56"/>
        <v>0</v>
      </c>
      <c r="M168" s="22"/>
      <c r="N168" s="7"/>
      <c r="O168" s="210">
        <f t="shared" si="57"/>
        <v>0</v>
      </c>
      <c r="P168" s="220"/>
      <c r="Q168" s="221">
        <f>O168+P168</f>
        <v>0</v>
      </c>
    </row>
    <row r="169" spans="1:17" ht="12.75">
      <c r="A169" s="42" t="s">
        <v>347</v>
      </c>
      <c r="B169" s="80"/>
      <c r="C169" s="139"/>
      <c r="D169" s="128">
        <f>55847.45</f>
        <v>55847.45</v>
      </c>
      <c r="E169" s="96"/>
      <c r="F169" s="190">
        <f t="shared" si="54"/>
        <v>55847.45</v>
      </c>
      <c r="G169" s="261"/>
      <c r="H169" s="7"/>
      <c r="I169" s="23"/>
      <c r="J169" s="22"/>
      <c r="K169" s="7"/>
      <c r="L169" s="23"/>
      <c r="M169" s="22"/>
      <c r="N169" s="7"/>
      <c r="O169" s="210"/>
      <c r="P169" s="220"/>
      <c r="Q169" s="221"/>
    </row>
    <row r="170" spans="1:17" ht="12.75">
      <c r="A170" s="81" t="s">
        <v>320</v>
      </c>
      <c r="B170" s="80"/>
      <c r="C170" s="139"/>
      <c r="D170" s="128">
        <f>143308.79</f>
        <v>143308.79</v>
      </c>
      <c r="E170" s="96"/>
      <c r="F170" s="190">
        <f t="shared" si="54"/>
        <v>143308.79</v>
      </c>
      <c r="G170" s="261"/>
      <c r="H170" s="7"/>
      <c r="I170" s="23"/>
      <c r="J170" s="22"/>
      <c r="K170" s="7"/>
      <c r="L170" s="23"/>
      <c r="M170" s="22"/>
      <c r="N170" s="7"/>
      <c r="O170" s="210"/>
      <c r="P170" s="220"/>
      <c r="Q170" s="221"/>
    </row>
    <row r="171" spans="1:17" ht="12.75">
      <c r="A171" s="81" t="s">
        <v>335</v>
      </c>
      <c r="B171" s="80"/>
      <c r="C171" s="139"/>
      <c r="D171" s="128">
        <f>8433.75</f>
        <v>8433.75</v>
      </c>
      <c r="E171" s="96"/>
      <c r="F171" s="190">
        <f t="shared" si="54"/>
        <v>8433.75</v>
      </c>
      <c r="G171" s="261"/>
      <c r="H171" s="7"/>
      <c r="I171" s="23">
        <f t="shared" si="55"/>
        <v>8433.75</v>
      </c>
      <c r="J171" s="22"/>
      <c r="K171" s="7"/>
      <c r="L171" s="23">
        <f t="shared" si="56"/>
        <v>8433.75</v>
      </c>
      <c r="M171" s="22"/>
      <c r="N171" s="7"/>
      <c r="O171" s="210">
        <f t="shared" si="57"/>
        <v>8433.75</v>
      </c>
      <c r="P171" s="220"/>
      <c r="Q171" s="221">
        <f>O171+P171</f>
        <v>8433.75</v>
      </c>
    </row>
    <row r="172" spans="1:17" ht="12.75" hidden="1">
      <c r="A172" s="33" t="s">
        <v>65</v>
      </c>
      <c r="B172" s="80"/>
      <c r="C172" s="139"/>
      <c r="D172" s="128"/>
      <c r="E172" s="96"/>
      <c r="F172" s="190">
        <f t="shared" si="54"/>
        <v>0</v>
      </c>
      <c r="G172" s="261"/>
      <c r="H172" s="7"/>
      <c r="I172" s="23">
        <f t="shared" si="55"/>
        <v>0</v>
      </c>
      <c r="J172" s="22"/>
      <c r="K172" s="7"/>
      <c r="L172" s="23">
        <f t="shared" si="56"/>
        <v>0</v>
      </c>
      <c r="M172" s="22"/>
      <c r="N172" s="7"/>
      <c r="O172" s="210">
        <f t="shared" si="57"/>
        <v>0</v>
      </c>
      <c r="P172" s="220"/>
      <c r="Q172" s="221">
        <f>O172+P172</f>
        <v>0</v>
      </c>
    </row>
    <row r="173" spans="1:17" ht="12.75" hidden="1">
      <c r="A173" s="33" t="s">
        <v>54</v>
      </c>
      <c r="B173" s="80"/>
      <c r="C173" s="139"/>
      <c r="D173" s="128"/>
      <c r="E173" s="96"/>
      <c r="F173" s="190">
        <f t="shared" si="54"/>
        <v>0</v>
      </c>
      <c r="G173" s="261"/>
      <c r="H173" s="7"/>
      <c r="I173" s="23">
        <f t="shared" si="55"/>
        <v>0</v>
      </c>
      <c r="J173" s="22"/>
      <c r="K173" s="7"/>
      <c r="L173" s="23">
        <f t="shared" si="56"/>
        <v>0</v>
      </c>
      <c r="M173" s="22"/>
      <c r="N173" s="7"/>
      <c r="O173" s="210">
        <f t="shared" si="57"/>
        <v>0</v>
      </c>
      <c r="P173" s="220"/>
      <c r="Q173" s="221">
        <f aca="true" t="shared" si="58" ref="Q173:Q219">O173+P173</f>
        <v>0</v>
      </c>
    </row>
    <row r="174" spans="1:17" ht="12.75">
      <c r="A174" s="36" t="s">
        <v>73</v>
      </c>
      <c r="B174" s="83"/>
      <c r="C174" s="253"/>
      <c r="D174" s="244">
        <f>100-100</f>
        <v>0</v>
      </c>
      <c r="E174" s="104"/>
      <c r="F174" s="195">
        <f t="shared" si="54"/>
        <v>0</v>
      </c>
      <c r="G174" s="263"/>
      <c r="H174" s="10"/>
      <c r="I174" s="27">
        <f t="shared" si="55"/>
        <v>0</v>
      </c>
      <c r="J174" s="26"/>
      <c r="K174" s="10"/>
      <c r="L174" s="27">
        <f t="shared" si="56"/>
        <v>0</v>
      </c>
      <c r="M174" s="26"/>
      <c r="N174" s="10"/>
      <c r="O174" s="213">
        <f t="shared" si="57"/>
        <v>0</v>
      </c>
      <c r="P174" s="229"/>
      <c r="Q174" s="230">
        <f t="shared" si="58"/>
        <v>0</v>
      </c>
    </row>
    <row r="175" spans="1:17" ht="12.75">
      <c r="A175" s="30" t="s">
        <v>77</v>
      </c>
      <c r="B175" s="84"/>
      <c r="C175" s="138">
        <f aca="true" t="shared" si="59" ref="C175:Q175">C176+C211</f>
        <v>441953.44000000006</v>
      </c>
      <c r="D175" s="117">
        <f t="shared" si="59"/>
        <v>10383187.219999999</v>
      </c>
      <c r="E175" s="95">
        <f t="shared" si="59"/>
        <v>0</v>
      </c>
      <c r="F175" s="189">
        <f t="shared" si="59"/>
        <v>10825140.66</v>
      </c>
      <c r="G175" s="219">
        <f t="shared" si="59"/>
        <v>0</v>
      </c>
      <c r="H175" s="95">
        <f t="shared" si="59"/>
        <v>0</v>
      </c>
      <c r="I175" s="162">
        <f t="shared" si="59"/>
        <v>10806956.530000001</v>
      </c>
      <c r="J175" s="94">
        <f t="shared" si="59"/>
        <v>0</v>
      </c>
      <c r="K175" s="95">
        <f t="shared" si="59"/>
        <v>0</v>
      </c>
      <c r="L175" s="162">
        <f t="shared" si="59"/>
        <v>10806956.530000001</v>
      </c>
      <c r="M175" s="94">
        <f t="shared" si="59"/>
        <v>0</v>
      </c>
      <c r="N175" s="95">
        <f t="shared" si="59"/>
        <v>0</v>
      </c>
      <c r="O175" s="189">
        <f t="shared" si="59"/>
        <v>10806956.530000001</v>
      </c>
      <c r="P175" s="219">
        <f t="shared" si="59"/>
        <v>0</v>
      </c>
      <c r="Q175" s="189">
        <f t="shared" si="59"/>
        <v>10806956.530000001</v>
      </c>
    </row>
    <row r="176" spans="1:17" ht="12.75">
      <c r="A176" s="39" t="s">
        <v>49</v>
      </c>
      <c r="B176" s="84"/>
      <c r="C176" s="143">
        <f aca="true" t="shared" si="60" ref="C176:Q176">SUM(C178:C210)</f>
        <v>441213.44000000006</v>
      </c>
      <c r="D176" s="131">
        <f t="shared" si="60"/>
        <v>10375559.62</v>
      </c>
      <c r="E176" s="103">
        <f t="shared" si="60"/>
        <v>0</v>
      </c>
      <c r="F176" s="193">
        <f t="shared" si="60"/>
        <v>10816773.06</v>
      </c>
      <c r="G176" s="227">
        <f t="shared" si="60"/>
        <v>0</v>
      </c>
      <c r="H176" s="103">
        <f t="shared" si="60"/>
        <v>0</v>
      </c>
      <c r="I176" s="166">
        <f t="shared" si="60"/>
        <v>10798588.930000002</v>
      </c>
      <c r="J176" s="102">
        <f t="shared" si="60"/>
        <v>0</v>
      </c>
      <c r="K176" s="103">
        <f t="shared" si="60"/>
        <v>0</v>
      </c>
      <c r="L176" s="166">
        <f t="shared" si="60"/>
        <v>10798588.930000002</v>
      </c>
      <c r="M176" s="102">
        <f t="shared" si="60"/>
        <v>0</v>
      </c>
      <c r="N176" s="103">
        <f t="shared" si="60"/>
        <v>0</v>
      </c>
      <c r="O176" s="193">
        <f t="shared" si="60"/>
        <v>10798588.930000002</v>
      </c>
      <c r="P176" s="227">
        <f t="shared" si="60"/>
        <v>0</v>
      </c>
      <c r="Q176" s="193">
        <f t="shared" si="60"/>
        <v>10798588.930000002</v>
      </c>
    </row>
    <row r="177" spans="1:17" ht="12.75">
      <c r="A177" s="31" t="s">
        <v>26</v>
      </c>
      <c r="B177" s="80"/>
      <c r="C177" s="139"/>
      <c r="D177" s="128"/>
      <c r="E177" s="96"/>
      <c r="F177" s="190"/>
      <c r="G177" s="261"/>
      <c r="H177" s="7"/>
      <c r="I177" s="23"/>
      <c r="J177" s="22"/>
      <c r="K177" s="7"/>
      <c r="L177" s="23"/>
      <c r="M177" s="22"/>
      <c r="N177" s="7"/>
      <c r="O177" s="210"/>
      <c r="P177" s="220"/>
      <c r="Q177" s="221"/>
    </row>
    <row r="178" spans="1:17" ht="12.75">
      <c r="A178" s="37" t="s">
        <v>69</v>
      </c>
      <c r="B178" s="80"/>
      <c r="C178" s="139">
        <v>378098.03</v>
      </c>
      <c r="D178" s="128">
        <f>8337+164.5+119488+17408.32+2000+8857.8</f>
        <v>156255.62</v>
      </c>
      <c r="E178" s="96"/>
      <c r="F178" s="190">
        <f aca="true" t="shared" si="61" ref="F178:F210">C178+D178+E178</f>
        <v>534353.65</v>
      </c>
      <c r="G178" s="261"/>
      <c r="H178" s="7"/>
      <c r="I178" s="23">
        <f>F178+G178+H178</f>
        <v>534353.65</v>
      </c>
      <c r="J178" s="22"/>
      <c r="K178" s="7"/>
      <c r="L178" s="23">
        <f>I178+J178+K178</f>
        <v>534353.65</v>
      </c>
      <c r="M178" s="22"/>
      <c r="N178" s="7"/>
      <c r="O178" s="210">
        <f>L178+M178+N178</f>
        <v>534353.65</v>
      </c>
      <c r="P178" s="220"/>
      <c r="Q178" s="221">
        <f t="shared" si="58"/>
        <v>534353.65</v>
      </c>
    </row>
    <row r="179" spans="1:17" ht="12.75">
      <c r="A179" s="37" t="s">
        <v>264</v>
      </c>
      <c r="B179" s="80">
        <v>33353</v>
      </c>
      <c r="C179" s="139"/>
      <c r="D179" s="128">
        <f>9933653.38</f>
        <v>9933653.38</v>
      </c>
      <c r="E179" s="96"/>
      <c r="F179" s="190">
        <f t="shared" si="61"/>
        <v>9933653.38</v>
      </c>
      <c r="G179" s="261"/>
      <c r="H179" s="7"/>
      <c r="I179" s="23">
        <f aca="true" t="shared" si="62" ref="I179:I208">F179+G179+H179</f>
        <v>9933653.38</v>
      </c>
      <c r="J179" s="22"/>
      <c r="K179" s="7"/>
      <c r="L179" s="23">
        <f aca="true" t="shared" si="63" ref="L179:L209">I179+J179+K179</f>
        <v>9933653.38</v>
      </c>
      <c r="M179" s="22"/>
      <c r="N179" s="7"/>
      <c r="O179" s="210">
        <f aca="true" t="shared" si="64" ref="O179:O209">L179+M179+N179</f>
        <v>9933653.38</v>
      </c>
      <c r="P179" s="220"/>
      <c r="Q179" s="221">
        <f t="shared" si="58"/>
        <v>9933653.38</v>
      </c>
    </row>
    <row r="180" spans="1:17" ht="12.75">
      <c r="A180" s="37" t="s">
        <v>317</v>
      </c>
      <c r="B180" s="80">
        <v>33155</v>
      </c>
      <c r="C180" s="139"/>
      <c r="D180" s="180">
        <f>148284.67</f>
        <v>148284.67</v>
      </c>
      <c r="E180" s="96"/>
      <c r="F180" s="190">
        <f t="shared" si="61"/>
        <v>148284.67</v>
      </c>
      <c r="G180" s="261"/>
      <c r="H180" s="7"/>
      <c r="I180" s="23">
        <f t="shared" si="62"/>
        <v>148284.67</v>
      </c>
      <c r="J180" s="22"/>
      <c r="K180" s="7"/>
      <c r="L180" s="23">
        <f t="shared" si="63"/>
        <v>148284.67</v>
      </c>
      <c r="M180" s="22"/>
      <c r="N180" s="7"/>
      <c r="O180" s="210">
        <f t="shared" si="64"/>
        <v>148284.67</v>
      </c>
      <c r="P180" s="220"/>
      <c r="Q180" s="221">
        <f t="shared" si="58"/>
        <v>148284.67</v>
      </c>
    </row>
    <row r="181" spans="1:17" ht="12.75" hidden="1">
      <c r="A181" s="37" t="s">
        <v>78</v>
      </c>
      <c r="B181" s="80" t="s">
        <v>198</v>
      </c>
      <c r="C181" s="139"/>
      <c r="D181" s="128"/>
      <c r="E181" s="96"/>
      <c r="F181" s="190">
        <f t="shared" si="61"/>
        <v>0</v>
      </c>
      <c r="G181" s="261"/>
      <c r="H181" s="7"/>
      <c r="I181" s="23">
        <f t="shared" si="62"/>
        <v>0</v>
      </c>
      <c r="J181" s="22"/>
      <c r="K181" s="7"/>
      <c r="L181" s="23">
        <f t="shared" si="63"/>
        <v>0</v>
      </c>
      <c r="M181" s="22"/>
      <c r="N181" s="7"/>
      <c r="O181" s="210">
        <f t="shared" si="64"/>
        <v>0</v>
      </c>
      <c r="P181" s="220"/>
      <c r="Q181" s="221">
        <f t="shared" si="58"/>
        <v>0</v>
      </c>
    </row>
    <row r="182" spans="1:17" ht="12.75" hidden="1">
      <c r="A182" s="37" t="s">
        <v>131</v>
      </c>
      <c r="B182" s="80"/>
      <c r="C182" s="139"/>
      <c r="D182" s="128"/>
      <c r="E182" s="96"/>
      <c r="F182" s="190">
        <f t="shared" si="61"/>
        <v>0</v>
      </c>
      <c r="G182" s="261"/>
      <c r="H182" s="7"/>
      <c r="I182" s="23">
        <f t="shared" si="62"/>
        <v>0</v>
      </c>
      <c r="J182" s="22"/>
      <c r="K182" s="7"/>
      <c r="L182" s="23">
        <f t="shared" si="63"/>
        <v>0</v>
      </c>
      <c r="M182" s="22"/>
      <c r="N182" s="7"/>
      <c r="O182" s="210">
        <f t="shared" si="64"/>
        <v>0</v>
      </c>
      <c r="P182" s="220"/>
      <c r="Q182" s="221">
        <f t="shared" si="58"/>
        <v>0</v>
      </c>
    </row>
    <row r="183" spans="1:17" ht="12.75" hidden="1">
      <c r="A183" s="53" t="s">
        <v>182</v>
      </c>
      <c r="B183" s="80">
        <v>33052</v>
      </c>
      <c r="C183" s="139"/>
      <c r="D183" s="128"/>
      <c r="E183" s="96"/>
      <c r="F183" s="190">
        <f t="shared" si="61"/>
        <v>0</v>
      </c>
      <c r="G183" s="261"/>
      <c r="H183" s="7"/>
      <c r="I183" s="23">
        <f t="shared" si="62"/>
        <v>0</v>
      </c>
      <c r="J183" s="22"/>
      <c r="K183" s="7"/>
      <c r="L183" s="23">
        <f t="shared" si="63"/>
        <v>0</v>
      </c>
      <c r="M183" s="22"/>
      <c r="N183" s="7"/>
      <c r="O183" s="210">
        <f t="shared" si="64"/>
        <v>0</v>
      </c>
      <c r="P183" s="220"/>
      <c r="Q183" s="221">
        <f t="shared" si="58"/>
        <v>0</v>
      </c>
    </row>
    <row r="184" spans="1:17" ht="12.75" hidden="1">
      <c r="A184" s="53" t="s">
        <v>253</v>
      </c>
      <c r="B184" s="80">
        <v>33076</v>
      </c>
      <c r="C184" s="139"/>
      <c r="D184" s="128"/>
      <c r="E184" s="96"/>
      <c r="F184" s="190">
        <f t="shared" si="61"/>
        <v>0</v>
      </c>
      <c r="G184" s="261"/>
      <c r="H184" s="7"/>
      <c r="I184" s="23">
        <f t="shared" si="62"/>
        <v>0</v>
      </c>
      <c r="J184" s="22"/>
      <c r="K184" s="7"/>
      <c r="L184" s="23">
        <f t="shared" si="63"/>
        <v>0</v>
      </c>
      <c r="M184" s="22"/>
      <c r="N184" s="7"/>
      <c r="O184" s="210">
        <f t="shared" si="64"/>
        <v>0</v>
      </c>
      <c r="P184" s="220"/>
      <c r="Q184" s="221">
        <f t="shared" si="58"/>
        <v>0</v>
      </c>
    </row>
    <row r="185" spans="1:17" ht="12.75" hidden="1">
      <c r="A185" s="53" t="s">
        <v>213</v>
      </c>
      <c r="B185" s="80">
        <v>33069</v>
      </c>
      <c r="C185" s="139"/>
      <c r="D185" s="128"/>
      <c r="E185" s="96"/>
      <c r="F185" s="190">
        <f t="shared" si="61"/>
        <v>0</v>
      </c>
      <c r="G185" s="261"/>
      <c r="H185" s="7"/>
      <c r="I185" s="23">
        <f t="shared" si="62"/>
        <v>0</v>
      </c>
      <c r="J185" s="22"/>
      <c r="K185" s="7"/>
      <c r="L185" s="23">
        <f t="shared" si="63"/>
        <v>0</v>
      </c>
      <c r="M185" s="22"/>
      <c r="N185" s="7"/>
      <c r="O185" s="210">
        <f t="shared" si="64"/>
        <v>0</v>
      </c>
      <c r="P185" s="220"/>
      <c r="Q185" s="221">
        <f t="shared" si="58"/>
        <v>0</v>
      </c>
    </row>
    <row r="186" spans="1:17" ht="12.75" hidden="1">
      <c r="A186" s="53" t="s">
        <v>244</v>
      </c>
      <c r="B186" s="80">
        <v>33070</v>
      </c>
      <c r="C186" s="139"/>
      <c r="D186" s="128"/>
      <c r="E186" s="96"/>
      <c r="F186" s="190">
        <f t="shared" si="61"/>
        <v>0</v>
      </c>
      <c r="G186" s="261"/>
      <c r="H186" s="7"/>
      <c r="I186" s="23">
        <f t="shared" si="62"/>
        <v>0</v>
      </c>
      <c r="J186" s="22"/>
      <c r="K186" s="7"/>
      <c r="L186" s="23">
        <f t="shared" si="63"/>
        <v>0</v>
      </c>
      <c r="M186" s="22"/>
      <c r="N186" s="7"/>
      <c r="O186" s="210">
        <f t="shared" si="64"/>
        <v>0</v>
      </c>
      <c r="P186" s="220"/>
      <c r="Q186" s="221">
        <f t="shared" si="58"/>
        <v>0</v>
      </c>
    </row>
    <row r="187" spans="1:17" ht="12.75" hidden="1">
      <c r="A187" s="37" t="s">
        <v>237</v>
      </c>
      <c r="B187" s="80">
        <v>33071</v>
      </c>
      <c r="C187" s="139"/>
      <c r="D187" s="128"/>
      <c r="E187" s="96"/>
      <c r="F187" s="190">
        <f t="shared" si="61"/>
        <v>0</v>
      </c>
      <c r="G187" s="261"/>
      <c r="H187" s="7"/>
      <c r="I187" s="23">
        <f t="shared" si="62"/>
        <v>0</v>
      </c>
      <c r="J187" s="22"/>
      <c r="K187" s="7"/>
      <c r="L187" s="23">
        <f t="shared" si="63"/>
        <v>0</v>
      </c>
      <c r="M187" s="22"/>
      <c r="N187" s="7"/>
      <c r="O187" s="210">
        <f t="shared" si="64"/>
        <v>0</v>
      </c>
      <c r="P187" s="220"/>
      <c r="Q187" s="221">
        <f t="shared" si="58"/>
        <v>0</v>
      </c>
    </row>
    <row r="188" spans="1:17" ht="12.75" hidden="1">
      <c r="A188" s="37" t="s">
        <v>183</v>
      </c>
      <c r="B188" s="80">
        <v>33050</v>
      </c>
      <c r="C188" s="139"/>
      <c r="D188" s="128"/>
      <c r="E188" s="96"/>
      <c r="F188" s="190">
        <f t="shared" si="61"/>
        <v>0</v>
      </c>
      <c r="G188" s="261"/>
      <c r="H188" s="7"/>
      <c r="I188" s="23">
        <f t="shared" si="62"/>
        <v>0</v>
      </c>
      <c r="J188" s="22"/>
      <c r="K188" s="7"/>
      <c r="L188" s="23">
        <f t="shared" si="63"/>
        <v>0</v>
      </c>
      <c r="M188" s="22"/>
      <c r="N188" s="7"/>
      <c r="O188" s="210">
        <f t="shared" si="64"/>
        <v>0</v>
      </c>
      <c r="P188" s="220"/>
      <c r="Q188" s="221">
        <f t="shared" si="58"/>
        <v>0</v>
      </c>
    </row>
    <row r="189" spans="1:17" ht="12.75" hidden="1">
      <c r="A189" s="37" t="s">
        <v>143</v>
      </c>
      <c r="B189" s="80">
        <v>33435</v>
      </c>
      <c r="C189" s="139"/>
      <c r="D189" s="128"/>
      <c r="E189" s="96"/>
      <c r="F189" s="190">
        <f t="shared" si="61"/>
        <v>0</v>
      </c>
      <c r="G189" s="261"/>
      <c r="H189" s="7"/>
      <c r="I189" s="23">
        <f t="shared" si="62"/>
        <v>0</v>
      </c>
      <c r="J189" s="22"/>
      <c r="K189" s="7"/>
      <c r="L189" s="23">
        <f t="shared" si="63"/>
        <v>0</v>
      </c>
      <c r="M189" s="22"/>
      <c r="N189" s="7"/>
      <c r="O189" s="210">
        <f t="shared" si="64"/>
        <v>0</v>
      </c>
      <c r="P189" s="220"/>
      <c r="Q189" s="221">
        <f t="shared" si="58"/>
        <v>0</v>
      </c>
    </row>
    <row r="190" spans="1:17" ht="12.75" hidden="1">
      <c r="A190" s="37" t="s">
        <v>201</v>
      </c>
      <c r="B190" s="80">
        <v>33049</v>
      </c>
      <c r="C190" s="139"/>
      <c r="D190" s="128"/>
      <c r="E190" s="96"/>
      <c r="F190" s="190">
        <f t="shared" si="61"/>
        <v>0</v>
      </c>
      <c r="G190" s="261"/>
      <c r="H190" s="7"/>
      <c r="I190" s="23">
        <f t="shared" si="62"/>
        <v>0</v>
      </c>
      <c r="J190" s="22"/>
      <c r="K190" s="7"/>
      <c r="L190" s="23">
        <f t="shared" si="63"/>
        <v>0</v>
      </c>
      <c r="M190" s="22"/>
      <c r="N190" s="7"/>
      <c r="O190" s="210">
        <f t="shared" si="64"/>
        <v>0</v>
      </c>
      <c r="P190" s="220"/>
      <c r="Q190" s="221">
        <f t="shared" si="58"/>
        <v>0</v>
      </c>
    </row>
    <row r="191" spans="1:17" ht="12.75" hidden="1">
      <c r="A191" s="37" t="s">
        <v>184</v>
      </c>
      <c r="B191" s="80">
        <v>33044</v>
      </c>
      <c r="C191" s="139"/>
      <c r="D191" s="128"/>
      <c r="E191" s="96"/>
      <c r="F191" s="190">
        <f t="shared" si="61"/>
        <v>0</v>
      </c>
      <c r="G191" s="261"/>
      <c r="H191" s="7"/>
      <c r="I191" s="23">
        <f t="shared" si="62"/>
        <v>0</v>
      </c>
      <c r="J191" s="22"/>
      <c r="K191" s="7"/>
      <c r="L191" s="23">
        <f t="shared" si="63"/>
        <v>0</v>
      </c>
      <c r="M191" s="22"/>
      <c r="N191" s="7"/>
      <c r="O191" s="210">
        <f t="shared" si="64"/>
        <v>0</v>
      </c>
      <c r="P191" s="220"/>
      <c r="Q191" s="221">
        <f t="shared" si="58"/>
        <v>0</v>
      </c>
    </row>
    <row r="192" spans="1:17" ht="12.75" hidden="1">
      <c r="A192" s="37" t="s">
        <v>189</v>
      </c>
      <c r="B192" s="80">
        <v>33024</v>
      </c>
      <c r="C192" s="139"/>
      <c r="D192" s="128"/>
      <c r="E192" s="96"/>
      <c r="F192" s="190">
        <f t="shared" si="61"/>
        <v>0</v>
      </c>
      <c r="G192" s="261"/>
      <c r="H192" s="7"/>
      <c r="I192" s="23">
        <f t="shared" si="62"/>
        <v>0</v>
      </c>
      <c r="J192" s="22"/>
      <c r="K192" s="7"/>
      <c r="L192" s="23">
        <f t="shared" si="63"/>
        <v>0</v>
      </c>
      <c r="M192" s="22"/>
      <c r="N192" s="7"/>
      <c r="O192" s="210">
        <f t="shared" si="64"/>
        <v>0</v>
      </c>
      <c r="P192" s="220"/>
      <c r="Q192" s="221">
        <f t="shared" si="58"/>
        <v>0</v>
      </c>
    </row>
    <row r="193" spans="1:17" ht="12.75" hidden="1">
      <c r="A193" s="53" t="s">
        <v>148</v>
      </c>
      <c r="B193" s="80">
        <v>33018</v>
      </c>
      <c r="C193" s="139"/>
      <c r="D193" s="128"/>
      <c r="E193" s="96"/>
      <c r="F193" s="190">
        <f t="shared" si="61"/>
        <v>0</v>
      </c>
      <c r="G193" s="261"/>
      <c r="H193" s="7"/>
      <c r="I193" s="23">
        <f t="shared" si="62"/>
        <v>0</v>
      </c>
      <c r="J193" s="22"/>
      <c r="K193" s="7"/>
      <c r="L193" s="23">
        <f t="shared" si="63"/>
        <v>0</v>
      </c>
      <c r="M193" s="22"/>
      <c r="N193" s="7"/>
      <c r="O193" s="210">
        <f t="shared" si="64"/>
        <v>0</v>
      </c>
      <c r="P193" s="220"/>
      <c r="Q193" s="221">
        <f t="shared" si="58"/>
        <v>0</v>
      </c>
    </row>
    <row r="194" spans="1:17" ht="13.5" thickBot="1">
      <c r="A194" s="276" t="s">
        <v>350</v>
      </c>
      <c r="B194" s="271">
        <v>33352</v>
      </c>
      <c r="C194" s="272"/>
      <c r="D194" s="273">
        <f>13643.49</f>
        <v>13643.49</v>
      </c>
      <c r="E194" s="274"/>
      <c r="F194" s="275">
        <f t="shared" si="61"/>
        <v>13643.49</v>
      </c>
      <c r="G194" s="261"/>
      <c r="H194" s="7"/>
      <c r="I194" s="23">
        <f t="shared" si="62"/>
        <v>13643.49</v>
      </c>
      <c r="J194" s="22"/>
      <c r="K194" s="7"/>
      <c r="L194" s="23">
        <f t="shared" si="63"/>
        <v>13643.49</v>
      </c>
      <c r="M194" s="22"/>
      <c r="N194" s="7"/>
      <c r="O194" s="210">
        <f t="shared" si="64"/>
        <v>13643.49</v>
      </c>
      <c r="P194" s="220"/>
      <c r="Q194" s="221">
        <f t="shared" si="58"/>
        <v>13643.49</v>
      </c>
    </row>
    <row r="195" spans="1:17" ht="12.75" hidden="1">
      <c r="A195" s="53" t="s">
        <v>166</v>
      </c>
      <c r="B195" s="80">
        <v>33160</v>
      </c>
      <c r="C195" s="139"/>
      <c r="D195" s="128"/>
      <c r="E195" s="96"/>
      <c r="F195" s="190">
        <f t="shared" si="61"/>
        <v>0</v>
      </c>
      <c r="G195" s="261"/>
      <c r="H195" s="7"/>
      <c r="I195" s="23">
        <f t="shared" si="62"/>
        <v>0</v>
      </c>
      <c r="J195" s="22"/>
      <c r="K195" s="7"/>
      <c r="L195" s="23">
        <f t="shared" si="63"/>
        <v>0</v>
      </c>
      <c r="M195" s="22"/>
      <c r="N195" s="7"/>
      <c r="O195" s="210">
        <f t="shared" si="64"/>
        <v>0</v>
      </c>
      <c r="P195" s="220"/>
      <c r="Q195" s="221">
        <f t="shared" si="58"/>
        <v>0</v>
      </c>
    </row>
    <row r="196" spans="1:17" ht="12.75" hidden="1">
      <c r="A196" s="37" t="s">
        <v>136</v>
      </c>
      <c r="B196" s="80"/>
      <c r="C196" s="139"/>
      <c r="D196" s="128"/>
      <c r="E196" s="96"/>
      <c r="F196" s="190">
        <f t="shared" si="61"/>
        <v>0</v>
      </c>
      <c r="G196" s="261"/>
      <c r="H196" s="7"/>
      <c r="I196" s="23">
        <f t="shared" si="62"/>
        <v>0</v>
      </c>
      <c r="J196" s="22"/>
      <c r="K196" s="7"/>
      <c r="L196" s="23">
        <f t="shared" si="63"/>
        <v>0</v>
      </c>
      <c r="M196" s="22"/>
      <c r="N196" s="7"/>
      <c r="O196" s="210">
        <f t="shared" si="64"/>
        <v>0</v>
      </c>
      <c r="P196" s="220"/>
      <c r="Q196" s="221">
        <f t="shared" si="58"/>
        <v>0</v>
      </c>
    </row>
    <row r="197" spans="1:17" ht="12.75" hidden="1">
      <c r="A197" s="53" t="s">
        <v>307</v>
      </c>
      <c r="B197" s="80">
        <v>33086</v>
      </c>
      <c r="C197" s="139"/>
      <c r="D197" s="128"/>
      <c r="E197" s="96"/>
      <c r="F197" s="190">
        <f t="shared" si="61"/>
        <v>0</v>
      </c>
      <c r="G197" s="261"/>
      <c r="H197" s="7"/>
      <c r="I197" s="23">
        <f t="shared" si="62"/>
        <v>0</v>
      </c>
      <c r="J197" s="22"/>
      <c r="K197" s="7"/>
      <c r="L197" s="23">
        <f t="shared" si="63"/>
        <v>0</v>
      </c>
      <c r="M197" s="22"/>
      <c r="N197" s="7"/>
      <c r="O197" s="210">
        <f t="shared" si="64"/>
        <v>0</v>
      </c>
      <c r="P197" s="220"/>
      <c r="Q197" s="221">
        <f t="shared" si="58"/>
        <v>0</v>
      </c>
    </row>
    <row r="198" spans="1:17" ht="12.75" hidden="1">
      <c r="A198" s="53" t="s">
        <v>135</v>
      </c>
      <c r="B198" s="80"/>
      <c r="C198" s="139"/>
      <c r="D198" s="128"/>
      <c r="E198" s="96"/>
      <c r="F198" s="190">
        <f t="shared" si="61"/>
        <v>0</v>
      </c>
      <c r="G198" s="261"/>
      <c r="H198" s="7"/>
      <c r="I198" s="23">
        <f t="shared" si="62"/>
        <v>0</v>
      </c>
      <c r="J198" s="22"/>
      <c r="K198" s="7"/>
      <c r="L198" s="23">
        <f t="shared" si="63"/>
        <v>0</v>
      </c>
      <c r="M198" s="22"/>
      <c r="N198" s="7"/>
      <c r="O198" s="210">
        <f t="shared" si="64"/>
        <v>0</v>
      </c>
      <c r="P198" s="220"/>
      <c r="Q198" s="221">
        <f t="shared" si="58"/>
        <v>0</v>
      </c>
    </row>
    <row r="199" spans="1:17" ht="12.75" hidden="1">
      <c r="A199" s="37" t="s">
        <v>79</v>
      </c>
      <c r="B199" s="80">
        <v>33025</v>
      </c>
      <c r="C199" s="139"/>
      <c r="D199" s="128"/>
      <c r="E199" s="96"/>
      <c r="F199" s="190">
        <f t="shared" si="61"/>
        <v>0</v>
      </c>
      <c r="G199" s="261"/>
      <c r="H199" s="7"/>
      <c r="I199" s="23">
        <f t="shared" si="62"/>
        <v>0</v>
      </c>
      <c r="J199" s="22"/>
      <c r="K199" s="7"/>
      <c r="L199" s="23">
        <f t="shared" si="63"/>
        <v>0</v>
      </c>
      <c r="M199" s="22"/>
      <c r="N199" s="7"/>
      <c r="O199" s="210">
        <f t="shared" si="64"/>
        <v>0</v>
      </c>
      <c r="P199" s="220"/>
      <c r="Q199" s="221">
        <f t="shared" si="58"/>
        <v>0</v>
      </c>
    </row>
    <row r="200" spans="1:17" ht="12.75" hidden="1">
      <c r="A200" s="37" t="s">
        <v>156</v>
      </c>
      <c r="B200" s="80">
        <v>33038</v>
      </c>
      <c r="C200" s="139"/>
      <c r="D200" s="128"/>
      <c r="E200" s="96"/>
      <c r="F200" s="190">
        <f t="shared" si="61"/>
        <v>0</v>
      </c>
      <c r="G200" s="261"/>
      <c r="H200" s="7"/>
      <c r="I200" s="23">
        <f t="shared" si="62"/>
        <v>0</v>
      </c>
      <c r="J200" s="22"/>
      <c r="K200" s="7"/>
      <c r="L200" s="23">
        <f t="shared" si="63"/>
        <v>0</v>
      </c>
      <c r="M200" s="22"/>
      <c r="N200" s="7"/>
      <c r="O200" s="210">
        <f t="shared" si="64"/>
        <v>0</v>
      </c>
      <c r="P200" s="220"/>
      <c r="Q200" s="221">
        <f t="shared" si="58"/>
        <v>0</v>
      </c>
    </row>
    <row r="201" spans="1:17" ht="12.75">
      <c r="A201" s="37" t="s">
        <v>352</v>
      </c>
      <c r="B201" s="80">
        <v>33063</v>
      </c>
      <c r="C201" s="139"/>
      <c r="D201" s="128">
        <f>12646.55</f>
        <v>12646.55</v>
      </c>
      <c r="E201" s="96"/>
      <c r="F201" s="190">
        <f t="shared" si="61"/>
        <v>12646.55</v>
      </c>
      <c r="G201" s="261"/>
      <c r="H201" s="7"/>
      <c r="I201" s="23">
        <f t="shared" si="62"/>
        <v>12646.55</v>
      </c>
      <c r="J201" s="22"/>
      <c r="K201" s="7"/>
      <c r="L201" s="23">
        <f t="shared" si="63"/>
        <v>12646.55</v>
      </c>
      <c r="M201" s="22"/>
      <c r="N201" s="7"/>
      <c r="O201" s="210">
        <f t="shared" si="64"/>
        <v>12646.55</v>
      </c>
      <c r="P201" s="220"/>
      <c r="Q201" s="221">
        <f t="shared" si="58"/>
        <v>12646.55</v>
      </c>
    </row>
    <row r="202" spans="1:17" ht="12.75">
      <c r="A202" s="37" t="s">
        <v>346</v>
      </c>
      <c r="B202" s="80">
        <v>33167</v>
      </c>
      <c r="C202" s="139"/>
      <c r="D202" s="128">
        <f>15000</f>
        <v>15000</v>
      </c>
      <c r="E202" s="96"/>
      <c r="F202" s="190">
        <f t="shared" si="61"/>
        <v>15000</v>
      </c>
      <c r="G202" s="261"/>
      <c r="H202" s="7"/>
      <c r="I202" s="23"/>
      <c r="J202" s="22"/>
      <c r="K202" s="7"/>
      <c r="L202" s="23"/>
      <c r="M202" s="22"/>
      <c r="N202" s="7"/>
      <c r="O202" s="210"/>
      <c r="P202" s="220"/>
      <c r="Q202" s="221"/>
    </row>
    <row r="203" spans="1:17" ht="12.75" hidden="1">
      <c r="A203" s="37" t="s">
        <v>248</v>
      </c>
      <c r="B203" s="80" t="s">
        <v>249</v>
      </c>
      <c r="C203" s="139"/>
      <c r="D203" s="128"/>
      <c r="E203" s="96"/>
      <c r="F203" s="190">
        <f t="shared" si="61"/>
        <v>0</v>
      </c>
      <c r="G203" s="261"/>
      <c r="H203" s="7"/>
      <c r="I203" s="23">
        <f t="shared" si="62"/>
        <v>0</v>
      </c>
      <c r="J203" s="22"/>
      <c r="K203" s="7"/>
      <c r="L203" s="23">
        <f t="shared" si="63"/>
        <v>0</v>
      </c>
      <c r="M203" s="22"/>
      <c r="N203" s="7"/>
      <c r="O203" s="210">
        <f t="shared" si="64"/>
        <v>0</v>
      </c>
      <c r="P203" s="220"/>
      <c r="Q203" s="221">
        <f t="shared" si="58"/>
        <v>0</v>
      </c>
    </row>
    <row r="204" spans="1:17" ht="12.75" hidden="1">
      <c r="A204" s="37" t="s">
        <v>299</v>
      </c>
      <c r="B204" s="80"/>
      <c r="C204" s="139"/>
      <c r="D204" s="128"/>
      <c r="E204" s="96"/>
      <c r="F204" s="190">
        <f t="shared" si="61"/>
        <v>0</v>
      </c>
      <c r="G204" s="261"/>
      <c r="H204" s="7"/>
      <c r="I204" s="23">
        <f t="shared" si="62"/>
        <v>0</v>
      </c>
      <c r="J204" s="22"/>
      <c r="K204" s="7"/>
      <c r="L204" s="23">
        <f t="shared" si="63"/>
        <v>0</v>
      </c>
      <c r="M204" s="22"/>
      <c r="N204" s="7"/>
      <c r="O204" s="210">
        <f t="shared" si="64"/>
        <v>0</v>
      </c>
      <c r="P204" s="220"/>
      <c r="Q204" s="221">
        <f t="shared" si="58"/>
        <v>0</v>
      </c>
    </row>
    <row r="205" spans="1:17" ht="12.75">
      <c r="A205" s="37" t="s">
        <v>345</v>
      </c>
      <c r="B205" s="80">
        <v>95113</v>
      </c>
      <c r="C205" s="139"/>
      <c r="D205" s="128">
        <f>754.79</f>
        <v>754.79</v>
      </c>
      <c r="E205" s="96"/>
      <c r="F205" s="190">
        <f t="shared" si="61"/>
        <v>754.79</v>
      </c>
      <c r="G205" s="261"/>
      <c r="H205" s="7"/>
      <c r="I205" s="23"/>
      <c r="J205" s="22"/>
      <c r="K205" s="7"/>
      <c r="L205" s="23"/>
      <c r="M205" s="22"/>
      <c r="N205" s="7"/>
      <c r="O205" s="210"/>
      <c r="P205" s="220"/>
      <c r="Q205" s="221"/>
    </row>
    <row r="206" spans="1:17" ht="12.75">
      <c r="A206" s="37" t="s">
        <v>326</v>
      </c>
      <c r="B206" s="80">
        <v>2054</v>
      </c>
      <c r="C206" s="139"/>
      <c r="D206" s="128">
        <f>3552.18</f>
        <v>3552.18</v>
      </c>
      <c r="E206" s="96"/>
      <c r="F206" s="190">
        <f t="shared" si="61"/>
        <v>3552.18</v>
      </c>
      <c r="G206" s="261"/>
      <c r="H206" s="7"/>
      <c r="I206" s="23">
        <f t="shared" si="62"/>
        <v>3552.18</v>
      </c>
      <c r="J206" s="22"/>
      <c r="K206" s="7"/>
      <c r="L206" s="23">
        <f t="shared" si="63"/>
        <v>3552.18</v>
      </c>
      <c r="M206" s="22"/>
      <c r="N206" s="7"/>
      <c r="O206" s="210">
        <f t="shared" si="64"/>
        <v>3552.18</v>
      </c>
      <c r="P206" s="220"/>
      <c r="Q206" s="221">
        <f t="shared" si="58"/>
        <v>3552.18</v>
      </c>
    </row>
    <row r="207" spans="1:17" ht="12.75">
      <c r="A207" s="37" t="s">
        <v>328</v>
      </c>
      <c r="B207" s="80"/>
      <c r="C207" s="139"/>
      <c r="D207" s="128">
        <f>2429.34</f>
        <v>2429.34</v>
      </c>
      <c r="E207" s="96"/>
      <c r="F207" s="190">
        <f t="shared" si="61"/>
        <v>2429.34</v>
      </c>
      <c r="G207" s="261"/>
      <c r="H207" s="7"/>
      <c r="I207" s="23"/>
      <c r="J207" s="22"/>
      <c r="K207" s="7"/>
      <c r="L207" s="23"/>
      <c r="M207" s="22"/>
      <c r="N207" s="7"/>
      <c r="O207" s="210"/>
      <c r="P207" s="220"/>
      <c r="Q207" s="221"/>
    </row>
    <row r="208" spans="1:17" ht="12.75">
      <c r="A208" s="37" t="s">
        <v>327</v>
      </c>
      <c r="B208" s="80">
        <v>2066</v>
      </c>
      <c r="C208" s="139"/>
      <c r="D208" s="128">
        <f>18909.29</f>
        <v>18909.29</v>
      </c>
      <c r="E208" s="96"/>
      <c r="F208" s="190">
        <f t="shared" si="61"/>
        <v>18909.29</v>
      </c>
      <c r="G208" s="261"/>
      <c r="H208" s="7"/>
      <c r="I208" s="23">
        <f t="shared" si="62"/>
        <v>18909.29</v>
      </c>
      <c r="J208" s="22"/>
      <c r="K208" s="7"/>
      <c r="L208" s="23">
        <f t="shared" si="63"/>
        <v>18909.29</v>
      </c>
      <c r="M208" s="22"/>
      <c r="N208" s="7"/>
      <c r="O208" s="210">
        <f t="shared" si="64"/>
        <v>18909.29</v>
      </c>
      <c r="P208" s="220"/>
      <c r="Q208" s="221">
        <f t="shared" si="58"/>
        <v>18909.29</v>
      </c>
    </row>
    <row r="209" spans="1:17" ht="12.75">
      <c r="A209" s="37" t="s">
        <v>72</v>
      </c>
      <c r="B209" s="135" t="s">
        <v>246</v>
      </c>
      <c r="C209" s="139">
        <v>6820</v>
      </c>
      <c r="D209" s="128">
        <f>2000+12054.72+345.99+3113.45+17829.24</f>
        <v>35343.4</v>
      </c>
      <c r="E209" s="96"/>
      <c r="F209" s="190">
        <f t="shared" si="61"/>
        <v>42163.4</v>
      </c>
      <c r="G209" s="261"/>
      <c r="H209" s="7"/>
      <c r="I209" s="23">
        <f>F209+G209+H209</f>
        <v>42163.4</v>
      </c>
      <c r="J209" s="22"/>
      <c r="K209" s="7"/>
      <c r="L209" s="23">
        <f t="shared" si="63"/>
        <v>42163.4</v>
      </c>
      <c r="M209" s="29"/>
      <c r="N209" s="7"/>
      <c r="O209" s="210">
        <f t="shared" si="64"/>
        <v>42163.4</v>
      </c>
      <c r="P209" s="220"/>
      <c r="Q209" s="221">
        <f t="shared" si="58"/>
        <v>42163.4</v>
      </c>
    </row>
    <row r="210" spans="1:17" ht="12.75">
      <c r="A210" s="37" t="s">
        <v>51</v>
      </c>
      <c r="B210" s="80"/>
      <c r="C210" s="139">
        <v>56295.41</v>
      </c>
      <c r="D210" s="128">
        <f>1474+6205.78+2500-16092.87+5000+20000+10000+6000</f>
        <v>35086.909999999996</v>
      </c>
      <c r="E210" s="96"/>
      <c r="F210" s="190">
        <f t="shared" si="61"/>
        <v>91382.32</v>
      </c>
      <c r="G210" s="261"/>
      <c r="H210" s="7"/>
      <c r="I210" s="23">
        <f>F210+G210+H210</f>
        <v>91382.32</v>
      </c>
      <c r="J210" s="22"/>
      <c r="K210" s="7"/>
      <c r="L210" s="23">
        <f>I210+J210+K210</f>
        <v>91382.32</v>
      </c>
      <c r="M210" s="29"/>
      <c r="N210" s="7"/>
      <c r="O210" s="210">
        <f>L210+M210+N210</f>
        <v>91382.32</v>
      </c>
      <c r="P210" s="220"/>
      <c r="Q210" s="221">
        <f t="shared" si="58"/>
        <v>91382.32</v>
      </c>
    </row>
    <row r="211" spans="1:17" ht="12.75">
      <c r="A211" s="40" t="s">
        <v>53</v>
      </c>
      <c r="B211" s="84"/>
      <c r="C211" s="144">
        <f>SUM(C213:C219)</f>
        <v>740</v>
      </c>
      <c r="D211" s="132">
        <f aca="true" t="shared" si="65" ref="D211:Q211">SUM(D213:D219)</f>
        <v>7627.6</v>
      </c>
      <c r="E211" s="106">
        <f t="shared" si="65"/>
        <v>0</v>
      </c>
      <c r="F211" s="194">
        <f t="shared" si="65"/>
        <v>8367.6</v>
      </c>
      <c r="G211" s="228">
        <f t="shared" si="65"/>
        <v>0</v>
      </c>
      <c r="H211" s="106">
        <f t="shared" si="65"/>
        <v>0</v>
      </c>
      <c r="I211" s="167">
        <f t="shared" si="65"/>
        <v>8367.6</v>
      </c>
      <c r="J211" s="105">
        <f t="shared" si="65"/>
        <v>0</v>
      </c>
      <c r="K211" s="106">
        <f t="shared" si="65"/>
        <v>0</v>
      </c>
      <c r="L211" s="167">
        <f t="shared" si="65"/>
        <v>8367.6</v>
      </c>
      <c r="M211" s="105">
        <f t="shared" si="65"/>
        <v>0</v>
      </c>
      <c r="N211" s="106">
        <f t="shared" si="65"/>
        <v>0</v>
      </c>
      <c r="O211" s="194">
        <f t="shared" si="65"/>
        <v>8367.6</v>
      </c>
      <c r="P211" s="228">
        <f t="shared" si="65"/>
        <v>0</v>
      </c>
      <c r="Q211" s="194">
        <f t="shared" si="65"/>
        <v>8367.6</v>
      </c>
    </row>
    <row r="212" spans="1:17" ht="12.75">
      <c r="A212" s="35" t="s">
        <v>26</v>
      </c>
      <c r="B212" s="80"/>
      <c r="C212" s="139"/>
      <c r="D212" s="128"/>
      <c r="E212" s="96"/>
      <c r="F212" s="190"/>
      <c r="G212" s="261"/>
      <c r="H212" s="7"/>
      <c r="I212" s="21"/>
      <c r="J212" s="22"/>
      <c r="K212" s="7"/>
      <c r="L212" s="21"/>
      <c r="M212" s="22"/>
      <c r="N212" s="7"/>
      <c r="O212" s="209"/>
      <c r="P212" s="220"/>
      <c r="Q212" s="221"/>
    </row>
    <row r="213" spans="1:17" ht="12.75">
      <c r="A213" s="37" t="s">
        <v>80</v>
      </c>
      <c r="B213" s="80"/>
      <c r="C213" s="139">
        <v>740</v>
      </c>
      <c r="D213" s="128">
        <f>591+424.61</f>
        <v>1015.61</v>
      </c>
      <c r="E213" s="96"/>
      <c r="F213" s="190">
        <f aca="true" t="shared" si="66" ref="F213:F219">C213+D213+E213</f>
        <v>1755.6100000000001</v>
      </c>
      <c r="G213" s="261"/>
      <c r="H213" s="7"/>
      <c r="I213" s="23">
        <f aca="true" t="shared" si="67" ref="I213:I219">F213+G213+H213</f>
        <v>1755.6100000000001</v>
      </c>
      <c r="J213" s="22"/>
      <c r="K213" s="7"/>
      <c r="L213" s="23">
        <f aca="true" t="shared" si="68" ref="L213:L219">I213+J213+K213</f>
        <v>1755.6100000000001</v>
      </c>
      <c r="M213" s="22"/>
      <c r="N213" s="7"/>
      <c r="O213" s="210">
        <f aca="true" t="shared" si="69" ref="O213:O219">L213+M213+N213</f>
        <v>1755.6100000000001</v>
      </c>
      <c r="P213" s="220"/>
      <c r="Q213" s="221">
        <f t="shared" si="58"/>
        <v>1755.6100000000001</v>
      </c>
    </row>
    <row r="214" spans="1:17" ht="12.75" hidden="1">
      <c r="A214" s="37" t="s">
        <v>248</v>
      </c>
      <c r="B214" s="80" t="s">
        <v>250</v>
      </c>
      <c r="C214" s="139"/>
      <c r="D214" s="128"/>
      <c r="E214" s="96"/>
      <c r="F214" s="190">
        <f t="shared" si="66"/>
        <v>0</v>
      </c>
      <c r="G214" s="261"/>
      <c r="H214" s="7"/>
      <c r="I214" s="23">
        <f t="shared" si="67"/>
        <v>0</v>
      </c>
      <c r="J214" s="22"/>
      <c r="K214" s="7"/>
      <c r="L214" s="23">
        <f t="shared" si="68"/>
        <v>0</v>
      </c>
      <c r="M214" s="22"/>
      <c r="N214" s="7"/>
      <c r="O214" s="210">
        <f t="shared" si="69"/>
        <v>0</v>
      </c>
      <c r="P214" s="220"/>
      <c r="Q214" s="221">
        <f t="shared" si="58"/>
        <v>0</v>
      </c>
    </row>
    <row r="215" spans="1:17" ht="12.75">
      <c r="A215" s="37" t="s">
        <v>327</v>
      </c>
      <c r="B215" s="80"/>
      <c r="C215" s="139"/>
      <c r="D215" s="128">
        <f>1918.64</f>
        <v>1918.64</v>
      </c>
      <c r="E215" s="96"/>
      <c r="F215" s="190">
        <f t="shared" si="66"/>
        <v>1918.64</v>
      </c>
      <c r="G215" s="261"/>
      <c r="H215" s="7"/>
      <c r="I215" s="23">
        <f t="shared" si="67"/>
        <v>1918.64</v>
      </c>
      <c r="J215" s="22"/>
      <c r="K215" s="7"/>
      <c r="L215" s="23">
        <f t="shared" si="68"/>
        <v>1918.64</v>
      </c>
      <c r="M215" s="22"/>
      <c r="N215" s="7"/>
      <c r="O215" s="210">
        <f t="shared" si="69"/>
        <v>1918.64</v>
      </c>
      <c r="P215" s="220"/>
      <c r="Q215" s="221">
        <f t="shared" si="58"/>
        <v>1918.64</v>
      </c>
    </row>
    <row r="216" spans="1:17" ht="12.75" hidden="1">
      <c r="A216" s="37" t="s">
        <v>65</v>
      </c>
      <c r="B216" s="80"/>
      <c r="C216" s="139"/>
      <c r="D216" s="128"/>
      <c r="E216" s="96"/>
      <c r="F216" s="190">
        <f t="shared" si="66"/>
        <v>0</v>
      </c>
      <c r="G216" s="261"/>
      <c r="H216" s="7"/>
      <c r="I216" s="23">
        <f t="shared" si="67"/>
        <v>0</v>
      </c>
      <c r="J216" s="22"/>
      <c r="K216" s="7"/>
      <c r="L216" s="23">
        <f t="shared" si="68"/>
        <v>0</v>
      </c>
      <c r="M216" s="22"/>
      <c r="N216" s="7"/>
      <c r="O216" s="210">
        <f t="shared" si="69"/>
        <v>0</v>
      </c>
      <c r="P216" s="220"/>
      <c r="Q216" s="221">
        <f t="shared" si="58"/>
        <v>0</v>
      </c>
    </row>
    <row r="217" spans="1:17" ht="12.75" hidden="1">
      <c r="A217" s="37" t="s">
        <v>81</v>
      </c>
      <c r="B217" s="80"/>
      <c r="C217" s="139"/>
      <c r="D217" s="128"/>
      <c r="E217" s="96"/>
      <c r="F217" s="190">
        <f t="shared" si="66"/>
        <v>0</v>
      </c>
      <c r="G217" s="261"/>
      <c r="H217" s="7"/>
      <c r="I217" s="23">
        <f t="shared" si="67"/>
        <v>0</v>
      </c>
      <c r="J217" s="22"/>
      <c r="K217" s="7"/>
      <c r="L217" s="23">
        <f t="shared" si="68"/>
        <v>0</v>
      </c>
      <c r="M217" s="22"/>
      <c r="N217" s="7"/>
      <c r="O217" s="210">
        <f t="shared" si="69"/>
        <v>0</v>
      </c>
      <c r="P217" s="220"/>
      <c r="Q217" s="221">
        <f t="shared" si="58"/>
        <v>0</v>
      </c>
    </row>
    <row r="218" spans="1:17" ht="12.75" hidden="1">
      <c r="A218" s="37" t="s">
        <v>54</v>
      </c>
      <c r="B218" s="80"/>
      <c r="C218" s="139"/>
      <c r="D218" s="128"/>
      <c r="E218" s="96"/>
      <c r="F218" s="190">
        <f t="shared" si="66"/>
        <v>0</v>
      </c>
      <c r="G218" s="261"/>
      <c r="H218" s="7"/>
      <c r="I218" s="23">
        <f t="shared" si="67"/>
        <v>0</v>
      </c>
      <c r="J218" s="22"/>
      <c r="K218" s="9"/>
      <c r="L218" s="23">
        <f t="shared" si="68"/>
        <v>0</v>
      </c>
      <c r="M218" s="22"/>
      <c r="N218" s="7"/>
      <c r="O218" s="210">
        <f t="shared" si="69"/>
        <v>0</v>
      </c>
      <c r="P218" s="220"/>
      <c r="Q218" s="221">
        <f t="shared" si="58"/>
        <v>0</v>
      </c>
    </row>
    <row r="219" spans="1:17" ht="12.75">
      <c r="A219" s="43" t="s">
        <v>72</v>
      </c>
      <c r="B219" s="83"/>
      <c r="C219" s="253"/>
      <c r="D219" s="244">
        <f>4693.35</f>
        <v>4693.35</v>
      </c>
      <c r="E219" s="104"/>
      <c r="F219" s="195">
        <f t="shared" si="66"/>
        <v>4693.35</v>
      </c>
      <c r="G219" s="263"/>
      <c r="H219" s="10"/>
      <c r="I219" s="27">
        <f t="shared" si="67"/>
        <v>4693.35</v>
      </c>
      <c r="J219" s="26"/>
      <c r="K219" s="65"/>
      <c r="L219" s="27">
        <f t="shared" si="68"/>
        <v>4693.35</v>
      </c>
      <c r="M219" s="26"/>
      <c r="N219" s="10"/>
      <c r="O219" s="213">
        <f t="shared" si="69"/>
        <v>4693.35</v>
      </c>
      <c r="P219" s="229"/>
      <c r="Q219" s="230">
        <f t="shared" si="58"/>
        <v>4693.35</v>
      </c>
    </row>
    <row r="220" spans="1:17" ht="12.75">
      <c r="A220" s="30" t="s">
        <v>82</v>
      </c>
      <c r="B220" s="84"/>
      <c r="C220" s="138">
        <f>C221+C233</f>
        <v>753600.5</v>
      </c>
      <c r="D220" s="117">
        <f aca="true" t="shared" si="70" ref="D220:Q220">D221+D233</f>
        <v>66483.95</v>
      </c>
      <c r="E220" s="95">
        <f t="shared" si="70"/>
        <v>0</v>
      </c>
      <c r="F220" s="189">
        <f t="shared" si="70"/>
        <v>820084.45</v>
      </c>
      <c r="G220" s="219">
        <f t="shared" si="70"/>
        <v>0</v>
      </c>
      <c r="H220" s="95">
        <f t="shared" si="70"/>
        <v>0</v>
      </c>
      <c r="I220" s="162">
        <f t="shared" si="70"/>
        <v>820084.45</v>
      </c>
      <c r="J220" s="94">
        <f t="shared" si="70"/>
        <v>0</v>
      </c>
      <c r="K220" s="95">
        <f t="shared" si="70"/>
        <v>0</v>
      </c>
      <c r="L220" s="162">
        <f t="shared" si="70"/>
        <v>820084.45</v>
      </c>
      <c r="M220" s="94">
        <f t="shared" si="70"/>
        <v>0</v>
      </c>
      <c r="N220" s="95">
        <f t="shared" si="70"/>
        <v>0</v>
      </c>
      <c r="O220" s="189">
        <f t="shared" si="70"/>
        <v>820084.45</v>
      </c>
      <c r="P220" s="219">
        <f t="shared" si="70"/>
        <v>0</v>
      </c>
      <c r="Q220" s="189">
        <f t="shared" si="70"/>
        <v>820084.45</v>
      </c>
    </row>
    <row r="221" spans="1:17" ht="12.75">
      <c r="A221" s="39" t="s">
        <v>49</v>
      </c>
      <c r="B221" s="84"/>
      <c r="C221" s="143">
        <f>SUM(C223:C232)</f>
        <v>753600.5</v>
      </c>
      <c r="D221" s="131">
        <f aca="true" t="shared" si="71" ref="D221:Q221">SUM(D223:D232)</f>
        <v>65515</v>
      </c>
      <c r="E221" s="103">
        <f t="shared" si="71"/>
        <v>0</v>
      </c>
      <c r="F221" s="193">
        <f t="shared" si="71"/>
        <v>819115.5</v>
      </c>
      <c r="G221" s="227">
        <f t="shared" si="71"/>
        <v>0</v>
      </c>
      <c r="H221" s="103">
        <f t="shared" si="71"/>
        <v>0</v>
      </c>
      <c r="I221" s="166">
        <f t="shared" si="71"/>
        <v>819115.5</v>
      </c>
      <c r="J221" s="102">
        <f t="shared" si="71"/>
        <v>0</v>
      </c>
      <c r="K221" s="103">
        <f t="shared" si="71"/>
        <v>0</v>
      </c>
      <c r="L221" s="166">
        <f t="shared" si="71"/>
        <v>819115.5</v>
      </c>
      <c r="M221" s="102">
        <f t="shared" si="71"/>
        <v>0</v>
      </c>
      <c r="N221" s="103">
        <f t="shared" si="71"/>
        <v>0</v>
      </c>
      <c r="O221" s="193">
        <f t="shared" si="71"/>
        <v>819115.5</v>
      </c>
      <c r="P221" s="227">
        <f t="shared" si="71"/>
        <v>0</v>
      </c>
      <c r="Q221" s="193">
        <f t="shared" si="71"/>
        <v>819115.5</v>
      </c>
    </row>
    <row r="222" spans="1:17" ht="12.75">
      <c r="A222" s="35" t="s">
        <v>26</v>
      </c>
      <c r="B222" s="80"/>
      <c r="C222" s="139"/>
      <c r="D222" s="128"/>
      <c r="E222" s="96"/>
      <c r="F222" s="189"/>
      <c r="G222" s="261"/>
      <c r="H222" s="7"/>
      <c r="I222" s="21"/>
      <c r="J222" s="22"/>
      <c r="K222" s="7"/>
      <c r="L222" s="21"/>
      <c r="M222" s="22"/>
      <c r="N222" s="7"/>
      <c r="O222" s="209"/>
      <c r="P222" s="220"/>
      <c r="Q222" s="221"/>
    </row>
    <row r="223" spans="1:17" ht="12.75">
      <c r="A223" s="32" t="s">
        <v>69</v>
      </c>
      <c r="B223" s="80"/>
      <c r="C223" s="139">
        <v>371000</v>
      </c>
      <c r="D223" s="128">
        <f>1095</f>
        <v>1095</v>
      </c>
      <c r="E223" s="96"/>
      <c r="F223" s="190">
        <f aca="true" t="shared" si="72" ref="F223:F232">C223+D223+E223</f>
        <v>372095</v>
      </c>
      <c r="G223" s="261"/>
      <c r="H223" s="7"/>
      <c r="I223" s="23">
        <f aca="true" t="shared" si="73" ref="I223:I232">F223+G223+H223</f>
        <v>372095</v>
      </c>
      <c r="J223" s="22"/>
      <c r="K223" s="7"/>
      <c r="L223" s="23">
        <f aca="true" t="shared" si="74" ref="L223:L232">I223+J223+K223</f>
        <v>372095</v>
      </c>
      <c r="M223" s="22"/>
      <c r="N223" s="7"/>
      <c r="O223" s="210">
        <f aca="true" t="shared" si="75" ref="O223:O232">L223+M223+N223</f>
        <v>372095</v>
      </c>
      <c r="P223" s="220"/>
      <c r="Q223" s="221">
        <f>O223+P223</f>
        <v>372095</v>
      </c>
    </row>
    <row r="224" spans="1:17" ht="12.75" hidden="1">
      <c r="A224" s="81" t="s">
        <v>195</v>
      </c>
      <c r="B224" s="80"/>
      <c r="C224" s="139"/>
      <c r="D224" s="128"/>
      <c r="E224" s="96"/>
      <c r="F224" s="190">
        <f t="shared" si="72"/>
        <v>0</v>
      </c>
      <c r="G224" s="261"/>
      <c r="H224" s="7"/>
      <c r="I224" s="23">
        <f t="shared" si="73"/>
        <v>0</v>
      </c>
      <c r="J224" s="22"/>
      <c r="K224" s="7"/>
      <c r="L224" s="23">
        <f t="shared" si="74"/>
        <v>0</v>
      </c>
      <c r="M224" s="22"/>
      <c r="N224" s="7"/>
      <c r="O224" s="210">
        <f t="shared" si="75"/>
        <v>0</v>
      </c>
      <c r="P224" s="220"/>
      <c r="Q224" s="221">
        <f aca="true" t="shared" si="76" ref="Q224:Q231">O224+P224</f>
        <v>0</v>
      </c>
    </row>
    <row r="225" spans="1:17" ht="12.75">
      <c r="A225" s="37" t="s">
        <v>62</v>
      </c>
      <c r="B225" s="80"/>
      <c r="C225" s="139">
        <v>231476</v>
      </c>
      <c r="D225" s="128">
        <f>60000</f>
        <v>60000</v>
      </c>
      <c r="E225" s="96"/>
      <c r="F225" s="190">
        <f t="shared" si="72"/>
        <v>291476</v>
      </c>
      <c r="G225" s="261"/>
      <c r="H225" s="7"/>
      <c r="I225" s="23">
        <f t="shared" si="73"/>
        <v>291476</v>
      </c>
      <c r="J225" s="22"/>
      <c r="K225" s="7"/>
      <c r="L225" s="23">
        <f t="shared" si="74"/>
        <v>291476</v>
      </c>
      <c r="M225" s="22"/>
      <c r="N225" s="7"/>
      <c r="O225" s="210">
        <f t="shared" si="75"/>
        <v>291476</v>
      </c>
      <c r="P225" s="220"/>
      <c r="Q225" s="221">
        <f t="shared" si="76"/>
        <v>291476</v>
      </c>
    </row>
    <row r="226" spans="1:17" ht="12.75" hidden="1">
      <c r="A226" s="37" t="s">
        <v>162</v>
      </c>
      <c r="B226" s="80"/>
      <c r="C226" s="139">
        <v>0</v>
      </c>
      <c r="D226" s="180"/>
      <c r="E226" s="96"/>
      <c r="F226" s="190">
        <f t="shared" si="72"/>
        <v>0</v>
      </c>
      <c r="G226" s="261"/>
      <c r="H226" s="7"/>
      <c r="I226" s="23">
        <f t="shared" si="73"/>
        <v>0</v>
      </c>
      <c r="J226" s="22"/>
      <c r="K226" s="7"/>
      <c r="L226" s="23">
        <f t="shared" si="74"/>
        <v>0</v>
      </c>
      <c r="M226" s="22"/>
      <c r="N226" s="7"/>
      <c r="O226" s="210">
        <f t="shared" si="75"/>
        <v>0</v>
      </c>
      <c r="P226" s="220"/>
      <c r="Q226" s="221">
        <f t="shared" si="76"/>
        <v>0</v>
      </c>
    </row>
    <row r="227" spans="1:17" ht="12.75">
      <c r="A227" s="37" t="s">
        <v>51</v>
      </c>
      <c r="B227" s="80"/>
      <c r="C227" s="145">
        <v>151124.5</v>
      </c>
      <c r="D227" s="128">
        <f>100+100+1000</f>
        <v>1200</v>
      </c>
      <c r="E227" s="96"/>
      <c r="F227" s="190">
        <f t="shared" si="72"/>
        <v>152324.5</v>
      </c>
      <c r="G227" s="261"/>
      <c r="H227" s="7"/>
      <c r="I227" s="23">
        <f t="shared" si="73"/>
        <v>152324.5</v>
      </c>
      <c r="J227" s="22"/>
      <c r="K227" s="7"/>
      <c r="L227" s="23">
        <f t="shared" si="74"/>
        <v>152324.5</v>
      </c>
      <c r="M227" s="22"/>
      <c r="N227" s="7"/>
      <c r="O227" s="210">
        <f t="shared" si="75"/>
        <v>152324.5</v>
      </c>
      <c r="P227" s="220"/>
      <c r="Q227" s="221">
        <f t="shared" si="76"/>
        <v>152324.5</v>
      </c>
    </row>
    <row r="228" spans="1:17" ht="12.75" hidden="1">
      <c r="A228" s="37" t="s">
        <v>73</v>
      </c>
      <c r="B228" s="80"/>
      <c r="C228" s="145"/>
      <c r="D228" s="128"/>
      <c r="E228" s="96"/>
      <c r="F228" s="190">
        <f t="shared" si="72"/>
        <v>0</v>
      </c>
      <c r="G228" s="261"/>
      <c r="H228" s="7"/>
      <c r="I228" s="23">
        <f t="shared" si="73"/>
        <v>0</v>
      </c>
      <c r="J228" s="22"/>
      <c r="K228" s="7"/>
      <c r="L228" s="23">
        <f t="shared" si="74"/>
        <v>0</v>
      </c>
      <c r="M228" s="22"/>
      <c r="N228" s="7"/>
      <c r="O228" s="210">
        <f t="shared" si="75"/>
        <v>0</v>
      </c>
      <c r="P228" s="220"/>
      <c r="Q228" s="221">
        <f t="shared" si="76"/>
        <v>0</v>
      </c>
    </row>
    <row r="229" spans="1:17" ht="12.75">
      <c r="A229" s="53" t="s">
        <v>351</v>
      </c>
      <c r="B229" s="80">
        <v>35026</v>
      </c>
      <c r="C229" s="145"/>
      <c r="D229" s="128">
        <f>1096+224</f>
        <v>1320</v>
      </c>
      <c r="E229" s="96"/>
      <c r="F229" s="190">
        <f t="shared" si="72"/>
        <v>1320</v>
      </c>
      <c r="G229" s="261"/>
      <c r="H229" s="7"/>
      <c r="I229" s="23">
        <f t="shared" si="73"/>
        <v>1320</v>
      </c>
      <c r="J229" s="22"/>
      <c r="K229" s="7"/>
      <c r="L229" s="23">
        <f t="shared" si="74"/>
        <v>1320</v>
      </c>
      <c r="M229" s="22"/>
      <c r="N229" s="7"/>
      <c r="O229" s="210">
        <f t="shared" si="75"/>
        <v>1320</v>
      </c>
      <c r="P229" s="220"/>
      <c r="Q229" s="221">
        <f t="shared" si="76"/>
        <v>1320</v>
      </c>
    </row>
    <row r="230" spans="1:17" ht="12.75">
      <c r="A230" s="37" t="s">
        <v>255</v>
      </c>
      <c r="B230" s="80">
        <v>35018</v>
      </c>
      <c r="C230" s="145"/>
      <c r="D230" s="128">
        <f>1900</f>
        <v>1900</v>
      </c>
      <c r="E230" s="96"/>
      <c r="F230" s="190">
        <f t="shared" si="72"/>
        <v>1900</v>
      </c>
      <c r="G230" s="261"/>
      <c r="H230" s="7"/>
      <c r="I230" s="23">
        <f t="shared" si="73"/>
        <v>1900</v>
      </c>
      <c r="J230" s="22"/>
      <c r="K230" s="7"/>
      <c r="L230" s="23">
        <f t="shared" si="74"/>
        <v>1900</v>
      </c>
      <c r="M230" s="22"/>
      <c r="N230" s="7"/>
      <c r="O230" s="210">
        <f t="shared" si="75"/>
        <v>1900</v>
      </c>
      <c r="P230" s="220"/>
      <c r="Q230" s="221">
        <f t="shared" si="76"/>
        <v>1900</v>
      </c>
    </row>
    <row r="231" spans="1:17" ht="12.75" hidden="1">
      <c r="A231" s="37" t="s">
        <v>282</v>
      </c>
      <c r="B231" s="80"/>
      <c r="C231" s="145"/>
      <c r="D231" s="128"/>
      <c r="E231" s="96"/>
      <c r="F231" s="190">
        <f t="shared" si="72"/>
        <v>0</v>
      </c>
      <c r="G231" s="261"/>
      <c r="H231" s="7"/>
      <c r="I231" s="23">
        <f t="shared" si="73"/>
        <v>0</v>
      </c>
      <c r="J231" s="22"/>
      <c r="K231" s="7"/>
      <c r="L231" s="23">
        <f t="shared" si="74"/>
        <v>0</v>
      </c>
      <c r="M231" s="22"/>
      <c r="N231" s="7"/>
      <c r="O231" s="210">
        <f t="shared" si="75"/>
        <v>0</v>
      </c>
      <c r="P231" s="220"/>
      <c r="Q231" s="221">
        <f t="shared" si="76"/>
        <v>0</v>
      </c>
    </row>
    <row r="232" spans="1:17" ht="12.75" hidden="1">
      <c r="A232" s="37" t="s">
        <v>83</v>
      </c>
      <c r="B232" s="80"/>
      <c r="C232" s="139"/>
      <c r="D232" s="128"/>
      <c r="E232" s="96"/>
      <c r="F232" s="190">
        <f t="shared" si="72"/>
        <v>0</v>
      </c>
      <c r="G232" s="261"/>
      <c r="H232" s="7"/>
      <c r="I232" s="23">
        <f t="shared" si="73"/>
        <v>0</v>
      </c>
      <c r="J232" s="22"/>
      <c r="K232" s="7"/>
      <c r="L232" s="23">
        <f t="shared" si="74"/>
        <v>0</v>
      </c>
      <c r="M232" s="22"/>
      <c r="N232" s="7"/>
      <c r="O232" s="210">
        <f t="shared" si="75"/>
        <v>0</v>
      </c>
      <c r="P232" s="220"/>
      <c r="Q232" s="221">
        <f>O232+P232</f>
        <v>0</v>
      </c>
    </row>
    <row r="233" spans="1:17" ht="12.75">
      <c r="A233" s="39" t="s">
        <v>53</v>
      </c>
      <c r="B233" s="84"/>
      <c r="C233" s="143">
        <f>SUM(C235:C239)</f>
        <v>0</v>
      </c>
      <c r="D233" s="131">
        <f aca="true" t="shared" si="77" ref="D233:Q233">SUM(D235:D239)</f>
        <v>968.95</v>
      </c>
      <c r="E233" s="103">
        <f t="shared" si="77"/>
        <v>0</v>
      </c>
      <c r="F233" s="193">
        <f t="shared" si="77"/>
        <v>968.95</v>
      </c>
      <c r="G233" s="227">
        <f t="shared" si="77"/>
        <v>0</v>
      </c>
      <c r="H233" s="103">
        <f t="shared" si="77"/>
        <v>0</v>
      </c>
      <c r="I233" s="166">
        <f t="shared" si="77"/>
        <v>968.95</v>
      </c>
      <c r="J233" s="102">
        <f t="shared" si="77"/>
        <v>0</v>
      </c>
      <c r="K233" s="103">
        <f t="shared" si="77"/>
        <v>0</v>
      </c>
      <c r="L233" s="166">
        <f t="shared" si="77"/>
        <v>968.95</v>
      </c>
      <c r="M233" s="102">
        <f t="shared" si="77"/>
        <v>0</v>
      </c>
      <c r="N233" s="103">
        <f t="shared" si="77"/>
        <v>0</v>
      </c>
      <c r="O233" s="193">
        <f t="shared" si="77"/>
        <v>968.95</v>
      </c>
      <c r="P233" s="227">
        <f t="shared" si="77"/>
        <v>0</v>
      </c>
      <c r="Q233" s="193">
        <f t="shared" si="77"/>
        <v>968.95</v>
      </c>
    </row>
    <row r="234" spans="1:17" ht="12.75">
      <c r="A234" s="35" t="s">
        <v>26</v>
      </c>
      <c r="B234" s="80"/>
      <c r="C234" s="139"/>
      <c r="D234" s="128"/>
      <c r="E234" s="96"/>
      <c r="F234" s="190"/>
      <c r="G234" s="261"/>
      <c r="H234" s="7"/>
      <c r="I234" s="23"/>
      <c r="J234" s="22"/>
      <c r="K234" s="7"/>
      <c r="L234" s="23"/>
      <c r="M234" s="22"/>
      <c r="N234" s="7"/>
      <c r="O234" s="210"/>
      <c r="P234" s="220"/>
      <c r="Q234" s="221"/>
    </row>
    <row r="235" spans="1:17" ht="12.75" hidden="1">
      <c r="A235" s="37" t="s">
        <v>54</v>
      </c>
      <c r="B235" s="80"/>
      <c r="C235" s="139">
        <v>0</v>
      </c>
      <c r="D235" s="128"/>
      <c r="E235" s="96"/>
      <c r="F235" s="190">
        <f>C235+D235+E235</f>
        <v>0</v>
      </c>
      <c r="G235" s="261"/>
      <c r="H235" s="7"/>
      <c r="I235" s="23">
        <f>F235+G235+H235</f>
        <v>0</v>
      </c>
      <c r="J235" s="22"/>
      <c r="K235" s="7"/>
      <c r="L235" s="23">
        <f>I235+J235+K235</f>
        <v>0</v>
      </c>
      <c r="M235" s="22"/>
      <c r="N235" s="7"/>
      <c r="O235" s="210">
        <f>L235+M235+N235</f>
        <v>0</v>
      </c>
      <c r="P235" s="220"/>
      <c r="Q235" s="221">
        <f>O235+P235</f>
        <v>0</v>
      </c>
    </row>
    <row r="236" spans="1:17" ht="12.75">
      <c r="A236" s="43" t="s">
        <v>224</v>
      </c>
      <c r="B236" s="83"/>
      <c r="C236" s="253"/>
      <c r="D236" s="268">
        <f>968.95</f>
        <v>968.95</v>
      </c>
      <c r="E236" s="104"/>
      <c r="F236" s="195">
        <f>C236+D236+E236</f>
        <v>968.95</v>
      </c>
      <c r="G236" s="261"/>
      <c r="H236" s="7"/>
      <c r="I236" s="23">
        <f>F236+G236+H236</f>
        <v>968.95</v>
      </c>
      <c r="J236" s="22"/>
      <c r="K236" s="7"/>
      <c r="L236" s="23">
        <f>I236+J236+K236</f>
        <v>968.95</v>
      </c>
      <c r="M236" s="22"/>
      <c r="N236" s="7"/>
      <c r="O236" s="210">
        <f>L236+M236+N236</f>
        <v>968.95</v>
      </c>
      <c r="P236" s="220"/>
      <c r="Q236" s="221">
        <f>O236+P236</f>
        <v>968.95</v>
      </c>
    </row>
    <row r="237" spans="1:17" ht="12.75" hidden="1">
      <c r="A237" s="37" t="s">
        <v>65</v>
      </c>
      <c r="B237" s="80"/>
      <c r="C237" s="139"/>
      <c r="D237" s="128"/>
      <c r="E237" s="96"/>
      <c r="F237" s="190">
        <f>C237+D237+E237</f>
        <v>0</v>
      </c>
      <c r="G237" s="261"/>
      <c r="H237" s="7"/>
      <c r="I237" s="23">
        <f>F237+G237+H237</f>
        <v>0</v>
      </c>
      <c r="J237" s="22"/>
      <c r="K237" s="7"/>
      <c r="L237" s="23">
        <f>I237+J237+K237</f>
        <v>0</v>
      </c>
      <c r="M237" s="22"/>
      <c r="N237" s="7"/>
      <c r="O237" s="210">
        <f>L237+M237+N237</f>
        <v>0</v>
      </c>
      <c r="P237" s="220"/>
      <c r="Q237" s="221">
        <f>O237+P237</f>
        <v>0</v>
      </c>
    </row>
    <row r="238" spans="1:17" ht="12.75" hidden="1">
      <c r="A238" s="37" t="s">
        <v>197</v>
      </c>
      <c r="B238" s="80"/>
      <c r="C238" s="139"/>
      <c r="D238" s="128"/>
      <c r="E238" s="96"/>
      <c r="F238" s="190">
        <f>C238+D238+E238</f>
        <v>0</v>
      </c>
      <c r="G238" s="261"/>
      <c r="H238" s="7"/>
      <c r="I238" s="23">
        <f>F238+G238+H238</f>
        <v>0</v>
      </c>
      <c r="J238" s="22"/>
      <c r="K238" s="7"/>
      <c r="L238" s="23">
        <f>I238+J238+K238</f>
        <v>0</v>
      </c>
      <c r="M238" s="22"/>
      <c r="N238" s="7"/>
      <c r="O238" s="210">
        <f>L238+M238+N238</f>
        <v>0</v>
      </c>
      <c r="P238" s="220"/>
      <c r="Q238" s="221">
        <f>O238+P238</f>
        <v>0</v>
      </c>
    </row>
    <row r="239" spans="1:17" ht="12.75" hidden="1">
      <c r="A239" s="36" t="s">
        <v>73</v>
      </c>
      <c r="B239" s="83"/>
      <c r="C239" s="253"/>
      <c r="D239" s="244"/>
      <c r="E239" s="104"/>
      <c r="F239" s="195">
        <f>C239+D239+E239</f>
        <v>0</v>
      </c>
      <c r="G239" s="263"/>
      <c r="H239" s="10"/>
      <c r="I239" s="27">
        <f>F239+G239+H239</f>
        <v>0</v>
      </c>
      <c r="J239" s="26"/>
      <c r="K239" s="10"/>
      <c r="L239" s="27">
        <f>I239+J239+K239</f>
        <v>0</v>
      </c>
      <c r="M239" s="26"/>
      <c r="N239" s="10"/>
      <c r="O239" s="213">
        <f>L239+M239+N239</f>
        <v>0</v>
      </c>
      <c r="P239" s="229"/>
      <c r="Q239" s="230">
        <f>O239+P239</f>
        <v>0</v>
      </c>
    </row>
    <row r="240" spans="1:17" ht="12.75">
      <c r="A240" s="44" t="s">
        <v>288</v>
      </c>
      <c r="B240" s="85"/>
      <c r="C240" s="141">
        <f>C241+C255</f>
        <v>264482.6</v>
      </c>
      <c r="D240" s="129">
        <f aca="true" t="shared" si="78" ref="D240:Q240">D241+D255</f>
        <v>43534.76</v>
      </c>
      <c r="E240" s="99">
        <f t="shared" si="78"/>
        <v>0</v>
      </c>
      <c r="F240" s="191">
        <f t="shared" si="78"/>
        <v>308017.36</v>
      </c>
      <c r="G240" s="223">
        <f t="shared" si="78"/>
        <v>0</v>
      </c>
      <c r="H240" s="99">
        <f t="shared" si="78"/>
        <v>0</v>
      </c>
      <c r="I240" s="164">
        <f t="shared" si="78"/>
        <v>306010.49</v>
      </c>
      <c r="J240" s="98">
        <f t="shared" si="78"/>
        <v>0</v>
      </c>
      <c r="K240" s="99">
        <f t="shared" si="78"/>
        <v>0</v>
      </c>
      <c r="L240" s="164">
        <f t="shared" si="78"/>
        <v>306010.49</v>
      </c>
      <c r="M240" s="98">
        <f t="shared" si="78"/>
        <v>0</v>
      </c>
      <c r="N240" s="99">
        <f t="shared" si="78"/>
        <v>0</v>
      </c>
      <c r="O240" s="191">
        <f t="shared" si="78"/>
        <v>306010.49</v>
      </c>
      <c r="P240" s="223">
        <f t="shared" si="78"/>
        <v>0</v>
      </c>
      <c r="Q240" s="191">
        <f t="shared" si="78"/>
        <v>306010.49</v>
      </c>
    </row>
    <row r="241" spans="1:17" ht="12.75">
      <c r="A241" s="39" t="s">
        <v>49</v>
      </c>
      <c r="B241" s="84"/>
      <c r="C241" s="143">
        <f>SUM(C243:C254)</f>
        <v>261632.59999999998</v>
      </c>
      <c r="D241" s="131">
        <f aca="true" t="shared" si="79" ref="D241:Q241">SUM(D243:D254)</f>
        <v>41578.69</v>
      </c>
      <c r="E241" s="103">
        <f t="shared" si="79"/>
        <v>0</v>
      </c>
      <c r="F241" s="193">
        <f t="shared" si="79"/>
        <v>303211.29</v>
      </c>
      <c r="G241" s="227">
        <f t="shared" si="79"/>
        <v>0</v>
      </c>
      <c r="H241" s="103">
        <f t="shared" si="79"/>
        <v>0</v>
      </c>
      <c r="I241" s="166">
        <f t="shared" si="79"/>
        <v>302614.04</v>
      </c>
      <c r="J241" s="102">
        <f t="shared" si="79"/>
        <v>0</v>
      </c>
      <c r="K241" s="103">
        <f t="shared" si="79"/>
        <v>0</v>
      </c>
      <c r="L241" s="166">
        <f t="shared" si="79"/>
        <v>302614.04</v>
      </c>
      <c r="M241" s="102">
        <f t="shared" si="79"/>
        <v>0</v>
      </c>
      <c r="N241" s="103">
        <f t="shared" si="79"/>
        <v>0</v>
      </c>
      <c r="O241" s="193">
        <f t="shared" si="79"/>
        <v>302614.04</v>
      </c>
      <c r="P241" s="227">
        <f t="shared" si="79"/>
        <v>0</v>
      </c>
      <c r="Q241" s="193">
        <f t="shared" si="79"/>
        <v>302614.04</v>
      </c>
    </row>
    <row r="242" spans="1:17" ht="12.75">
      <c r="A242" s="35" t="s">
        <v>26</v>
      </c>
      <c r="B242" s="80"/>
      <c r="C242" s="139"/>
      <c r="D242" s="128"/>
      <c r="E242" s="96"/>
      <c r="F242" s="190"/>
      <c r="G242" s="261"/>
      <c r="H242" s="7"/>
      <c r="I242" s="23"/>
      <c r="J242" s="22"/>
      <c r="K242" s="7"/>
      <c r="L242" s="23"/>
      <c r="M242" s="22"/>
      <c r="N242" s="7"/>
      <c r="O242" s="210"/>
      <c r="P242" s="220"/>
      <c r="Q242" s="221"/>
    </row>
    <row r="243" spans="1:17" ht="12.75">
      <c r="A243" s="37" t="s">
        <v>69</v>
      </c>
      <c r="B243" s="80"/>
      <c r="C243" s="139">
        <v>216759.6</v>
      </c>
      <c r="D243" s="128">
        <f>6097.55+16268.2</f>
        <v>22365.75</v>
      </c>
      <c r="E243" s="96"/>
      <c r="F243" s="190">
        <f aca="true" t="shared" si="80" ref="F243:F254">C243+D243+E243</f>
        <v>239125.35</v>
      </c>
      <c r="G243" s="261"/>
      <c r="H243" s="7"/>
      <c r="I243" s="23">
        <f>F243+G243+H243</f>
        <v>239125.35</v>
      </c>
      <c r="J243" s="22"/>
      <c r="K243" s="7"/>
      <c r="L243" s="23">
        <f>I243+J243+K243</f>
        <v>239125.35</v>
      </c>
      <c r="M243" s="22"/>
      <c r="N243" s="7"/>
      <c r="O243" s="210">
        <f>L243+M243+N243</f>
        <v>239125.35</v>
      </c>
      <c r="P243" s="220"/>
      <c r="Q243" s="221">
        <f aca="true" t="shared" si="81" ref="Q243:Q254">O243+P243</f>
        <v>239125.35</v>
      </c>
    </row>
    <row r="244" spans="1:17" ht="12.75">
      <c r="A244" s="37" t="s">
        <v>51</v>
      </c>
      <c r="B244" s="80"/>
      <c r="C244" s="139">
        <v>41264.7</v>
      </c>
      <c r="D244" s="128">
        <f>-6327.4-1620+4067.47+1815.87+5209+550+3000+2500</f>
        <v>9194.94</v>
      </c>
      <c r="E244" s="96"/>
      <c r="F244" s="190">
        <f t="shared" si="80"/>
        <v>50459.64</v>
      </c>
      <c r="G244" s="261"/>
      <c r="H244" s="7"/>
      <c r="I244" s="23">
        <f aca="true" t="shared" si="82" ref="I244:I254">F244+G244+H244</f>
        <v>50459.64</v>
      </c>
      <c r="J244" s="22"/>
      <c r="K244" s="7"/>
      <c r="L244" s="23">
        <f aca="true" t="shared" si="83" ref="L244:L254">I244+J244+K244</f>
        <v>50459.64</v>
      </c>
      <c r="M244" s="22"/>
      <c r="N244" s="7"/>
      <c r="O244" s="210">
        <f aca="true" t="shared" si="84" ref="O244:O254">L244+M244+N244</f>
        <v>50459.64</v>
      </c>
      <c r="P244" s="220"/>
      <c r="Q244" s="221">
        <f t="shared" si="81"/>
        <v>50459.64</v>
      </c>
    </row>
    <row r="245" spans="1:17" ht="12.75">
      <c r="A245" s="37" t="s">
        <v>125</v>
      </c>
      <c r="B245" s="80"/>
      <c r="C245" s="139">
        <v>3608.3</v>
      </c>
      <c r="D245" s="128"/>
      <c r="E245" s="96"/>
      <c r="F245" s="190">
        <f t="shared" si="80"/>
        <v>3608.3</v>
      </c>
      <c r="G245" s="261"/>
      <c r="H245" s="7"/>
      <c r="I245" s="23">
        <f t="shared" si="82"/>
        <v>3608.3</v>
      </c>
      <c r="J245" s="22"/>
      <c r="K245" s="7"/>
      <c r="L245" s="23">
        <f t="shared" si="83"/>
        <v>3608.3</v>
      </c>
      <c r="M245" s="22"/>
      <c r="N245" s="7"/>
      <c r="O245" s="210">
        <f t="shared" si="84"/>
        <v>3608.3</v>
      </c>
      <c r="P245" s="220"/>
      <c r="Q245" s="221">
        <f t="shared" si="81"/>
        <v>3608.3</v>
      </c>
    </row>
    <row r="246" spans="1:17" ht="12.75">
      <c r="A246" s="37" t="s">
        <v>63</v>
      </c>
      <c r="B246" s="80"/>
      <c r="C246" s="139"/>
      <c r="D246" s="128">
        <f>6327.4+1620+1093.35</f>
        <v>9040.75</v>
      </c>
      <c r="E246" s="96"/>
      <c r="F246" s="190">
        <f t="shared" si="80"/>
        <v>9040.75</v>
      </c>
      <c r="G246" s="261"/>
      <c r="H246" s="7"/>
      <c r="I246" s="23">
        <f t="shared" si="82"/>
        <v>9040.75</v>
      </c>
      <c r="J246" s="22"/>
      <c r="K246" s="7"/>
      <c r="L246" s="23">
        <f t="shared" si="83"/>
        <v>9040.75</v>
      </c>
      <c r="M246" s="22"/>
      <c r="N246" s="7"/>
      <c r="O246" s="210">
        <f t="shared" si="84"/>
        <v>9040.75</v>
      </c>
      <c r="P246" s="220"/>
      <c r="Q246" s="221">
        <f t="shared" si="81"/>
        <v>9040.75</v>
      </c>
    </row>
    <row r="247" spans="1:17" ht="12.75" hidden="1">
      <c r="A247" s="37" t="s">
        <v>84</v>
      </c>
      <c r="B247" s="80">
        <v>34070</v>
      </c>
      <c r="C247" s="139"/>
      <c r="D247" s="128"/>
      <c r="E247" s="96"/>
      <c r="F247" s="190">
        <f t="shared" si="80"/>
        <v>0</v>
      </c>
      <c r="G247" s="261"/>
      <c r="H247" s="7"/>
      <c r="I247" s="23">
        <f t="shared" si="82"/>
        <v>0</v>
      </c>
      <c r="J247" s="22"/>
      <c r="K247" s="7"/>
      <c r="L247" s="23">
        <f t="shared" si="83"/>
        <v>0</v>
      </c>
      <c r="M247" s="22"/>
      <c r="N247" s="7"/>
      <c r="O247" s="210">
        <f t="shared" si="84"/>
        <v>0</v>
      </c>
      <c r="P247" s="220"/>
      <c r="Q247" s="221">
        <f t="shared" si="81"/>
        <v>0</v>
      </c>
    </row>
    <row r="248" spans="1:17" ht="12.75" hidden="1">
      <c r="A248" s="37" t="s">
        <v>85</v>
      </c>
      <c r="B248" s="80">
        <v>34053</v>
      </c>
      <c r="C248" s="139"/>
      <c r="D248" s="128"/>
      <c r="E248" s="96"/>
      <c r="F248" s="190">
        <f t="shared" si="80"/>
        <v>0</v>
      </c>
      <c r="G248" s="261"/>
      <c r="H248" s="7"/>
      <c r="I248" s="23">
        <f t="shared" si="82"/>
        <v>0</v>
      </c>
      <c r="J248" s="22"/>
      <c r="K248" s="7"/>
      <c r="L248" s="23">
        <f t="shared" si="83"/>
        <v>0</v>
      </c>
      <c r="M248" s="22"/>
      <c r="N248" s="7"/>
      <c r="O248" s="210">
        <f t="shared" si="84"/>
        <v>0</v>
      </c>
      <c r="P248" s="220"/>
      <c r="Q248" s="221">
        <f t="shared" si="81"/>
        <v>0</v>
      </c>
    </row>
    <row r="249" spans="1:17" ht="12.75">
      <c r="A249" s="37" t="s">
        <v>343</v>
      </c>
      <c r="B249" s="80">
        <v>34033</v>
      </c>
      <c r="C249" s="139"/>
      <c r="D249" s="128">
        <f>451.07</f>
        <v>451.07</v>
      </c>
      <c r="E249" s="96"/>
      <c r="F249" s="190">
        <f t="shared" si="80"/>
        <v>451.07</v>
      </c>
      <c r="G249" s="261"/>
      <c r="H249" s="7"/>
      <c r="I249" s="23"/>
      <c r="J249" s="22"/>
      <c r="K249" s="7"/>
      <c r="L249" s="23"/>
      <c r="M249" s="22"/>
      <c r="N249" s="7"/>
      <c r="O249" s="210"/>
      <c r="P249" s="220"/>
      <c r="Q249" s="221"/>
    </row>
    <row r="250" spans="1:17" ht="12.75">
      <c r="A250" s="37" t="s">
        <v>344</v>
      </c>
      <c r="B250" s="80">
        <v>17054</v>
      </c>
      <c r="C250" s="139"/>
      <c r="D250" s="128">
        <f>81.23</f>
        <v>81.23</v>
      </c>
      <c r="E250" s="96"/>
      <c r="F250" s="190">
        <f t="shared" si="80"/>
        <v>81.23</v>
      </c>
      <c r="G250" s="261"/>
      <c r="H250" s="7"/>
      <c r="I250" s="23"/>
      <c r="J250" s="22"/>
      <c r="K250" s="7"/>
      <c r="L250" s="23"/>
      <c r="M250" s="22"/>
      <c r="N250" s="7"/>
      <c r="O250" s="210"/>
      <c r="P250" s="220"/>
      <c r="Q250" s="221"/>
    </row>
    <row r="251" spans="1:17" ht="12.75" hidden="1">
      <c r="A251" s="37" t="s">
        <v>302</v>
      </c>
      <c r="B251" s="80"/>
      <c r="C251" s="139"/>
      <c r="D251" s="128"/>
      <c r="E251" s="96"/>
      <c r="F251" s="190">
        <f t="shared" si="80"/>
        <v>0</v>
      </c>
      <c r="G251" s="261"/>
      <c r="H251" s="7"/>
      <c r="I251" s="23">
        <f t="shared" si="82"/>
        <v>0</v>
      </c>
      <c r="J251" s="22"/>
      <c r="K251" s="7"/>
      <c r="L251" s="23">
        <f t="shared" si="83"/>
        <v>0</v>
      </c>
      <c r="M251" s="22"/>
      <c r="N251" s="7"/>
      <c r="O251" s="210">
        <f t="shared" si="84"/>
        <v>0</v>
      </c>
      <c r="P251" s="220"/>
      <c r="Q251" s="221">
        <f t="shared" si="81"/>
        <v>0</v>
      </c>
    </row>
    <row r="252" spans="1:17" ht="12.75">
      <c r="A252" s="37" t="s">
        <v>322</v>
      </c>
      <c r="B252" s="80"/>
      <c r="C252" s="139"/>
      <c r="D252" s="128">
        <f>55.21+9.74</f>
        <v>64.95</v>
      </c>
      <c r="E252" s="96"/>
      <c r="F252" s="190">
        <f t="shared" si="80"/>
        <v>64.95</v>
      </c>
      <c r="G252" s="261"/>
      <c r="H252" s="7"/>
      <c r="I252" s="23"/>
      <c r="J252" s="22"/>
      <c r="K252" s="7"/>
      <c r="L252" s="23"/>
      <c r="M252" s="22"/>
      <c r="N252" s="7"/>
      <c r="O252" s="210"/>
      <c r="P252" s="220"/>
      <c r="Q252" s="221"/>
    </row>
    <row r="253" spans="1:17" ht="12.75" hidden="1">
      <c r="A253" s="37" t="s">
        <v>254</v>
      </c>
      <c r="B253" s="80"/>
      <c r="C253" s="139"/>
      <c r="D253" s="128"/>
      <c r="E253" s="96"/>
      <c r="F253" s="190">
        <f t="shared" si="80"/>
        <v>0</v>
      </c>
      <c r="G253" s="261"/>
      <c r="H253" s="7"/>
      <c r="I253" s="23">
        <f t="shared" si="82"/>
        <v>0</v>
      </c>
      <c r="J253" s="22"/>
      <c r="K253" s="7"/>
      <c r="L253" s="23">
        <f t="shared" si="83"/>
        <v>0</v>
      </c>
      <c r="M253" s="22"/>
      <c r="N253" s="7"/>
      <c r="O253" s="210">
        <f t="shared" si="84"/>
        <v>0</v>
      </c>
      <c r="P253" s="220"/>
      <c r="Q253" s="221">
        <f t="shared" si="81"/>
        <v>0</v>
      </c>
    </row>
    <row r="254" spans="1:17" ht="12.75">
      <c r="A254" s="37" t="s">
        <v>73</v>
      </c>
      <c r="B254" s="80"/>
      <c r="C254" s="139"/>
      <c r="D254" s="128">
        <f>280+100</f>
        <v>380</v>
      </c>
      <c r="E254" s="96"/>
      <c r="F254" s="190">
        <f t="shared" si="80"/>
        <v>380</v>
      </c>
      <c r="G254" s="261"/>
      <c r="H254" s="7"/>
      <c r="I254" s="23">
        <f t="shared" si="82"/>
        <v>380</v>
      </c>
      <c r="J254" s="22"/>
      <c r="K254" s="7"/>
      <c r="L254" s="23">
        <f t="shared" si="83"/>
        <v>380</v>
      </c>
      <c r="M254" s="22"/>
      <c r="N254" s="7"/>
      <c r="O254" s="210">
        <f t="shared" si="84"/>
        <v>380</v>
      </c>
      <c r="P254" s="220"/>
      <c r="Q254" s="221">
        <f t="shared" si="81"/>
        <v>380</v>
      </c>
    </row>
    <row r="255" spans="1:17" ht="12.75">
      <c r="A255" s="39" t="s">
        <v>53</v>
      </c>
      <c r="B255" s="84"/>
      <c r="C255" s="143">
        <f>SUM(C257:C261)</f>
        <v>2850</v>
      </c>
      <c r="D255" s="131">
        <f aca="true" t="shared" si="85" ref="D255:Q255">SUM(D257:D261)</f>
        <v>1956.07</v>
      </c>
      <c r="E255" s="103">
        <f t="shared" si="85"/>
        <v>0</v>
      </c>
      <c r="F255" s="193">
        <f t="shared" si="85"/>
        <v>4806.07</v>
      </c>
      <c r="G255" s="227">
        <f t="shared" si="85"/>
        <v>0</v>
      </c>
      <c r="H255" s="103">
        <f t="shared" si="85"/>
        <v>0</v>
      </c>
      <c r="I255" s="166">
        <f t="shared" si="85"/>
        <v>3396.45</v>
      </c>
      <c r="J255" s="102">
        <f t="shared" si="85"/>
        <v>0</v>
      </c>
      <c r="K255" s="103">
        <f t="shared" si="85"/>
        <v>0</v>
      </c>
      <c r="L255" s="166">
        <f t="shared" si="85"/>
        <v>3396.45</v>
      </c>
      <c r="M255" s="102">
        <f t="shared" si="85"/>
        <v>0</v>
      </c>
      <c r="N255" s="103">
        <f t="shared" si="85"/>
        <v>0</v>
      </c>
      <c r="O255" s="193">
        <f t="shared" si="85"/>
        <v>3396.45</v>
      </c>
      <c r="P255" s="227">
        <f t="shared" si="85"/>
        <v>0</v>
      </c>
      <c r="Q255" s="193">
        <f t="shared" si="85"/>
        <v>3396.45</v>
      </c>
    </row>
    <row r="256" spans="1:17" ht="12.75">
      <c r="A256" s="35" t="s">
        <v>26</v>
      </c>
      <c r="B256" s="80"/>
      <c r="C256" s="139"/>
      <c r="D256" s="128"/>
      <c r="E256" s="96"/>
      <c r="F256" s="190"/>
      <c r="G256" s="261"/>
      <c r="H256" s="7"/>
      <c r="I256" s="23"/>
      <c r="J256" s="22"/>
      <c r="K256" s="7"/>
      <c r="L256" s="23"/>
      <c r="M256" s="22"/>
      <c r="N256" s="7"/>
      <c r="O256" s="210"/>
      <c r="P256" s="220"/>
      <c r="Q256" s="221"/>
    </row>
    <row r="257" spans="1:17" ht="12.75" hidden="1">
      <c r="A257" s="37" t="s">
        <v>85</v>
      </c>
      <c r="B257" s="80">
        <v>34544</v>
      </c>
      <c r="C257" s="139"/>
      <c r="D257" s="128"/>
      <c r="E257" s="96"/>
      <c r="F257" s="190">
        <f>C257+D257+E257</f>
        <v>0</v>
      </c>
      <c r="G257" s="261"/>
      <c r="H257" s="7"/>
      <c r="I257" s="23">
        <f>F257+G257+H257</f>
        <v>0</v>
      </c>
      <c r="J257" s="22"/>
      <c r="K257" s="7"/>
      <c r="L257" s="23">
        <f>I257+J257+K257</f>
        <v>0</v>
      </c>
      <c r="M257" s="22"/>
      <c r="N257" s="7"/>
      <c r="O257" s="210">
        <f>L257+M257+N257</f>
        <v>0</v>
      </c>
      <c r="P257" s="220"/>
      <c r="Q257" s="221">
        <f>O257+P257</f>
        <v>0</v>
      </c>
    </row>
    <row r="258" spans="1:17" ht="12.75">
      <c r="A258" s="37" t="s">
        <v>344</v>
      </c>
      <c r="B258" s="80">
        <v>17502</v>
      </c>
      <c r="C258" s="139"/>
      <c r="D258" s="128">
        <f>1409.62</f>
        <v>1409.62</v>
      </c>
      <c r="E258" s="96"/>
      <c r="F258" s="190">
        <f>C258+D258+E258</f>
        <v>1409.62</v>
      </c>
      <c r="G258" s="261"/>
      <c r="H258" s="7"/>
      <c r="I258" s="23"/>
      <c r="J258" s="22"/>
      <c r="K258" s="7"/>
      <c r="L258" s="23"/>
      <c r="M258" s="22"/>
      <c r="N258" s="7"/>
      <c r="O258" s="210"/>
      <c r="P258" s="220"/>
      <c r="Q258" s="221"/>
    </row>
    <row r="259" spans="1:17" ht="12.75">
      <c r="A259" s="78" t="s">
        <v>80</v>
      </c>
      <c r="B259" s="80"/>
      <c r="C259" s="139">
        <v>2850</v>
      </c>
      <c r="D259" s="180"/>
      <c r="E259" s="96"/>
      <c r="F259" s="190">
        <f>C259+D259+E259</f>
        <v>2850</v>
      </c>
      <c r="G259" s="261"/>
      <c r="H259" s="7"/>
      <c r="I259" s="23">
        <f>F259+G259+H259</f>
        <v>2850</v>
      </c>
      <c r="J259" s="22"/>
      <c r="K259" s="7"/>
      <c r="L259" s="23">
        <f>I259+J259+K259</f>
        <v>2850</v>
      </c>
      <c r="M259" s="22"/>
      <c r="N259" s="7"/>
      <c r="O259" s="210">
        <f>L259+M259+N259</f>
        <v>2850</v>
      </c>
      <c r="P259" s="220"/>
      <c r="Q259" s="221">
        <f>O259+P259</f>
        <v>2850</v>
      </c>
    </row>
    <row r="260" spans="1:17" ht="12.75">
      <c r="A260" s="78" t="s">
        <v>54</v>
      </c>
      <c r="B260" s="80"/>
      <c r="C260" s="139"/>
      <c r="D260" s="128">
        <f>242+54.45</f>
        <v>296.45</v>
      </c>
      <c r="E260" s="96"/>
      <c r="F260" s="190">
        <f>C260+D260+E260</f>
        <v>296.45</v>
      </c>
      <c r="G260" s="261"/>
      <c r="H260" s="7"/>
      <c r="I260" s="23">
        <f>F260+G260+H260</f>
        <v>296.45</v>
      </c>
      <c r="J260" s="22"/>
      <c r="K260" s="7"/>
      <c r="L260" s="23">
        <f>I260+J260+K260</f>
        <v>296.45</v>
      </c>
      <c r="M260" s="22"/>
      <c r="N260" s="7"/>
      <c r="O260" s="210">
        <f>L260+M260+N260</f>
        <v>296.45</v>
      </c>
      <c r="P260" s="220"/>
      <c r="Q260" s="221">
        <f>O260+P260</f>
        <v>296.45</v>
      </c>
    </row>
    <row r="261" spans="1:17" ht="12.75">
      <c r="A261" s="43" t="s">
        <v>73</v>
      </c>
      <c r="B261" s="83"/>
      <c r="C261" s="253"/>
      <c r="D261" s="244">
        <f>250</f>
        <v>250</v>
      </c>
      <c r="E261" s="104"/>
      <c r="F261" s="195">
        <f>C261+D261+E261</f>
        <v>250</v>
      </c>
      <c r="G261" s="263"/>
      <c r="H261" s="10"/>
      <c r="I261" s="27">
        <f>F261+G261+H261</f>
        <v>250</v>
      </c>
      <c r="J261" s="26"/>
      <c r="K261" s="10"/>
      <c r="L261" s="27">
        <f>I261+J261+K261</f>
        <v>250</v>
      </c>
      <c r="M261" s="68"/>
      <c r="N261" s="10"/>
      <c r="O261" s="213">
        <f>L261+M261+N261</f>
        <v>250</v>
      </c>
      <c r="P261" s="229"/>
      <c r="Q261" s="230">
        <f>O261+P261</f>
        <v>250</v>
      </c>
    </row>
    <row r="262" spans="1:25" ht="12.75">
      <c r="A262" s="30" t="s">
        <v>258</v>
      </c>
      <c r="B262" s="84"/>
      <c r="C262" s="138">
        <f>C263+C266</f>
        <v>1000</v>
      </c>
      <c r="D262" s="117">
        <f aca="true" t="shared" si="86" ref="D262:Q262">D263+D266</f>
        <v>0</v>
      </c>
      <c r="E262" s="95">
        <f t="shared" si="86"/>
        <v>0</v>
      </c>
      <c r="F262" s="189">
        <f t="shared" si="86"/>
        <v>1000</v>
      </c>
      <c r="G262" s="219">
        <f t="shared" si="86"/>
        <v>0</v>
      </c>
      <c r="H262" s="95">
        <f t="shared" si="86"/>
        <v>0</v>
      </c>
      <c r="I262" s="162">
        <f t="shared" si="86"/>
        <v>1000</v>
      </c>
      <c r="J262" s="94">
        <f t="shared" si="86"/>
        <v>0</v>
      </c>
      <c r="K262" s="95">
        <f t="shared" si="86"/>
        <v>0</v>
      </c>
      <c r="L262" s="162">
        <f t="shared" si="86"/>
        <v>1000</v>
      </c>
      <c r="M262" s="94">
        <f t="shared" si="86"/>
        <v>0</v>
      </c>
      <c r="N262" s="95">
        <f t="shared" si="86"/>
        <v>0</v>
      </c>
      <c r="O262" s="189">
        <f t="shared" si="86"/>
        <v>1000</v>
      </c>
      <c r="P262" s="219">
        <f t="shared" si="86"/>
        <v>0</v>
      </c>
      <c r="Q262" s="189">
        <f t="shared" si="86"/>
        <v>1000</v>
      </c>
      <c r="X262" s="140"/>
      <c r="Y262" s="121"/>
    </row>
    <row r="263" spans="1:17" ht="12.75">
      <c r="A263" s="39" t="s">
        <v>49</v>
      </c>
      <c r="B263" s="84"/>
      <c r="C263" s="143">
        <f>SUM(C265:C265)</f>
        <v>1000</v>
      </c>
      <c r="D263" s="131">
        <f aca="true" t="shared" si="87" ref="D263:Q263">SUM(D265:D265)</f>
        <v>0</v>
      </c>
      <c r="E263" s="103">
        <f t="shared" si="87"/>
        <v>0</v>
      </c>
      <c r="F263" s="193">
        <f t="shared" si="87"/>
        <v>1000</v>
      </c>
      <c r="G263" s="227">
        <f t="shared" si="87"/>
        <v>0</v>
      </c>
      <c r="H263" s="103">
        <f t="shared" si="87"/>
        <v>0</v>
      </c>
      <c r="I263" s="166">
        <f t="shared" si="87"/>
        <v>1000</v>
      </c>
      <c r="J263" s="102">
        <f t="shared" si="87"/>
        <v>0</v>
      </c>
      <c r="K263" s="103">
        <f t="shared" si="87"/>
        <v>0</v>
      </c>
      <c r="L263" s="166">
        <f t="shared" si="87"/>
        <v>1000</v>
      </c>
      <c r="M263" s="102">
        <f t="shared" si="87"/>
        <v>0</v>
      </c>
      <c r="N263" s="103">
        <f t="shared" si="87"/>
        <v>0</v>
      </c>
      <c r="O263" s="193">
        <f t="shared" si="87"/>
        <v>1000</v>
      </c>
      <c r="P263" s="227">
        <f t="shared" si="87"/>
        <v>0</v>
      </c>
      <c r="Q263" s="193">
        <f t="shared" si="87"/>
        <v>1000</v>
      </c>
    </row>
    <row r="264" spans="1:17" ht="12.75">
      <c r="A264" s="35" t="s">
        <v>26</v>
      </c>
      <c r="B264" s="80"/>
      <c r="C264" s="139"/>
      <c r="D264" s="128"/>
      <c r="E264" s="96"/>
      <c r="F264" s="190"/>
      <c r="G264" s="261"/>
      <c r="H264" s="7"/>
      <c r="I264" s="23"/>
      <c r="J264" s="22"/>
      <c r="K264" s="7"/>
      <c r="L264" s="23"/>
      <c r="M264" s="29"/>
      <c r="N264" s="7"/>
      <c r="O264" s="210"/>
      <c r="P264" s="220"/>
      <c r="Q264" s="221"/>
    </row>
    <row r="265" spans="1:17" ht="12.75">
      <c r="A265" s="36" t="s">
        <v>51</v>
      </c>
      <c r="B265" s="83"/>
      <c r="C265" s="253">
        <v>1000</v>
      </c>
      <c r="D265" s="244"/>
      <c r="E265" s="104"/>
      <c r="F265" s="195">
        <f>C265+D265+E265</f>
        <v>1000</v>
      </c>
      <c r="G265" s="261"/>
      <c r="H265" s="7"/>
      <c r="I265" s="23">
        <f>F265+G265+H265</f>
        <v>1000</v>
      </c>
      <c r="J265" s="22"/>
      <c r="K265" s="7"/>
      <c r="L265" s="23">
        <f>I265+J265+K265</f>
        <v>1000</v>
      </c>
      <c r="M265" s="29"/>
      <c r="N265" s="7"/>
      <c r="O265" s="210">
        <f>L265+M265+N265</f>
        <v>1000</v>
      </c>
      <c r="P265" s="220"/>
      <c r="Q265" s="221">
        <f>O265+P265</f>
        <v>1000</v>
      </c>
    </row>
    <row r="266" spans="1:17" ht="12.75" hidden="1">
      <c r="A266" s="39" t="s">
        <v>53</v>
      </c>
      <c r="B266" s="84"/>
      <c r="C266" s="143">
        <f>C268</f>
        <v>0</v>
      </c>
      <c r="D266" s="131">
        <f aca="true" t="shared" si="88" ref="D266:Q266">D268</f>
        <v>0</v>
      </c>
      <c r="E266" s="103">
        <f t="shared" si="88"/>
        <v>0</v>
      </c>
      <c r="F266" s="193">
        <f t="shared" si="88"/>
        <v>0</v>
      </c>
      <c r="G266" s="227">
        <f t="shared" si="88"/>
        <v>0</v>
      </c>
      <c r="H266" s="103">
        <f t="shared" si="88"/>
        <v>0</v>
      </c>
      <c r="I266" s="166">
        <f t="shared" si="88"/>
        <v>0</v>
      </c>
      <c r="J266" s="102">
        <f t="shared" si="88"/>
        <v>0</v>
      </c>
      <c r="K266" s="103">
        <f t="shared" si="88"/>
        <v>0</v>
      </c>
      <c r="L266" s="166">
        <f t="shared" si="88"/>
        <v>0</v>
      </c>
      <c r="M266" s="102">
        <f t="shared" si="88"/>
        <v>0</v>
      </c>
      <c r="N266" s="103">
        <f t="shared" si="88"/>
        <v>0</v>
      </c>
      <c r="O266" s="193">
        <f t="shared" si="88"/>
        <v>0</v>
      </c>
      <c r="P266" s="227">
        <f t="shared" si="88"/>
        <v>0</v>
      </c>
      <c r="Q266" s="193">
        <f t="shared" si="88"/>
        <v>0</v>
      </c>
    </row>
    <row r="267" spans="1:17" ht="12.75" hidden="1">
      <c r="A267" s="35" t="s">
        <v>26</v>
      </c>
      <c r="B267" s="80"/>
      <c r="C267" s="139"/>
      <c r="D267" s="128"/>
      <c r="E267" s="96"/>
      <c r="F267" s="190"/>
      <c r="G267" s="261"/>
      <c r="H267" s="7"/>
      <c r="I267" s="23"/>
      <c r="J267" s="22"/>
      <c r="K267" s="7"/>
      <c r="L267" s="23"/>
      <c r="M267" s="22"/>
      <c r="N267" s="7"/>
      <c r="O267" s="210"/>
      <c r="P267" s="220"/>
      <c r="Q267" s="221"/>
    </row>
    <row r="268" spans="1:17" ht="12.75" hidden="1">
      <c r="A268" s="137" t="s">
        <v>54</v>
      </c>
      <c r="B268" s="83"/>
      <c r="C268" s="253"/>
      <c r="D268" s="244"/>
      <c r="E268" s="104"/>
      <c r="F268" s="195">
        <f>C268+D268+E268</f>
        <v>0</v>
      </c>
      <c r="G268" s="263"/>
      <c r="H268" s="10"/>
      <c r="I268" s="27">
        <f>F268+G268+H268</f>
        <v>0</v>
      </c>
      <c r="J268" s="26"/>
      <c r="K268" s="10"/>
      <c r="L268" s="27">
        <f>I268+J268+K268</f>
        <v>0</v>
      </c>
      <c r="M268" s="26"/>
      <c r="N268" s="10"/>
      <c r="O268" s="213">
        <f>L268+M268+N268</f>
        <v>0</v>
      </c>
      <c r="P268" s="229"/>
      <c r="Q268" s="230">
        <f>O268+P268</f>
        <v>0</v>
      </c>
    </row>
    <row r="269" spans="1:17" ht="12.75">
      <c r="A269" s="30" t="s">
        <v>48</v>
      </c>
      <c r="B269" s="82"/>
      <c r="C269" s="138">
        <f>C270+C283</f>
        <v>103456.29</v>
      </c>
      <c r="D269" s="117">
        <f aca="true" t="shared" si="89" ref="D269:Q269">D270+D283</f>
        <v>210179.7</v>
      </c>
      <c r="E269" s="95">
        <f t="shared" si="89"/>
        <v>0</v>
      </c>
      <c r="F269" s="189">
        <f t="shared" si="89"/>
        <v>313635.99</v>
      </c>
      <c r="G269" s="219">
        <f t="shared" si="89"/>
        <v>0</v>
      </c>
      <c r="H269" s="95">
        <f t="shared" si="89"/>
        <v>0</v>
      </c>
      <c r="I269" s="162">
        <f t="shared" si="89"/>
        <v>313635.99</v>
      </c>
      <c r="J269" s="94">
        <f t="shared" si="89"/>
        <v>0</v>
      </c>
      <c r="K269" s="95">
        <f t="shared" si="89"/>
        <v>0</v>
      </c>
      <c r="L269" s="162">
        <f t="shared" si="89"/>
        <v>313635.99</v>
      </c>
      <c r="M269" s="94">
        <f t="shared" si="89"/>
        <v>0</v>
      </c>
      <c r="N269" s="95">
        <f t="shared" si="89"/>
        <v>0</v>
      </c>
      <c r="O269" s="189">
        <f t="shared" si="89"/>
        <v>313635.99</v>
      </c>
      <c r="P269" s="219">
        <f t="shared" si="89"/>
        <v>0</v>
      </c>
      <c r="Q269" s="189">
        <f t="shared" si="89"/>
        <v>313635.99</v>
      </c>
    </row>
    <row r="270" spans="1:17" ht="12.75">
      <c r="A270" s="39" t="s">
        <v>49</v>
      </c>
      <c r="B270" s="82"/>
      <c r="C270" s="143">
        <f>SUM(C272:C282)</f>
        <v>102656.29</v>
      </c>
      <c r="D270" s="131">
        <f aca="true" t="shared" si="90" ref="D270:Q270">SUM(D272:D282)</f>
        <v>209979.7</v>
      </c>
      <c r="E270" s="103">
        <f t="shared" si="90"/>
        <v>0</v>
      </c>
      <c r="F270" s="193">
        <f t="shared" si="90"/>
        <v>312635.99</v>
      </c>
      <c r="G270" s="227">
        <f t="shared" si="90"/>
        <v>0</v>
      </c>
      <c r="H270" s="103">
        <f t="shared" si="90"/>
        <v>0</v>
      </c>
      <c r="I270" s="166">
        <f t="shared" si="90"/>
        <v>312635.99</v>
      </c>
      <c r="J270" s="102">
        <f t="shared" si="90"/>
        <v>0</v>
      </c>
      <c r="K270" s="103">
        <f t="shared" si="90"/>
        <v>0</v>
      </c>
      <c r="L270" s="166">
        <f t="shared" si="90"/>
        <v>312635.99</v>
      </c>
      <c r="M270" s="102">
        <f t="shared" si="90"/>
        <v>0</v>
      </c>
      <c r="N270" s="103">
        <f t="shared" si="90"/>
        <v>0</v>
      </c>
      <c r="O270" s="193">
        <f t="shared" si="90"/>
        <v>312635.99</v>
      </c>
      <c r="P270" s="227">
        <f t="shared" si="90"/>
        <v>0</v>
      </c>
      <c r="Q270" s="193">
        <f t="shared" si="90"/>
        <v>312635.99</v>
      </c>
    </row>
    <row r="271" spans="1:17" ht="12.75">
      <c r="A271" s="35" t="s">
        <v>26</v>
      </c>
      <c r="B271" s="67"/>
      <c r="C271" s="139"/>
      <c r="D271" s="128"/>
      <c r="E271" s="96"/>
      <c r="F271" s="190"/>
      <c r="G271" s="261"/>
      <c r="H271" s="7"/>
      <c r="I271" s="23"/>
      <c r="J271" s="22"/>
      <c r="K271" s="7"/>
      <c r="L271" s="23"/>
      <c r="M271" s="22"/>
      <c r="N271" s="7"/>
      <c r="O271" s="210"/>
      <c r="P271" s="220"/>
      <c r="Q271" s="221"/>
    </row>
    <row r="272" spans="1:17" ht="12.75">
      <c r="A272" s="33" t="s">
        <v>128</v>
      </c>
      <c r="B272" s="80"/>
      <c r="C272" s="139">
        <v>29177.47</v>
      </c>
      <c r="D272" s="180">
        <f>2540.4</f>
        <v>2540.4</v>
      </c>
      <c r="E272" s="96"/>
      <c r="F272" s="190">
        <f aca="true" t="shared" si="91" ref="F272:F282">C272+D272+E272</f>
        <v>31717.870000000003</v>
      </c>
      <c r="G272" s="261"/>
      <c r="H272" s="7"/>
      <c r="I272" s="23">
        <f>F272+G272+H272</f>
        <v>31717.870000000003</v>
      </c>
      <c r="J272" s="22"/>
      <c r="K272" s="7"/>
      <c r="L272" s="23">
        <f>I272+J272+K272</f>
        <v>31717.870000000003</v>
      </c>
      <c r="M272" s="22"/>
      <c r="N272" s="7"/>
      <c r="O272" s="210">
        <f>L272+M272+N272</f>
        <v>31717.870000000003</v>
      </c>
      <c r="P272" s="220"/>
      <c r="Q272" s="221">
        <f>O272+P272</f>
        <v>31717.870000000003</v>
      </c>
    </row>
    <row r="273" spans="1:17" ht="12.75">
      <c r="A273" s="33" t="s">
        <v>50</v>
      </c>
      <c r="B273" s="80"/>
      <c r="C273" s="139">
        <v>7487.34</v>
      </c>
      <c r="D273" s="128">
        <f>605</f>
        <v>605</v>
      </c>
      <c r="E273" s="96"/>
      <c r="F273" s="190">
        <f t="shared" si="91"/>
        <v>8092.34</v>
      </c>
      <c r="G273" s="261"/>
      <c r="H273" s="7"/>
      <c r="I273" s="23">
        <f aca="true" t="shared" si="92" ref="I273:I282">F273+G273+H273</f>
        <v>8092.34</v>
      </c>
      <c r="J273" s="22"/>
      <c r="K273" s="7"/>
      <c r="L273" s="23">
        <f aca="true" t="shared" si="93" ref="L273:L282">I273+J273+K273</f>
        <v>8092.34</v>
      </c>
      <c r="M273" s="22"/>
      <c r="N273" s="7"/>
      <c r="O273" s="210">
        <f aca="true" t="shared" si="94" ref="O273:O281">L273+M273+N273</f>
        <v>8092.34</v>
      </c>
      <c r="P273" s="220"/>
      <c r="Q273" s="221">
        <f aca="true" t="shared" si="95" ref="Q273:Q282">O273+P273</f>
        <v>8092.34</v>
      </c>
    </row>
    <row r="274" spans="1:17" ht="12.75">
      <c r="A274" s="33" t="s">
        <v>231</v>
      </c>
      <c r="B274" s="80"/>
      <c r="C274" s="139">
        <v>1450</v>
      </c>
      <c r="D274" s="128">
        <f>300</f>
        <v>300</v>
      </c>
      <c r="E274" s="96"/>
      <c r="F274" s="190">
        <f t="shared" si="91"/>
        <v>1750</v>
      </c>
      <c r="G274" s="261"/>
      <c r="H274" s="7"/>
      <c r="I274" s="23">
        <f t="shared" si="92"/>
        <v>1750</v>
      </c>
      <c r="J274" s="22"/>
      <c r="K274" s="7"/>
      <c r="L274" s="23">
        <f t="shared" si="93"/>
        <v>1750</v>
      </c>
      <c r="M274" s="22"/>
      <c r="N274" s="7"/>
      <c r="O274" s="210">
        <f t="shared" si="94"/>
        <v>1750</v>
      </c>
      <c r="P274" s="220"/>
      <c r="Q274" s="221">
        <f t="shared" si="95"/>
        <v>1750</v>
      </c>
    </row>
    <row r="275" spans="1:17" ht="12.75">
      <c r="A275" s="33" t="s">
        <v>51</v>
      </c>
      <c r="B275" s="80"/>
      <c r="C275" s="139">
        <v>15241.48</v>
      </c>
      <c r="D275" s="128">
        <f>2000+54.6</f>
        <v>2054.6</v>
      </c>
      <c r="E275" s="96"/>
      <c r="F275" s="190">
        <f t="shared" si="91"/>
        <v>17296.079999999998</v>
      </c>
      <c r="G275" s="261"/>
      <c r="H275" s="7"/>
      <c r="I275" s="23">
        <f t="shared" si="92"/>
        <v>17296.079999999998</v>
      </c>
      <c r="J275" s="22"/>
      <c r="K275" s="7"/>
      <c r="L275" s="23">
        <f t="shared" si="93"/>
        <v>17296.079999999998</v>
      </c>
      <c r="M275" s="22"/>
      <c r="N275" s="7"/>
      <c r="O275" s="210">
        <f t="shared" si="94"/>
        <v>17296.079999999998</v>
      </c>
      <c r="P275" s="220"/>
      <c r="Q275" s="221">
        <f t="shared" si="95"/>
        <v>17296.079999999998</v>
      </c>
    </row>
    <row r="276" spans="1:17" ht="12.75">
      <c r="A276" s="33" t="s">
        <v>73</v>
      </c>
      <c r="B276" s="80"/>
      <c r="C276" s="139"/>
      <c r="D276" s="128">
        <f>2404.19</f>
        <v>2404.19</v>
      </c>
      <c r="E276" s="96"/>
      <c r="F276" s="190">
        <f t="shared" si="91"/>
        <v>2404.19</v>
      </c>
      <c r="G276" s="261"/>
      <c r="H276" s="7"/>
      <c r="I276" s="23">
        <f t="shared" si="92"/>
        <v>2404.19</v>
      </c>
      <c r="J276" s="22"/>
      <c r="K276" s="7"/>
      <c r="L276" s="23">
        <f t="shared" si="93"/>
        <v>2404.19</v>
      </c>
      <c r="M276" s="22"/>
      <c r="N276" s="7"/>
      <c r="O276" s="210">
        <f t="shared" si="94"/>
        <v>2404.19</v>
      </c>
      <c r="P276" s="220"/>
      <c r="Q276" s="221">
        <f t="shared" si="95"/>
        <v>2404.19</v>
      </c>
    </row>
    <row r="277" spans="1:17" ht="12.75">
      <c r="A277" s="33" t="s">
        <v>325</v>
      </c>
      <c r="B277" s="80"/>
      <c r="C277" s="139">
        <v>35500</v>
      </c>
      <c r="D277" s="128">
        <f>88922.11+20000+32053.4+60000</f>
        <v>200975.51</v>
      </c>
      <c r="E277" s="96"/>
      <c r="F277" s="190">
        <f t="shared" si="91"/>
        <v>236475.51</v>
      </c>
      <c r="G277" s="261"/>
      <c r="H277" s="7"/>
      <c r="I277" s="23">
        <f t="shared" si="92"/>
        <v>236475.51</v>
      </c>
      <c r="J277" s="22"/>
      <c r="K277" s="7"/>
      <c r="L277" s="23">
        <f t="shared" si="93"/>
        <v>236475.51</v>
      </c>
      <c r="M277" s="22"/>
      <c r="N277" s="7"/>
      <c r="O277" s="210">
        <f t="shared" si="94"/>
        <v>236475.51</v>
      </c>
      <c r="P277" s="220"/>
      <c r="Q277" s="221">
        <f t="shared" si="95"/>
        <v>236475.51</v>
      </c>
    </row>
    <row r="278" spans="1:17" ht="12.75" hidden="1">
      <c r="A278" s="33" t="s">
        <v>286</v>
      </c>
      <c r="B278" s="80">
        <v>98032</v>
      </c>
      <c r="C278" s="139"/>
      <c r="D278" s="128"/>
      <c r="E278" s="96"/>
      <c r="F278" s="190">
        <f t="shared" si="91"/>
        <v>0</v>
      </c>
      <c r="G278" s="261"/>
      <c r="H278" s="7"/>
      <c r="I278" s="23">
        <f t="shared" si="92"/>
        <v>0</v>
      </c>
      <c r="J278" s="22"/>
      <c r="K278" s="7"/>
      <c r="L278" s="23">
        <f t="shared" si="93"/>
        <v>0</v>
      </c>
      <c r="M278" s="22"/>
      <c r="N278" s="7"/>
      <c r="O278" s="210">
        <f t="shared" si="94"/>
        <v>0</v>
      </c>
      <c r="P278" s="220"/>
      <c r="Q278" s="221">
        <f t="shared" si="95"/>
        <v>0</v>
      </c>
    </row>
    <row r="279" spans="1:17" ht="12.75">
      <c r="A279" s="33" t="s">
        <v>283</v>
      </c>
      <c r="B279" s="80"/>
      <c r="C279" s="139">
        <v>5000</v>
      </c>
      <c r="D279" s="128"/>
      <c r="E279" s="96"/>
      <c r="F279" s="190">
        <f t="shared" si="91"/>
        <v>5000</v>
      </c>
      <c r="G279" s="261"/>
      <c r="H279" s="7"/>
      <c r="I279" s="23">
        <f t="shared" si="92"/>
        <v>5000</v>
      </c>
      <c r="J279" s="22"/>
      <c r="K279" s="7"/>
      <c r="L279" s="23">
        <f t="shared" si="93"/>
        <v>5000</v>
      </c>
      <c r="M279" s="22"/>
      <c r="N279" s="7"/>
      <c r="O279" s="210">
        <f t="shared" si="94"/>
        <v>5000</v>
      </c>
      <c r="P279" s="220"/>
      <c r="Q279" s="221">
        <f t="shared" si="95"/>
        <v>5000</v>
      </c>
    </row>
    <row r="280" spans="1:17" ht="12.75">
      <c r="A280" s="33" t="s">
        <v>232</v>
      </c>
      <c r="B280" s="80"/>
      <c r="C280" s="139">
        <v>8200</v>
      </c>
      <c r="D280" s="128">
        <f>700</f>
        <v>700</v>
      </c>
      <c r="E280" s="96"/>
      <c r="F280" s="190">
        <f t="shared" si="91"/>
        <v>8900</v>
      </c>
      <c r="G280" s="261"/>
      <c r="H280" s="7"/>
      <c r="I280" s="23">
        <f t="shared" si="92"/>
        <v>8900</v>
      </c>
      <c r="J280" s="22"/>
      <c r="K280" s="7"/>
      <c r="L280" s="23">
        <f t="shared" si="93"/>
        <v>8900</v>
      </c>
      <c r="M280" s="22"/>
      <c r="N280" s="7"/>
      <c r="O280" s="210">
        <f t="shared" si="94"/>
        <v>8900</v>
      </c>
      <c r="P280" s="220"/>
      <c r="Q280" s="221">
        <f t="shared" si="95"/>
        <v>8900</v>
      </c>
    </row>
    <row r="281" spans="1:17" ht="12.75">
      <c r="A281" s="33" t="s">
        <v>233</v>
      </c>
      <c r="B281" s="80"/>
      <c r="C281" s="139">
        <v>600</v>
      </c>
      <c r="D281" s="128">
        <f>400</f>
        <v>400</v>
      </c>
      <c r="E281" s="96"/>
      <c r="F281" s="190">
        <f t="shared" si="91"/>
        <v>1000</v>
      </c>
      <c r="G281" s="261"/>
      <c r="H281" s="7"/>
      <c r="I281" s="23">
        <f t="shared" si="92"/>
        <v>1000</v>
      </c>
      <c r="J281" s="22"/>
      <c r="K281" s="7"/>
      <c r="L281" s="23">
        <f t="shared" si="93"/>
        <v>1000</v>
      </c>
      <c r="M281" s="22"/>
      <c r="N281" s="7"/>
      <c r="O281" s="210">
        <f t="shared" si="94"/>
        <v>1000</v>
      </c>
      <c r="P281" s="220"/>
      <c r="Q281" s="221">
        <f t="shared" si="95"/>
        <v>1000</v>
      </c>
    </row>
    <row r="282" spans="1:17" ht="12.75" hidden="1">
      <c r="A282" s="33" t="s">
        <v>52</v>
      </c>
      <c r="B282" s="80"/>
      <c r="C282" s="139"/>
      <c r="D282" s="128"/>
      <c r="E282" s="96"/>
      <c r="F282" s="190">
        <f t="shared" si="91"/>
        <v>0</v>
      </c>
      <c r="G282" s="261"/>
      <c r="H282" s="7"/>
      <c r="I282" s="23">
        <f t="shared" si="92"/>
        <v>0</v>
      </c>
      <c r="J282" s="22"/>
      <c r="K282" s="7"/>
      <c r="L282" s="23">
        <f t="shared" si="93"/>
        <v>0</v>
      </c>
      <c r="M282" s="22"/>
      <c r="N282" s="7"/>
      <c r="O282" s="210">
        <f>L282+M282+N282</f>
        <v>0</v>
      </c>
      <c r="P282" s="220"/>
      <c r="Q282" s="221">
        <f t="shared" si="95"/>
        <v>0</v>
      </c>
    </row>
    <row r="283" spans="1:17" ht="12.75">
      <c r="A283" s="40" t="s">
        <v>53</v>
      </c>
      <c r="B283" s="84"/>
      <c r="C283" s="144">
        <f aca="true" t="shared" si="96" ref="C283:Q283">SUM(C285:C289)</f>
        <v>800</v>
      </c>
      <c r="D283" s="132">
        <f t="shared" si="96"/>
        <v>200</v>
      </c>
      <c r="E283" s="106">
        <f t="shared" si="96"/>
        <v>0</v>
      </c>
      <c r="F283" s="194">
        <f t="shared" si="96"/>
        <v>1000</v>
      </c>
      <c r="G283" s="228">
        <f t="shared" si="96"/>
        <v>0</v>
      </c>
      <c r="H283" s="106">
        <f t="shared" si="96"/>
        <v>0</v>
      </c>
      <c r="I283" s="167">
        <f t="shared" si="96"/>
        <v>1000</v>
      </c>
      <c r="J283" s="105">
        <f t="shared" si="96"/>
        <v>0</v>
      </c>
      <c r="K283" s="106">
        <f t="shared" si="96"/>
        <v>0</v>
      </c>
      <c r="L283" s="167">
        <f t="shared" si="96"/>
        <v>1000</v>
      </c>
      <c r="M283" s="105">
        <f t="shared" si="96"/>
        <v>0</v>
      </c>
      <c r="N283" s="106">
        <f t="shared" si="96"/>
        <v>0</v>
      </c>
      <c r="O283" s="194">
        <f t="shared" si="96"/>
        <v>1000</v>
      </c>
      <c r="P283" s="228">
        <f t="shared" si="96"/>
        <v>0</v>
      </c>
      <c r="Q283" s="194">
        <f t="shared" si="96"/>
        <v>1000</v>
      </c>
    </row>
    <row r="284" spans="1:17" ht="12.75">
      <c r="A284" s="31" t="s">
        <v>26</v>
      </c>
      <c r="B284" s="80"/>
      <c r="C284" s="141"/>
      <c r="D284" s="129"/>
      <c r="E284" s="99"/>
      <c r="F284" s="191"/>
      <c r="G284" s="262"/>
      <c r="H284" s="8"/>
      <c r="I284" s="25"/>
      <c r="J284" s="24"/>
      <c r="K284" s="8"/>
      <c r="L284" s="25"/>
      <c r="M284" s="24"/>
      <c r="N284" s="8"/>
      <c r="O284" s="212"/>
      <c r="P284" s="220"/>
      <c r="Q284" s="221"/>
    </row>
    <row r="285" spans="1:17" ht="12.75" hidden="1">
      <c r="A285" s="33" t="s">
        <v>147</v>
      </c>
      <c r="B285" s="80"/>
      <c r="C285" s="139"/>
      <c r="D285" s="128"/>
      <c r="E285" s="96"/>
      <c r="F285" s="190">
        <f>C285+D285+E285</f>
        <v>0</v>
      </c>
      <c r="G285" s="261"/>
      <c r="H285" s="7"/>
      <c r="I285" s="23">
        <f>F285+G285+H285</f>
        <v>0</v>
      </c>
      <c r="J285" s="22"/>
      <c r="K285" s="7"/>
      <c r="L285" s="23">
        <f>I285+J285+K285</f>
        <v>0</v>
      </c>
      <c r="M285" s="22"/>
      <c r="N285" s="7"/>
      <c r="O285" s="210">
        <f>L285+M285+N285</f>
        <v>0</v>
      </c>
      <c r="P285" s="220"/>
      <c r="Q285" s="221">
        <f>O285+P285</f>
        <v>0</v>
      </c>
    </row>
    <row r="286" spans="1:17" ht="13.5" thickBot="1">
      <c r="A286" s="277" t="s">
        <v>232</v>
      </c>
      <c r="B286" s="271"/>
      <c r="C286" s="272">
        <v>800</v>
      </c>
      <c r="D286" s="273">
        <f>200</f>
        <v>200</v>
      </c>
      <c r="E286" s="274"/>
      <c r="F286" s="275">
        <f>C286+D286+E286</f>
        <v>1000</v>
      </c>
      <c r="G286" s="261"/>
      <c r="H286" s="7"/>
      <c r="I286" s="23">
        <f>F286+G286+H286</f>
        <v>1000</v>
      </c>
      <c r="J286" s="22"/>
      <c r="K286" s="7"/>
      <c r="L286" s="23">
        <f>I286+J286+K286</f>
        <v>1000</v>
      </c>
      <c r="M286" s="22"/>
      <c r="N286" s="7"/>
      <c r="O286" s="210">
        <f>L286+M286+N286</f>
        <v>1000</v>
      </c>
      <c r="P286" s="220"/>
      <c r="Q286" s="221">
        <f>O286+P286</f>
        <v>1000</v>
      </c>
    </row>
    <row r="287" spans="1:17" ht="12.75" hidden="1">
      <c r="A287" s="33" t="s">
        <v>233</v>
      </c>
      <c r="B287" s="80"/>
      <c r="C287" s="139"/>
      <c r="D287" s="128"/>
      <c r="E287" s="96"/>
      <c r="F287" s="190">
        <f>C287+D287+E287</f>
        <v>0</v>
      </c>
      <c r="G287" s="261"/>
      <c r="H287" s="7"/>
      <c r="I287" s="23">
        <f>F287+G287+H287</f>
        <v>0</v>
      </c>
      <c r="J287" s="22"/>
      <c r="K287" s="7"/>
      <c r="L287" s="23">
        <f>I287+J287+K287</f>
        <v>0</v>
      </c>
      <c r="M287" s="22"/>
      <c r="N287" s="7"/>
      <c r="O287" s="210">
        <f>L287+M287+N287</f>
        <v>0</v>
      </c>
      <c r="P287" s="220"/>
      <c r="Q287" s="221">
        <f>O287+P287</f>
        <v>0</v>
      </c>
    </row>
    <row r="288" spans="1:17" ht="12.75" hidden="1">
      <c r="A288" s="33" t="s">
        <v>52</v>
      </c>
      <c r="B288" s="80"/>
      <c r="C288" s="139"/>
      <c r="D288" s="128"/>
      <c r="E288" s="96"/>
      <c r="F288" s="190">
        <f>C288+D288+E288</f>
        <v>0</v>
      </c>
      <c r="G288" s="261"/>
      <c r="H288" s="7"/>
      <c r="I288" s="23">
        <f>F288+G288+H288</f>
        <v>0</v>
      </c>
      <c r="J288" s="22"/>
      <c r="K288" s="7"/>
      <c r="L288" s="23">
        <f>I288+J288+K288</f>
        <v>0</v>
      </c>
      <c r="M288" s="22"/>
      <c r="N288" s="7"/>
      <c r="O288" s="210">
        <f>L288+M288+N288</f>
        <v>0</v>
      </c>
      <c r="P288" s="220"/>
      <c r="Q288" s="221">
        <f>O288+P288</f>
        <v>0</v>
      </c>
    </row>
    <row r="289" spans="1:17" ht="12.75" hidden="1">
      <c r="A289" s="36" t="s">
        <v>54</v>
      </c>
      <c r="B289" s="83"/>
      <c r="C289" s="253"/>
      <c r="D289" s="244"/>
      <c r="E289" s="104"/>
      <c r="F289" s="195">
        <f>C289+D289+E289</f>
        <v>0</v>
      </c>
      <c r="G289" s="263"/>
      <c r="H289" s="10"/>
      <c r="I289" s="27">
        <f>F289+G289+H289</f>
        <v>0</v>
      </c>
      <c r="J289" s="26"/>
      <c r="K289" s="10"/>
      <c r="L289" s="27">
        <f>I289+J289+K289</f>
        <v>0</v>
      </c>
      <c r="M289" s="26"/>
      <c r="N289" s="10"/>
      <c r="O289" s="213">
        <f>L289+M289+N289</f>
        <v>0</v>
      </c>
      <c r="P289" s="220"/>
      <c r="Q289" s="221">
        <f>O289+P289</f>
        <v>0</v>
      </c>
    </row>
    <row r="290" spans="1:17" ht="12.75">
      <c r="A290" s="30" t="s">
        <v>236</v>
      </c>
      <c r="B290" s="84"/>
      <c r="C290" s="138">
        <f aca="true" t="shared" si="97" ref="C290:Q290">C291+C307</f>
        <v>491947.48</v>
      </c>
      <c r="D290" s="117">
        <f t="shared" si="97"/>
        <v>9355.5</v>
      </c>
      <c r="E290" s="95">
        <f t="shared" si="97"/>
        <v>0</v>
      </c>
      <c r="F290" s="189">
        <f t="shared" si="97"/>
        <v>501302.98</v>
      </c>
      <c r="G290" s="219">
        <f t="shared" si="97"/>
        <v>0</v>
      </c>
      <c r="H290" s="95">
        <f t="shared" si="97"/>
        <v>0</v>
      </c>
      <c r="I290" s="162">
        <f t="shared" si="97"/>
        <v>501302.98</v>
      </c>
      <c r="J290" s="94">
        <f t="shared" si="97"/>
        <v>0</v>
      </c>
      <c r="K290" s="95">
        <f t="shared" si="97"/>
        <v>0</v>
      </c>
      <c r="L290" s="162">
        <f t="shared" si="97"/>
        <v>501302.98</v>
      </c>
      <c r="M290" s="94">
        <f t="shared" si="97"/>
        <v>0</v>
      </c>
      <c r="N290" s="95">
        <f t="shared" si="97"/>
        <v>0</v>
      </c>
      <c r="O290" s="189">
        <f t="shared" si="97"/>
        <v>501302.98</v>
      </c>
      <c r="P290" s="219">
        <f t="shared" si="97"/>
        <v>0</v>
      </c>
      <c r="Q290" s="189">
        <f t="shared" si="97"/>
        <v>501302.98</v>
      </c>
    </row>
    <row r="291" spans="1:17" ht="12.75">
      <c r="A291" s="39" t="s">
        <v>49</v>
      </c>
      <c r="B291" s="84"/>
      <c r="C291" s="143">
        <f aca="true" t="shared" si="98" ref="C291:Q291">SUM(C293:C306)</f>
        <v>491947.48</v>
      </c>
      <c r="D291" s="131">
        <f t="shared" si="98"/>
        <v>9355.5</v>
      </c>
      <c r="E291" s="103">
        <f t="shared" si="98"/>
        <v>0</v>
      </c>
      <c r="F291" s="193">
        <f t="shared" si="98"/>
        <v>501302.98</v>
      </c>
      <c r="G291" s="227">
        <f t="shared" si="98"/>
        <v>0</v>
      </c>
      <c r="H291" s="103">
        <f t="shared" si="98"/>
        <v>0</v>
      </c>
      <c r="I291" s="166">
        <f t="shared" si="98"/>
        <v>501302.98</v>
      </c>
      <c r="J291" s="102">
        <f t="shared" si="98"/>
        <v>0</v>
      </c>
      <c r="K291" s="103">
        <f t="shared" si="98"/>
        <v>0</v>
      </c>
      <c r="L291" s="166">
        <f t="shared" si="98"/>
        <v>501302.98</v>
      </c>
      <c r="M291" s="102">
        <f t="shared" si="98"/>
        <v>0</v>
      </c>
      <c r="N291" s="103">
        <f t="shared" si="98"/>
        <v>0</v>
      </c>
      <c r="O291" s="193">
        <f t="shared" si="98"/>
        <v>501302.98</v>
      </c>
      <c r="P291" s="227">
        <f t="shared" si="98"/>
        <v>0</v>
      </c>
      <c r="Q291" s="193">
        <f t="shared" si="98"/>
        <v>501302.98</v>
      </c>
    </row>
    <row r="292" spans="1:17" ht="12.75">
      <c r="A292" s="35" t="s">
        <v>26</v>
      </c>
      <c r="B292" s="80"/>
      <c r="C292" s="139"/>
      <c r="D292" s="128"/>
      <c r="E292" s="96"/>
      <c r="F292" s="190"/>
      <c r="G292" s="261"/>
      <c r="H292" s="7"/>
      <c r="I292" s="23"/>
      <c r="J292" s="22"/>
      <c r="K292" s="7"/>
      <c r="L292" s="23"/>
      <c r="M292" s="22"/>
      <c r="N292" s="7"/>
      <c r="O292" s="210"/>
      <c r="P292" s="220"/>
      <c r="Q292" s="221"/>
    </row>
    <row r="293" spans="1:17" ht="12.75">
      <c r="A293" s="81" t="s">
        <v>129</v>
      </c>
      <c r="B293" s="80"/>
      <c r="C293" s="139">
        <v>286095.26</v>
      </c>
      <c r="D293" s="180">
        <f>1339.5</f>
        <v>1339.5</v>
      </c>
      <c r="E293" s="96"/>
      <c r="F293" s="190">
        <f aca="true" t="shared" si="99" ref="F293:F306">C293+D293+E293</f>
        <v>287434.76</v>
      </c>
      <c r="G293" s="261"/>
      <c r="H293" s="7"/>
      <c r="I293" s="23">
        <f>F293+G293+H293</f>
        <v>287434.76</v>
      </c>
      <c r="J293" s="22"/>
      <c r="K293" s="7"/>
      <c r="L293" s="23">
        <f>I293+J293+K293</f>
        <v>287434.76</v>
      </c>
      <c r="M293" s="22"/>
      <c r="N293" s="7"/>
      <c r="O293" s="210">
        <f>L293+M293+N293</f>
        <v>287434.76</v>
      </c>
      <c r="P293" s="220"/>
      <c r="Q293" s="221">
        <f aca="true" t="shared" si="100" ref="Q293:Q305">O293+P293</f>
        <v>287434.76</v>
      </c>
    </row>
    <row r="294" spans="1:17" ht="12.75">
      <c r="A294" s="33" t="s">
        <v>50</v>
      </c>
      <c r="B294" s="80"/>
      <c r="C294" s="139">
        <v>96478.54</v>
      </c>
      <c r="D294" s="128"/>
      <c r="E294" s="96"/>
      <c r="F294" s="190">
        <f t="shared" si="99"/>
        <v>96478.54</v>
      </c>
      <c r="G294" s="261"/>
      <c r="H294" s="7"/>
      <c r="I294" s="23">
        <f aca="true" t="shared" si="101" ref="I294:I303">F294+G294+H294</f>
        <v>96478.54</v>
      </c>
      <c r="J294" s="22"/>
      <c r="K294" s="7"/>
      <c r="L294" s="23">
        <f aca="true" t="shared" si="102" ref="L294:L306">I294+J294+K294</f>
        <v>96478.54</v>
      </c>
      <c r="M294" s="22"/>
      <c r="N294" s="7"/>
      <c r="O294" s="210">
        <f aca="true" t="shared" si="103" ref="O294:O306">L294+M294+N294</f>
        <v>96478.54</v>
      </c>
      <c r="P294" s="220"/>
      <c r="Q294" s="221">
        <f t="shared" si="100"/>
        <v>96478.54</v>
      </c>
    </row>
    <row r="295" spans="1:17" ht="12.75">
      <c r="A295" s="33" t="s">
        <v>231</v>
      </c>
      <c r="B295" s="80"/>
      <c r="C295" s="139">
        <v>196</v>
      </c>
      <c r="D295" s="128"/>
      <c r="E295" s="96"/>
      <c r="F295" s="190">
        <f t="shared" si="99"/>
        <v>196</v>
      </c>
      <c r="G295" s="261"/>
      <c r="H295" s="7"/>
      <c r="I295" s="23">
        <f t="shared" si="101"/>
        <v>196</v>
      </c>
      <c r="J295" s="22"/>
      <c r="K295" s="7"/>
      <c r="L295" s="23">
        <f t="shared" si="102"/>
        <v>196</v>
      </c>
      <c r="M295" s="22"/>
      <c r="N295" s="7"/>
      <c r="O295" s="210">
        <f t="shared" si="103"/>
        <v>196</v>
      </c>
      <c r="P295" s="220"/>
      <c r="Q295" s="221">
        <f t="shared" si="100"/>
        <v>196</v>
      </c>
    </row>
    <row r="296" spans="1:17" ht="12.75">
      <c r="A296" s="33" t="s">
        <v>51</v>
      </c>
      <c r="B296" s="80"/>
      <c r="C296" s="139">
        <v>44294.28</v>
      </c>
      <c r="D296" s="243">
        <f>3500</f>
        <v>3500</v>
      </c>
      <c r="E296" s="96"/>
      <c r="F296" s="190">
        <f t="shared" si="99"/>
        <v>47794.28</v>
      </c>
      <c r="G296" s="261"/>
      <c r="H296" s="7"/>
      <c r="I296" s="23">
        <f t="shared" si="101"/>
        <v>47794.28</v>
      </c>
      <c r="J296" s="22"/>
      <c r="K296" s="7"/>
      <c r="L296" s="23">
        <f t="shared" si="102"/>
        <v>47794.28</v>
      </c>
      <c r="M296" s="22"/>
      <c r="N296" s="7"/>
      <c r="O296" s="210">
        <f t="shared" si="103"/>
        <v>47794.28</v>
      </c>
      <c r="P296" s="220"/>
      <c r="Q296" s="221">
        <f t="shared" si="100"/>
        <v>47794.28</v>
      </c>
    </row>
    <row r="297" spans="1:17" ht="12.75">
      <c r="A297" s="33" t="s">
        <v>55</v>
      </c>
      <c r="B297" s="80">
        <v>1115</v>
      </c>
      <c r="C297" s="139">
        <v>343</v>
      </c>
      <c r="D297" s="128">
        <f>201</f>
        <v>201</v>
      </c>
      <c r="E297" s="96"/>
      <c r="F297" s="190">
        <f t="shared" si="99"/>
        <v>544</v>
      </c>
      <c r="G297" s="261"/>
      <c r="H297" s="7"/>
      <c r="I297" s="23">
        <f t="shared" si="101"/>
        <v>544</v>
      </c>
      <c r="J297" s="22"/>
      <c r="K297" s="7"/>
      <c r="L297" s="23">
        <f t="shared" si="102"/>
        <v>544</v>
      </c>
      <c r="M297" s="22"/>
      <c r="N297" s="7"/>
      <c r="O297" s="210">
        <f t="shared" si="103"/>
        <v>544</v>
      </c>
      <c r="P297" s="220"/>
      <c r="Q297" s="221">
        <f t="shared" si="100"/>
        <v>544</v>
      </c>
    </row>
    <row r="298" spans="1:17" ht="12.75">
      <c r="A298" s="33" t="s">
        <v>56</v>
      </c>
      <c r="B298" s="80">
        <v>51</v>
      </c>
      <c r="C298" s="139">
        <v>64540.4</v>
      </c>
      <c r="D298" s="128">
        <f>3500</f>
        <v>3500</v>
      </c>
      <c r="E298" s="96"/>
      <c r="F298" s="190">
        <f t="shared" si="99"/>
        <v>68040.4</v>
      </c>
      <c r="G298" s="261"/>
      <c r="H298" s="7"/>
      <c r="I298" s="23">
        <f t="shared" si="101"/>
        <v>68040.4</v>
      </c>
      <c r="J298" s="22"/>
      <c r="K298" s="7"/>
      <c r="L298" s="23">
        <f t="shared" si="102"/>
        <v>68040.4</v>
      </c>
      <c r="M298" s="22"/>
      <c r="N298" s="7"/>
      <c r="O298" s="210">
        <f t="shared" si="103"/>
        <v>68040.4</v>
      </c>
      <c r="P298" s="220"/>
      <c r="Q298" s="221">
        <f t="shared" si="100"/>
        <v>68040.4</v>
      </c>
    </row>
    <row r="299" spans="1:17" ht="12.75" hidden="1">
      <c r="A299" s="33" t="s">
        <v>72</v>
      </c>
      <c r="B299" s="80"/>
      <c r="C299" s="139"/>
      <c r="D299" s="128"/>
      <c r="E299" s="96"/>
      <c r="F299" s="190">
        <f t="shared" si="99"/>
        <v>0</v>
      </c>
      <c r="G299" s="261"/>
      <c r="H299" s="7"/>
      <c r="I299" s="23">
        <f t="shared" si="101"/>
        <v>0</v>
      </c>
      <c r="J299" s="22"/>
      <c r="K299" s="7"/>
      <c r="L299" s="23">
        <f t="shared" si="102"/>
        <v>0</v>
      </c>
      <c r="M299" s="22"/>
      <c r="N299" s="7"/>
      <c r="O299" s="210">
        <f t="shared" si="103"/>
        <v>0</v>
      </c>
      <c r="P299" s="220"/>
      <c r="Q299" s="221">
        <f t="shared" si="100"/>
        <v>0</v>
      </c>
    </row>
    <row r="300" spans="1:17" ht="12.75" hidden="1">
      <c r="A300" s="33" t="s">
        <v>188</v>
      </c>
      <c r="B300" s="80">
        <v>13234</v>
      </c>
      <c r="C300" s="139"/>
      <c r="D300" s="128"/>
      <c r="E300" s="96"/>
      <c r="F300" s="190">
        <f t="shared" si="99"/>
        <v>0</v>
      </c>
      <c r="G300" s="261"/>
      <c r="H300" s="7"/>
      <c r="I300" s="23">
        <f t="shared" si="101"/>
        <v>0</v>
      </c>
      <c r="J300" s="22"/>
      <c r="K300" s="7"/>
      <c r="L300" s="23">
        <f t="shared" si="102"/>
        <v>0</v>
      </c>
      <c r="M300" s="22"/>
      <c r="N300" s="7"/>
      <c r="O300" s="210">
        <f t="shared" si="103"/>
        <v>0</v>
      </c>
      <c r="P300" s="220"/>
      <c r="Q300" s="221">
        <f t="shared" si="100"/>
        <v>0</v>
      </c>
    </row>
    <row r="301" spans="1:17" ht="12.75" hidden="1">
      <c r="A301" s="33" t="s">
        <v>57</v>
      </c>
      <c r="B301" s="80"/>
      <c r="C301" s="139"/>
      <c r="D301" s="128"/>
      <c r="E301" s="96"/>
      <c r="F301" s="190">
        <f t="shared" si="99"/>
        <v>0</v>
      </c>
      <c r="G301" s="261"/>
      <c r="H301" s="7"/>
      <c r="I301" s="23">
        <f t="shared" si="101"/>
        <v>0</v>
      </c>
      <c r="J301" s="22"/>
      <c r="K301" s="7"/>
      <c r="L301" s="23">
        <f t="shared" si="102"/>
        <v>0</v>
      </c>
      <c r="M301" s="22"/>
      <c r="N301" s="7"/>
      <c r="O301" s="210">
        <f t="shared" si="103"/>
        <v>0</v>
      </c>
      <c r="P301" s="220"/>
      <c r="Q301" s="221">
        <f t="shared" si="100"/>
        <v>0</v>
      </c>
    </row>
    <row r="302" spans="1:17" ht="12.75">
      <c r="A302" s="33" t="s">
        <v>239</v>
      </c>
      <c r="B302" s="80">
        <v>98008</v>
      </c>
      <c r="C302" s="139"/>
      <c r="D302" s="128">
        <f>800</f>
        <v>800</v>
      </c>
      <c r="E302" s="96"/>
      <c r="F302" s="190">
        <f t="shared" si="99"/>
        <v>800</v>
      </c>
      <c r="G302" s="261"/>
      <c r="H302" s="7"/>
      <c r="I302" s="23">
        <f t="shared" si="101"/>
        <v>800</v>
      </c>
      <c r="J302" s="22"/>
      <c r="K302" s="7"/>
      <c r="L302" s="23">
        <f t="shared" si="102"/>
        <v>800</v>
      </c>
      <c r="M302" s="22"/>
      <c r="N302" s="7"/>
      <c r="O302" s="210">
        <f t="shared" si="103"/>
        <v>800</v>
      </c>
      <c r="P302" s="220"/>
      <c r="Q302" s="221">
        <f t="shared" si="100"/>
        <v>800</v>
      </c>
    </row>
    <row r="303" spans="1:17" ht="12.75" hidden="1">
      <c r="A303" s="33" t="s">
        <v>240</v>
      </c>
      <c r="B303" s="80">
        <v>98071</v>
      </c>
      <c r="C303" s="139"/>
      <c r="D303" s="128"/>
      <c r="E303" s="96"/>
      <c r="F303" s="190">
        <f t="shared" si="99"/>
        <v>0</v>
      </c>
      <c r="G303" s="261"/>
      <c r="H303" s="7"/>
      <c r="I303" s="23">
        <f t="shared" si="101"/>
        <v>0</v>
      </c>
      <c r="J303" s="22"/>
      <c r="K303" s="7"/>
      <c r="L303" s="23">
        <f t="shared" si="102"/>
        <v>0</v>
      </c>
      <c r="M303" s="22"/>
      <c r="N303" s="7"/>
      <c r="O303" s="210">
        <f t="shared" si="103"/>
        <v>0</v>
      </c>
      <c r="P303" s="220"/>
      <c r="Q303" s="221">
        <f t="shared" si="100"/>
        <v>0</v>
      </c>
    </row>
    <row r="304" spans="1:17" ht="12.75">
      <c r="A304" s="36" t="s">
        <v>58</v>
      </c>
      <c r="B304" s="83">
        <v>98074</v>
      </c>
      <c r="C304" s="253"/>
      <c r="D304" s="244">
        <f>15</f>
        <v>15</v>
      </c>
      <c r="E304" s="104"/>
      <c r="F304" s="195">
        <f t="shared" si="99"/>
        <v>15</v>
      </c>
      <c r="G304" s="261"/>
      <c r="H304" s="7"/>
      <c r="I304" s="23">
        <f>F304+G304+H304</f>
        <v>15</v>
      </c>
      <c r="J304" s="22"/>
      <c r="K304" s="7"/>
      <c r="L304" s="23">
        <f t="shared" si="102"/>
        <v>15</v>
      </c>
      <c r="M304" s="22"/>
      <c r="N304" s="7"/>
      <c r="O304" s="210">
        <f t="shared" si="103"/>
        <v>15</v>
      </c>
      <c r="P304" s="220"/>
      <c r="Q304" s="221">
        <f t="shared" si="100"/>
        <v>15</v>
      </c>
    </row>
    <row r="305" spans="1:17" ht="12.75" hidden="1">
      <c r="A305" s="33" t="s">
        <v>59</v>
      </c>
      <c r="B305" s="80"/>
      <c r="C305" s="139"/>
      <c r="D305" s="128"/>
      <c r="E305" s="96"/>
      <c r="F305" s="190">
        <f t="shared" si="99"/>
        <v>0</v>
      </c>
      <c r="G305" s="261"/>
      <c r="H305" s="7"/>
      <c r="I305" s="23">
        <f>F305+G305+H305</f>
        <v>0</v>
      </c>
      <c r="J305" s="22"/>
      <c r="K305" s="7"/>
      <c r="L305" s="23">
        <f t="shared" si="102"/>
        <v>0</v>
      </c>
      <c r="M305" s="22"/>
      <c r="N305" s="7"/>
      <c r="O305" s="210">
        <f t="shared" si="103"/>
        <v>0</v>
      </c>
      <c r="P305" s="220"/>
      <c r="Q305" s="221">
        <f t="shared" si="100"/>
        <v>0</v>
      </c>
    </row>
    <row r="306" spans="1:17" ht="12.75" hidden="1">
      <c r="A306" s="33" t="s">
        <v>60</v>
      </c>
      <c r="B306" s="80">
        <v>4001</v>
      </c>
      <c r="C306" s="139"/>
      <c r="D306" s="128"/>
      <c r="E306" s="96"/>
      <c r="F306" s="190">
        <f t="shared" si="99"/>
        <v>0</v>
      </c>
      <c r="G306" s="261"/>
      <c r="H306" s="7"/>
      <c r="I306" s="23">
        <f>F306+G306+H306</f>
        <v>0</v>
      </c>
      <c r="J306" s="22"/>
      <c r="K306" s="7"/>
      <c r="L306" s="23">
        <f t="shared" si="102"/>
        <v>0</v>
      </c>
      <c r="M306" s="22"/>
      <c r="N306" s="7"/>
      <c r="O306" s="210">
        <f t="shared" si="103"/>
        <v>0</v>
      </c>
      <c r="P306" s="220"/>
      <c r="Q306" s="221">
        <f>O306+P306</f>
        <v>0</v>
      </c>
    </row>
    <row r="307" spans="1:17" ht="12.75" hidden="1">
      <c r="A307" s="39" t="s">
        <v>53</v>
      </c>
      <c r="B307" s="84"/>
      <c r="C307" s="143">
        <f>C310+C309</f>
        <v>0</v>
      </c>
      <c r="D307" s="131">
        <f aca="true" t="shared" si="104" ref="D307:Q307">D310+D309</f>
        <v>0</v>
      </c>
      <c r="E307" s="103">
        <f t="shared" si="104"/>
        <v>0</v>
      </c>
      <c r="F307" s="193">
        <f t="shared" si="104"/>
        <v>0</v>
      </c>
      <c r="G307" s="227">
        <f t="shared" si="104"/>
        <v>0</v>
      </c>
      <c r="H307" s="103">
        <f t="shared" si="104"/>
        <v>0</v>
      </c>
      <c r="I307" s="166">
        <f t="shared" si="104"/>
        <v>0</v>
      </c>
      <c r="J307" s="102">
        <f t="shared" si="104"/>
        <v>0</v>
      </c>
      <c r="K307" s="103">
        <f t="shared" si="104"/>
        <v>0</v>
      </c>
      <c r="L307" s="166">
        <f t="shared" si="104"/>
        <v>0</v>
      </c>
      <c r="M307" s="102">
        <f t="shared" si="104"/>
        <v>0</v>
      </c>
      <c r="N307" s="103">
        <f t="shared" si="104"/>
        <v>0</v>
      </c>
      <c r="O307" s="193">
        <f t="shared" si="104"/>
        <v>0</v>
      </c>
      <c r="P307" s="227">
        <f t="shared" si="104"/>
        <v>0</v>
      </c>
      <c r="Q307" s="193">
        <f t="shared" si="104"/>
        <v>0</v>
      </c>
    </row>
    <row r="308" spans="1:17" ht="12.75" hidden="1">
      <c r="A308" s="35" t="s">
        <v>26</v>
      </c>
      <c r="B308" s="80"/>
      <c r="C308" s="139"/>
      <c r="D308" s="128"/>
      <c r="E308" s="96"/>
      <c r="F308" s="189"/>
      <c r="G308" s="261"/>
      <c r="H308" s="7"/>
      <c r="I308" s="21"/>
      <c r="J308" s="22"/>
      <c r="K308" s="7"/>
      <c r="L308" s="21"/>
      <c r="M308" s="22"/>
      <c r="N308" s="7"/>
      <c r="O308" s="209"/>
      <c r="P308" s="220"/>
      <c r="Q308" s="221"/>
    </row>
    <row r="309" spans="1:17" ht="12.75" hidden="1">
      <c r="A309" s="32" t="s">
        <v>54</v>
      </c>
      <c r="B309" s="80"/>
      <c r="C309" s="139"/>
      <c r="D309" s="128"/>
      <c r="E309" s="96"/>
      <c r="F309" s="190">
        <f>C309+D309+E309</f>
        <v>0</v>
      </c>
      <c r="G309" s="261"/>
      <c r="H309" s="7"/>
      <c r="I309" s="23">
        <f>F309+G309+H309</f>
        <v>0</v>
      </c>
      <c r="J309" s="22"/>
      <c r="K309" s="7"/>
      <c r="L309" s="23">
        <f>I309+J309+K309</f>
        <v>0</v>
      </c>
      <c r="M309" s="22"/>
      <c r="N309" s="7"/>
      <c r="O309" s="210">
        <f>L309+M309+N309</f>
        <v>0</v>
      </c>
      <c r="P309" s="220"/>
      <c r="Q309" s="221">
        <f>O309+P309</f>
        <v>0</v>
      </c>
    </row>
    <row r="310" spans="1:17" ht="12.75" hidden="1">
      <c r="A310" s="36" t="s">
        <v>73</v>
      </c>
      <c r="B310" s="83"/>
      <c r="C310" s="253"/>
      <c r="D310" s="244"/>
      <c r="E310" s="104"/>
      <c r="F310" s="195">
        <f>C310+D310+E310</f>
        <v>0</v>
      </c>
      <c r="G310" s="263"/>
      <c r="H310" s="10"/>
      <c r="I310" s="27">
        <f>F310+G310+H310</f>
        <v>0</v>
      </c>
      <c r="J310" s="26"/>
      <c r="K310" s="10"/>
      <c r="L310" s="27">
        <f>I310+J310+K310</f>
        <v>0</v>
      </c>
      <c r="M310" s="26"/>
      <c r="N310" s="10"/>
      <c r="O310" s="213">
        <f>L310+M310+N310</f>
        <v>0</v>
      </c>
      <c r="P310" s="229"/>
      <c r="Q310" s="230">
        <f>O310+P310</f>
        <v>0</v>
      </c>
    </row>
    <row r="311" spans="1:17" ht="12.75">
      <c r="A311" s="44" t="s">
        <v>157</v>
      </c>
      <c r="B311" s="85"/>
      <c r="C311" s="138">
        <f>C312+C340</f>
        <v>552007.16</v>
      </c>
      <c r="D311" s="117">
        <f aca="true" t="shared" si="105" ref="D311:Q311">D312+D340</f>
        <v>1590894.3599999999</v>
      </c>
      <c r="E311" s="95">
        <f t="shared" si="105"/>
        <v>0</v>
      </c>
      <c r="F311" s="189">
        <f t="shared" si="105"/>
        <v>2142901.52</v>
      </c>
      <c r="G311" s="219">
        <f t="shared" si="105"/>
        <v>0</v>
      </c>
      <c r="H311" s="95">
        <f t="shared" si="105"/>
        <v>0</v>
      </c>
      <c r="I311" s="162">
        <f t="shared" si="105"/>
        <v>2139440.4</v>
      </c>
      <c r="J311" s="94">
        <f t="shared" si="105"/>
        <v>0</v>
      </c>
      <c r="K311" s="95">
        <f t="shared" si="105"/>
        <v>0</v>
      </c>
      <c r="L311" s="162">
        <f t="shared" si="105"/>
        <v>2139440.4</v>
      </c>
      <c r="M311" s="94">
        <f t="shared" si="105"/>
        <v>0</v>
      </c>
      <c r="N311" s="95">
        <f t="shared" si="105"/>
        <v>0</v>
      </c>
      <c r="O311" s="189">
        <f t="shared" si="105"/>
        <v>2139440.4</v>
      </c>
      <c r="P311" s="219">
        <f t="shared" si="105"/>
        <v>0</v>
      </c>
      <c r="Q311" s="189">
        <f t="shared" si="105"/>
        <v>2139440.4</v>
      </c>
    </row>
    <row r="312" spans="1:17" ht="12.75">
      <c r="A312" s="39" t="s">
        <v>49</v>
      </c>
      <c r="B312" s="84"/>
      <c r="C312" s="143">
        <f>SUM(C314:C328)</f>
        <v>95289.24</v>
      </c>
      <c r="D312" s="131">
        <f aca="true" t="shared" si="106" ref="D312:Q312">SUM(D314:D328)</f>
        <v>50573.979999999996</v>
      </c>
      <c r="E312" s="103">
        <f t="shared" si="106"/>
        <v>0</v>
      </c>
      <c r="F312" s="193">
        <f t="shared" si="106"/>
        <v>145863.22</v>
      </c>
      <c r="G312" s="227">
        <f t="shared" si="106"/>
        <v>0</v>
      </c>
      <c r="H312" s="103">
        <f t="shared" si="106"/>
        <v>0</v>
      </c>
      <c r="I312" s="166">
        <f t="shared" si="106"/>
        <v>144316.46000000002</v>
      </c>
      <c r="J312" s="102">
        <f t="shared" si="106"/>
        <v>0</v>
      </c>
      <c r="K312" s="103">
        <f t="shared" si="106"/>
        <v>0</v>
      </c>
      <c r="L312" s="166">
        <f t="shared" si="106"/>
        <v>144316.46000000002</v>
      </c>
      <c r="M312" s="102">
        <f t="shared" si="106"/>
        <v>0</v>
      </c>
      <c r="N312" s="103">
        <f t="shared" si="106"/>
        <v>0</v>
      </c>
      <c r="O312" s="193">
        <f t="shared" si="106"/>
        <v>144316.46000000002</v>
      </c>
      <c r="P312" s="227">
        <f t="shared" si="106"/>
        <v>0</v>
      </c>
      <c r="Q312" s="193">
        <f t="shared" si="106"/>
        <v>144316.46000000002</v>
      </c>
    </row>
    <row r="313" spans="1:17" ht="12.75">
      <c r="A313" s="35" t="s">
        <v>26</v>
      </c>
      <c r="B313" s="80"/>
      <c r="C313" s="143"/>
      <c r="D313" s="245"/>
      <c r="E313" s="115"/>
      <c r="F313" s="193"/>
      <c r="G313" s="261"/>
      <c r="H313" s="7"/>
      <c r="I313" s="23"/>
      <c r="J313" s="22"/>
      <c r="K313" s="7"/>
      <c r="L313" s="23"/>
      <c r="M313" s="29"/>
      <c r="N313" s="7"/>
      <c r="O313" s="210"/>
      <c r="P313" s="220"/>
      <c r="Q313" s="221"/>
    </row>
    <row r="314" spans="1:17" ht="12.75">
      <c r="A314" s="37" t="s">
        <v>51</v>
      </c>
      <c r="B314" s="80"/>
      <c r="C314" s="139">
        <v>10512.95</v>
      </c>
      <c r="D314" s="180">
        <f>3890.43+6647.9+1000</f>
        <v>11538.33</v>
      </c>
      <c r="E314" s="107"/>
      <c r="F314" s="190">
        <f aca="true" t="shared" si="107" ref="F314:F339">C314+D314+E314</f>
        <v>22051.28</v>
      </c>
      <c r="G314" s="261"/>
      <c r="H314" s="7"/>
      <c r="I314" s="23">
        <f>F314+G314+H314</f>
        <v>22051.28</v>
      </c>
      <c r="J314" s="22"/>
      <c r="K314" s="7"/>
      <c r="L314" s="23">
        <f aca="true" t="shared" si="108" ref="L314:L327">I314+J314+K314</f>
        <v>22051.28</v>
      </c>
      <c r="M314" s="29"/>
      <c r="N314" s="7"/>
      <c r="O314" s="210">
        <f>L314+M314+N314</f>
        <v>22051.28</v>
      </c>
      <c r="P314" s="220"/>
      <c r="Q314" s="221">
        <f>O314+P314</f>
        <v>22051.28</v>
      </c>
    </row>
    <row r="315" spans="1:17" ht="12.75">
      <c r="A315" s="37" t="s">
        <v>324</v>
      </c>
      <c r="B315" s="80"/>
      <c r="C315" s="139"/>
      <c r="D315" s="180">
        <f>1246.76-1246.76</f>
        <v>0</v>
      </c>
      <c r="E315" s="107"/>
      <c r="F315" s="190">
        <f t="shared" si="107"/>
        <v>0</v>
      </c>
      <c r="G315" s="261"/>
      <c r="H315" s="7"/>
      <c r="I315" s="23"/>
      <c r="J315" s="22"/>
      <c r="K315" s="7"/>
      <c r="L315" s="23"/>
      <c r="M315" s="29"/>
      <c r="N315" s="7"/>
      <c r="O315" s="210"/>
      <c r="P315" s="220"/>
      <c r="Q315" s="221"/>
    </row>
    <row r="316" spans="1:17" ht="12.75">
      <c r="A316" s="37" t="s">
        <v>313</v>
      </c>
      <c r="B316" s="80">
        <v>1080</v>
      </c>
      <c r="C316" s="139">
        <v>1000</v>
      </c>
      <c r="D316" s="180"/>
      <c r="E316" s="107"/>
      <c r="F316" s="190">
        <f t="shared" si="107"/>
        <v>1000</v>
      </c>
      <c r="G316" s="261"/>
      <c r="H316" s="7"/>
      <c r="I316" s="23">
        <f aca="true" t="shared" si="109" ref="I316:I339">F316+G316+H316</f>
        <v>1000</v>
      </c>
      <c r="J316" s="22"/>
      <c r="K316" s="7"/>
      <c r="L316" s="23">
        <f t="shared" si="108"/>
        <v>1000</v>
      </c>
      <c r="M316" s="29"/>
      <c r="N316" s="7"/>
      <c r="O316" s="210">
        <f aca="true" t="shared" si="110" ref="O316:O339">L316+M316+N316</f>
        <v>1000</v>
      </c>
      <c r="P316" s="220"/>
      <c r="Q316" s="221">
        <f aca="true" t="shared" si="111" ref="Q316:Q339">O316+P316</f>
        <v>1000</v>
      </c>
    </row>
    <row r="317" spans="1:17" ht="12.75">
      <c r="A317" s="37" t="s">
        <v>316</v>
      </c>
      <c r="B317" s="80"/>
      <c r="C317" s="139"/>
      <c r="D317" s="180">
        <f>1246.76</f>
        <v>1246.76</v>
      </c>
      <c r="E317" s="107"/>
      <c r="F317" s="190">
        <f t="shared" si="107"/>
        <v>1246.76</v>
      </c>
      <c r="G317" s="261"/>
      <c r="H317" s="7"/>
      <c r="I317" s="23"/>
      <c r="J317" s="22"/>
      <c r="K317" s="7"/>
      <c r="L317" s="23"/>
      <c r="M317" s="29"/>
      <c r="N317" s="7"/>
      <c r="O317" s="210"/>
      <c r="P317" s="220"/>
      <c r="Q317" s="221"/>
    </row>
    <row r="318" spans="1:17" ht="12.75">
      <c r="A318" s="37" t="s">
        <v>163</v>
      </c>
      <c r="B318" s="136">
        <v>1081.1202</v>
      </c>
      <c r="C318" s="139"/>
      <c r="D318" s="180">
        <f>229.01</f>
        <v>229.01</v>
      </c>
      <c r="E318" s="107"/>
      <c r="F318" s="190">
        <f t="shared" si="107"/>
        <v>229.01</v>
      </c>
      <c r="G318" s="261"/>
      <c r="H318" s="7"/>
      <c r="I318" s="23">
        <f t="shared" si="109"/>
        <v>229.01</v>
      </c>
      <c r="J318" s="22"/>
      <c r="K318" s="7"/>
      <c r="L318" s="23">
        <f t="shared" si="108"/>
        <v>229.01</v>
      </c>
      <c r="M318" s="29"/>
      <c r="N318" s="7"/>
      <c r="O318" s="210">
        <f t="shared" si="110"/>
        <v>229.01</v>
      </c>
      <c r="P318" s="220"/>
      <c r="Q318" s="221">
        <f t="shared" si="111"/>
        <v>229.01</v>
      </c>
    </row>
    <row r="319" spans="1:17" ht="12.75">
      <c r="A319" s="37" t="s">
        <v>323</v>
      </c>
      <c r="B319" s="136"/>
      <c r="C319" s="139"/>
      <c r="D319" s="180">
        <f>300</f>
        <v>300</v>
      </c>
      <c r="E319" s="107"/>
      <c r="F319" s="190">
        <f t="shared" si="107"/>
        <v>300</v>
      </c>
      <c r="G319" s="261"/>
      <c r="H319" s="7"/>
      <c r="I319" s="23"/>
      <c r="J319" s="22"/>
      <c r="K319" s="7"/>
      <c r="L319" s="23"/>
      <c r="M319" s="29"/>
      <c r="N319" s="7"/>
      <c r="O319" s="210"/>
      <c r="P319" s="220"/>
      <c r="Q319" s="221"/>
    </row>
    <row r="320" spans="1:17" ht="12.75" hidden="1">
      <c r="A320" s="81" t="s">
        <v>76</v>
      </c>
      <c r="B320" s="80"/>
      <c r="C320" s="139"/>
      <c r="D320" s="180"/>
      <c r="E320" s="107"/>
      <c r="F320" s="190">
        <f t="shared" si="107"/>
        <v>0</v>
      </c>
      <c r="G320" s="261"/>
      <c r="H320" s="7"/>
      <c r="I320" s="23">
        <f t="shared" si="109"/>
        <v>0</v>
      </c>
      <c r="J320" s="22"/>
      <c r="K320" s="7"/>
      <c r="L320" s="23">
        <f t="shared" si="108"/>
        <v>0</v>
      </c>
      <c r="M320" s="29"/>
      <c r="N320" s="7"/>
      <c r="O320" s="210">
        <f t="shared" si="110"/>
        <v>0</v>
      </c>
      <c r="P320" s="220"/>
      <c r="Q320" s="221">
        <f t="shared" si="111"/>
        <v>0</v>
      </c>
    </row>
    <row r="321" spans="1:17" ht="12.75">
      <c r="A321" s="33" t="s">
        <v>169</v>
      </c>
      <c r="B321" s="80"/>
      <c r="C321" s="139">
        <v>55101.29</v>
      </c>
      <c r="D321" s="180">
        <f>1000</f>
        <v>1000</v>
      </c>
      <c r="E321" s="107"/>
      <c r="F321" s="190">
        <f t="shared" si="107"/>
        <v>56101.29</v>
      </c>
      <c r="G321" s="261"/>
      <c r="H321" s="7"/>
      <c r="I321" s="23">
        <f t="shared" si="109"/>
        <v>56101.29</v>
      </c>
      <c r="J321" s="22"/>
      <c r="K321" s="7"/>
      <c r="L321" s="23">
        <f t="shared" si="108"/>
        <v>56101.29</v>
      </c>
      <c r="M321" s="29"/>
      <c r="N321" s="7"/>
      <c r="O321" s="210">
        <f t="shared" si="110"/>
        <v>56101.29</v>
      </c>
      <c r="P321" s="220"/>
      <c r="Q321" s="221">
        <f t="shared" si="111"/>
        <v>56101.29</v>
      </c>
    </row>
    <row r="322" spans="1:17" ht="12.75">
      <c r="A322" s="37" t="s">
        <v>216</v>
      </c>
      <c r="B322" s="80"/>
      <c r="C322" s="139"/>
      <c r="D322" s="180">
        <f>21331.5+100</f>
        <v>21431.5</v>
      </c>
      <c r="E322" s="107"/>
      <c r="F322" s="190">
        <f t="shared" si="107"/>
        <v>21431.5</v>
      </c>
      <c r="G322" s="261"/>
      <c r="H322" s="7"/>
      <c r="I322" s="23">
        <f t="shared" si="109"/>
        <v>21431.5</v>
      </c>
      <c r="J322" s="22"/>
      <c r="K322" s="7"/>
      <c r="L322" s="23">
        <f t="shared" si="108"/>
        <v>21431.5</v>
      </c>
      <c r="M322" s="29"/>
      <c r="N322" s="7"/>
      <c r="O322" s="210">
        <f t="shared" si="110"/>
        <v>21431.5</v>
      </c>
      <c r="P322" s="220"/>
      <c r="Q322" s="221">
        <f t="shared" si="111"/>
        <v>21431.5</v>
      </c>
    </row>
    <row r="323" spans="1:17" ht="12.75">
      <c r="A323" s="33" t="s">
        <v>185</v>
      </c>
      <c r="B323" s="124">
        <v>212163</v>
      </c>
      <c r="C323" s="139"/>
      <c r="D323" s="180">
        <f>637.35</f>
        <v>637.35</v>
      </c>
      <c r="E323" s="107"/>
      <c r="F323" s="190">
        <f t="shared" si="107"/>
        <v>637.35</v>
      </c>
      <c r="G323" s="261"/>
      <c r="H323" s="7"/>
      <c r="I323" s="23">
        <f t="shared" si="109"/>
        <v>637.35</v>
      </c>
      <c r="J323" s="22"/>
      <c r="K323" s="7"/>
      <c r="L323" s="23">
        <f t="shared" si="108"/>
        <v>637.35</v>
      </c>
      <c r="M323" s="29"/>
      <c r="N323" s="7"/>
      <c r="O323" s="210">
        <f t="shared" si="110"/>
        <v>637.35</v>
      </c>
      <c r="P323" s="220"/>
      <c r="Q323" s="221">
        <f t="shared" si="111"/>
        <v>637.35</v>
      </c>
    </row>
    <row r="324" spans="1:17" ht="12.75" hidden="1">
      <c r="A324" s="37" t="s">
        <v>160</v>
      </c>
      <c r="B324" s="124">
        <v>212162</v>
      </c>
      <c r="C324" s="139"/>
      <c r="D324" s="180"/>
      <c r="E324" s="107"/>
      <c r="F324" s="190">
        <f t="shared" si="107"/>
        <v>0</v>
      </c>
      <c r="G324" s="261"/>
      <c r="H324" s="7"/>
      <c r="I324" s="23">
        <f t="shared" si="109"/>
        <v>0</v>
      </c>
      <c r="J324" s="22"/>
      <c r="K324" s="7"/>
      <c r="L324" s="23">
        <f t="shared" si="108"/>
        <v>0</v>
      </c>
      <c r="M324" s="29"/>
      <c r="N324" s="7"/>
      <c r="O324" s="210">
        <f t="shared" si="110"/>
        <v>0</v>
      </c>
      <c r="P324" s="220"/>
      <c r="Q324" s="221">
        <f t="shared" si="111"/>
        <v>0</v>
      </c>
    </row>
    <row r="325" spans="1:17" ht="12.75" hidden="1">
      <c r="A325" s="37" t="s">
        <v>281</v>
      </c>
      <c r="B325" s="124"/>
      <c r="C325" s="139"/>
      <c r="D325" s="180"/>
      <c r="E325" s="107"/>
      <c r="F325" s="190">
        <f t="shared" si="107"/>
        <v>0</v>
      </c>
      <c r="G325" s="261"/>
      <c r="H325" s="7"/>
      <c r="I325" s="23">
        <f t="shared" si="109"/>
        <v>0</v>
      </c>
      <c r="J325" s="22"/>
      <c r="K325" s="7"/>
      <c r="L325" s="23">
        <f t="shared" si="108"/>
        <v>0</v>
      </c>
      <c r="M325" s="29"/>
      <c r="N325" s="7"/>
      <c r="O325" s="210">
        <f t="shared" si="110"/>
        <v>0</v>
      </c>
      <c r="P325" s="220"/>
      <c r="Q325" s="221">
        <f t="shared" si="111"/>
        <v>0</v>
      </c>
    </row>
    <row r="326" spans="1:17" ht="12.75" hidden="1">
      <c r="A326" s="37" t="s">
        <v>308</v>
      </c>
      <c r="B326" s="124"/>
      <c r="C326" s="139"/>
      <c r="D326" s="180"/>
      <c r="E326" s="107"/>
      <c r="F326" s="190">
        <f t="shared" si="107"/>
        <v>0</v>
      </c>
      <c r="G326" s="261"/>
      <c r="H326" s="7"/>
      <c r="I326" s="23">
        <f t="shared" si="109"/>
        <v>0</v>
      </c>
      <c r="J326" s="22"/>
      <c r="K326" s="7"/>
      <c r="L326" s="23">
        <f t="shared" si="108"/>
        <v>0</v>
      </c>
      <c r="M326" s="29"/>
      <c r="N326" s="7"/>
      <c r="O326" s="210">
        <f t="shared" si="110"/>
        <v>0</v>
      </c>
      <c r="P326" s="220"/>
      <c r="Q326" s="221">
        <f t="shared" si="111"/>
        <v>0</v>
      </c>
    </row>
    <row r="327" spans="1:17" ht="12.75" hidden="1">
      <c r="A327" s="37" t="s">
        <v>269</v>
      </c>
      <c r="B327" s="124"/>
      <c r="C327" s="139"/>
      <c r="D327" s="180"/>
      <c r="E327" s="107"/>
      <c r="F327" s="190">
        <f t="shared" si="107"/>
        <v>0</v>
      </c>
      <c r="G327" s="261"/>
      <c r="H327" s="7"/>
      <c r="I327" s="23">
        <f t="shared" si="109"/>
        <v>0</v>
      </c>
      <c r="J327" s="22"/>
      <c r="K327" s="7"/>
      <c r="L327" s="23">
        <f t="shared" si="108"/>
        <v>0</v>
      </c>
      <c r="M327" s="29"/>
      <c r="N327" s="7"/>
      <c r="O327" s="210">
        <f t="shared" si="110"/>
        <v>0</v>
      </c>
      <c r="P327" s="220"/>
      <c r="Q327" s="221">
        <f t="shared" si="111"/>
        <v>0</v>
      </c>
    </row>
    <row r="328" spans="1:17" ht="12.75">
      <c r="A328" s="33" t="s">
        <v>73</v>
      </c>
      <c r="B328" s="80"/>
      <c r="C328" s="145">
        <f>SUM(C329:C339)</f>
        <v>28675</v>
      </c>
      <c r="D328" s="180">
        <f aca="true" t="shared" si="112" ref="D328:Q328">SUM(D329:D339)</f>
        <v>14191.029999999999</v>
      </c>
      <c r="E328" s="107">
        <f t="shared" si="112"/>
        <v>0</v>
      </c>
      <c r="F328" s="196">
        <f t="shared" si="112"/>
        <v>42866.03</v>
      </c>
      <c r="G328" s="231">
        <f t="shared" si="112"/>
        <v>0</v>
      </c>
      <c r="H328" s="107">
        <f t="shared" si="112"/>
        <v>0</v>
      </c>
      <c r="I328" s="169">
        <f t="shared" si="112"/>
        <v>42866.03</v>
      </c>
      <c r="J328" s="168">
        <f t="shared" si="112"/>
        <v>0</v>
      </c>
      <c r="K328" s="107">
        <f t="shared" si="112"/>
        <v>0</v>
      </c>
      <c r="L328" s="169">
        <f t="shared" si="112"/>
        <v>42866.03</v>
      </c>
      <c r="M328" s="168">
        <f t="shared" si="112"/>
        <v>0</v>
      </c>
      <c r="N328" s="107">
        <f t="shared" si="112"/>
        <v>0</v>
      </c>
      <c r="O328" s="196">
        <f t="shared" si="112"/>
        <v>42866.03</v>
      </c>
      <c r="P328" s="231">
        <f t="shared" si="112"/>
        <v>0</v>
      </c>
      <c r="Q328" s="196">
        <f t="shared" si="112"/>
        <v>42866.03</v>
      </c>
    </row>
    <row r="329" spans="1:18" ht="12.75">
      <c r="A329" s="33" t="s">
        <v>203</v>
      </c>
      <c r="B329" s="80"/>
      <c r="C329" s="145">
        <v>7500</v>
      </c>
      <c r="D329" s="180">
        <f>1200</f>
        <v>1200</v>
      </c>
      <c r="E329" s="96"/>
      <c r="F329" s="190">
        <f t="shared" si="107"/>
        <v>8700</v>
      </c>
      <c r="G329" s="261"/>
      <c r="H329" s="7"/>
      <c r="I329" s="23">
        <f t="shared" si="109"/>
        <v>8700</v>
      </c>
      <c r="J329" s="22"/>
      <c r="K329" s="7"/>
      <c r="L329" s="23">
        <f aca="true" t="shared" si="113" ref="L329:L339">I329+J329+K329</f>
        <v>8700</v>
      </c>
      <c r="M329" s="29"/>
      <c r="N329" s="7"/>
      <c r="O329" s="210">
        <f t="shared" si="110"/>
        <v>8700</v>
      </c>
      <c r="P329" s="220"/>
      <c r="Q329" s="221">
        <f t="shared" si="111"/>
        <v>8700</v>
      </c>
      <c r="R329" s="156"/>
    </row>
    <row r="330" spans="1:18" ht="12.75">
      <c r="A330" s="33" t="s">
        <v>168</v>
      </c>
      <c r="B330" s="80"/>
      <c r="C330" s="145"/>
      <c r="D330" s="180">
        <f>9848.17-1200-1000</f>
        <v>7648.17</v>
      </c>
      <c r="E330" s="96"/>
      <c r="F330" s="190">
        <f t="shared" si="107"/>
        <v>7648.17</v>
      </c>
      <c r="G330" s="261"/>
      <c r="H330" s="7"/>
      <c r="I330" s="23">
        <f t="shared" si="109"/>
        <v>7648.17</v>
      </c>
      <c r="J330" s="22"/>
      <c r="K330" s="7"/>
      <c r="L330" s="23">
        <f t="shared" si="113"/>
        <v>7648.17</v>
      </c>
      <c r="M330" s="29"/>
      <c r="N330" s="7"/>
      <c r="O330" s="210">
        <f t="shared" si="110"/>
        <v>7648.17</v>
      </c>
      <c r="P330" s="220"/>
      <c r="Q330" s="221">
        <f t="shared" si="111"/>
        <v>7648.17</v>
      </c>
      <c r="R330" s="60"/>
    </row>
    <row r="331" spans="1:17" ht="12.75" hidden="1">
      <c r="A331" s="33" t="s">
        <v>251</v>
      </c>
      <c r="B331" s="80"/>
      <c r="C331" s="145"/>
      <c r="D331" s="246"/>
      <c r="E331" s="96"/>
      <c r="F331" s="190">
        <f t="shared" si="107"/>
        <v>0</v>
      </c>
      <c r="G331" s="261"/>
      <c r="H331" s="7"/>
      <c r="I331" s="23">
        <f t="shared" si="109"/>
        <v>0</v>
      </c>
      <c r="J331" s="22"/>
      <c r="K331" s="7"/>
      <c r="L331" s="23">
        <f t="shared" si="113"/>
        <v>0</v>
      </c>
      <c r="M331" s="29"/>
      <c r="N331" s="7"/>
      <c r="O331" s="210">
        <f t="shared" si="110"/>
        <v>0</v>
      </c>
      <c r="P331" s="220"/>
      <c r="Q331" s="221">
        <f t="shared" si="111"/>
        <v>0</v>
      </c>
    </row>
    <row r="332" spans="1:17" ht="12.75" hidden="1">
      <c r="A332" s="33" t="s">
        <v>194</v>
      </c>
      <c r="B332" s="80"/>
      <c r="C332" s="145"/>
      <c r="D332" s="180"/>
      <c r="E332" s="96"/>
      <c r="F332" s="190">
        <f t="shared" si="107"/>
        <v>0</v>
      </c>
      <c r="G332" s="261"/>
      <c r="H332" s="7"/>
      <c r="I332" s="23">
        <f t="shared" si="109"/>
        <v>0</v>
      </c>
      <c r="J332" s="22"/>
      <c r="K332" s="7"/>
      <c r="L332" s="23">
        <f t="shared" si="113"/>
        <v>0</v>
      </c>
      <c r="M332" s="29"/>
      <c r="N332" s="7"/>
      <c r="O332" s="210">
        <f t="shared" si="110"/>
        <v>0</v>
      </c>
      <c r="P332" s="220"/>
      <c r="Q332" s="221">
        <f t="shared" si="111"/>
        <v>0</v>
      </c>
    </row>
    <row r="333" spans="1:17" ht="12.75">
      <c r="A333" s="33" t="s">
        <v>215</v>
      </c>
      <c r="B333" s="80"/>
      <c r="C333" s="145"/>
      <c r="D333" s="180">
        <f>3732.11</f>
        <v>3732.11</v>
      </c>
      <c r="E333" s="96"/>
      <c r="F333" s="190">
        <f t="shared" si="107"/>
        <v>3732.11</v>
      </c>
      <c r="G333" s="261"/>
      <c r="H333" s="7"/>
      <c r="I333" s="23">
        <f t="shared" si="109"/>
        <v>3732.11</v>
      </c>
      <c r="J333" s="22"/>
      <c r="K333" s="7"/>
      <c r="L333" s="23">
        <f t="shared" si="113"/>
        <v>3732.11</v>
      </c>
      <c r="M333" s="29"/>
      <c r="N333" s="7"/>
      <c r="O333" s="210">
        <f t="shared" si="110"/>
        <v>3732.11</v>
      </c>
      <c r="P333" s="220"/>
      <c r="Q333" s="221">
        <f t="shared" si="111"/>
        <v>3732.11</v>
      </c>
    </row>
    <row r="334" spans="1:17" ht="12.75">
      <c r="A334" s="33" t="s">
        <v>167</v>
      </c>
      <c r="B334" s="80"/>
      <c r="C334" s="145"/>
      <c r="D334" s="180">
        <f>735.39-36.3</f>
        <v>699.09</v>
      </c>
      <c r="E334" s="96"/>
      <c r="F334" s="190">
        <f t="shared" si="107"/>
        <v>699.09</v>
      </c>
      <c r="G334" s="261"/>
      <c r="H334" s="7"/>
      <c r="I334" s="23">
        <f t="shared" si="109"/>
        <v>699.09</v>
      </c>
      <c r="J334" s="22"/>
      <c r="K334" s="7"/>
      <c r="L334" s="23">
        <f t="shared" si="113"/>
        <v>699.09</v>
      </c>
      <c r="M334" s="29"/>
      <c r="N334" s="7"/>
      <c r="O334" s="210">
        <f t="shared" si="110"/>
        <v>699.09</v>
      </c>
      <c r="P334" s="220"/>
      <c r="Q334" s="221">
        <f t="shared" si="111"/>
        <v>699.09</v>
      </c>
    </row>
    <row r="335" spans="1:17" ht="12.75">
      <c r="A335" s="33" t="s">
        <v>291</v>
      </c>
      <c r="B335" s="80"/>
      <c r="C335" s="145"/>
      <c r="D335" s="180">
        <f>2416.38</f>
        <v>2416.38</v>
      </c>
      <c r="E335" s="96"/>
      <c r="F335" s="190">
        <f t="shared" si="107"/>
        <v>2416.38</v>
      </c>
      <c r="G335" s="261"/>
      <c r="H335" s="7"/>
      <c r="I335" s="23">
        <f t="shared" si="109"/>
        <v>2416.38</v>
      </c>
      <c r="J335" s="22"/>
      <c r="K335" s="7"/>
      <c r="L335" s="23">
        <f t="shared" si="113"/>
        <v>2416.38</v>
      </c>
      <c r="M335" s="29"/>
      <c r="N335" s="7"/>
      <c r="O335" s="210">
        <f t="shared" si="110"/>
        <v>2416.38</v>
      </c>
      <c r="P335" s="220"/>
      <c r="Q335" s="221">
        <f t="shared" si="111"/>
        <v>2416.38</v>
      </c>
    </row>
    <row r="336" spans="1:17" ht="12.75">
      <c r="A336" s="33" t="s">
        <v>174</v>
      </c>
      <c r="B336" s="80"/>
      <c r="C336" s="145">
        <v>2000</v>
      </c>
      <c r="D336" s="180">
        <f>1773.96+6730</f>
        <v>8503.96</v>
      </c>
      <c r="E336" s="96"/>
      <c r="F336" s="190">
        <f t="shared" si="107"/>
        <v>10503.96</v>
      </c>
      <c r="G336" s="261"/>
      <c r="H336" s="7"/>
      <c r="I336" s="23">
        <f t="shared" si="109"/>
        <v>10503.96</v>
      </c>
      <c r="J336" s="22"/>
      <c r="K336" s="7"/>
      <c r="L336" s="23">
        <f t="shared" si="113"/>
        <v>10503.96</v>
      </c>
      <c r="M336" s="29"/>
      <c r="N336" s="7"/>
      <c r="O336" s="210">
        <f t="shared" si="110"/>
        <v>10503.96</v>
      </c>
      <c r="P336" s="220"/>
      <c r="Q336" s="221">
        <f t="shared" si="111"/>
        <v>10503.96</v>
      </c>
    </row>
    <row r="337" spans="1:17" ht="12.75">
      <c r="A337" s="33" t="s">
        <v>173</v>
      </c>
      <c r="B337" s="80"/>
      <c r="C337" s="145">
        <v>17200</v>
      </c>
      <c r="D337" s="180">
        <f>-17130+8721.32</f>
        <v>-8408.68</v>
      </c>
      <c r="E337" s="96"/>
      <c r="F337" s="190">
        <f t="shared" si="107"/>
        <v>8791.32</v>
      </c>
      <c r="G337" s="261"/>
      <c r="H337" s="7"/>
      <c r="I337" s="23">
        <f t="shared" si="109"/>
        <v>8791.32</v>
      </c>
      <c r="J337" s="22"/>
      <c r="K337" s="7"/>
      <c r="L337" s="23">
        <f t="shared" si="113"/>
        <v>8791.32</v>
      </c>
      <c r="M337" s="29"/>
      <c r="N337" s="7"/>
      <c r="O337" s="210">
        <f t="shared" si="110"/>
        <v>8791.32</v>
      </c>
      <c r="P337" s="220"/>
      <c r="Q337" s="221">
        <f t="shared" si="111"/>
        <v>8791.32</v>
      </c>
    </row>
    <row r="338" spans="1:17" ht="12.75">
      <c r="A338" s="33" t="s">
        <v>290</v>
      </c>
      <c r="B338" s="80"/>
      <c r="C338" s="145">
        <v>1975</v>
      </c>
      <c r="D338" s="180">
        <f>-1200-400</f>
        <v>-1600</v>
      </c>
      <c r="E338" s="96"/>
      <c r="F338" s="190">
        <f t="shared" si="107"/>
        <v>375</v>
      </c>
      <c r="G338" s="261"/>
      <c r="H338" s="7"/>
      <c r="I338" s="23">
        <f t="shared" si="109"/>
        <v>375</v>
      </c>
      <c r="J338" s="22"/>
      <c r="K338" s="7"/>
      <c r="L338" s="23">
        <f t="shared" si="113"/>
        <v>375</v>
      </c>
      <c r="M338" s="29"/>
      <c r="N338" s="7"/>
      <c r="O338" s="210">
        <f t="shared" si="110"/>
        <v>375</v>
      </c>
      <c r="P338" s="220"/>
      <c r="Q338" s="221">
        <f t="shared" si="111"/>
        <v>375</v>
      </c>
    </row>
    <row r="339" spans="1:17" ht="12.75" hidden="1">
      <c r="A339" s="33" t="s">
        <v>226</v>
      </c>
      <c r="B339" s="80"/>
      <c r="C339" s="145"/>
      <c r="D339" s="246"/>
      <c r="E339" s="96"/>
      <c r="F339" s="190">
        <f t="shared" si="107"/>
        <v>0</v>
      </c>
      <c r="G339" s="261"/>
      <c r="H339" s="7"/>
      <c r="I339" s="23">
        <f t="shared" si="109"/>
        <v>0</v>
      </c>
      <c r="J339" s="22"/>
      <c r="K339" s="7"/>
      <c r="L339" s="23">
        <f t="shared" si="113"/>
        <v>0</v>
      </c>
      <c r="M339" s="29"/>
      <c r="N339" s="7"/>
      <c r="O339" s="210">
        <f t="shared" si="110"/>
        <v>0</v>
      </c>
      <c r="P339" s="220"/>
      <c r="Q339" s="221">
        <f t="shared" si="111"/>
        <v>0</v>
      </c>
    </row>
    <row r="340" spans="1:17" ht="12.75">
      <c r="A340" s="39" t="s">
        <v>53</v>
      </c>
      <c r="B340" s="84"/>
      <c r="C340" s="143">
        <f aca="true" t="shared" si="114" ref="C340:Q340">SUM(C342:C358)</f>
        <v>456717.92000000004</v>
      </c>
      <c r="D340" s="131">
        <f t="shared" si="114"/>
        <v>1540320.38</v>
      </c>
      <c r="E340" s="103">
        <f t="shared" si="114"/>
        <v>0</v>
      </c>
      <c r="F340" s="193">
        <f t="shared" si="114"/>
        <v>1997038.3</v>
      </c>
      <c r="G340" s="227">
        <f t="shared" si="114"/>
        <v>0</v>
      </c>
      <c r="H340" s="103">
        <f t="shared" si="114"/>
        <v>0</v>
      </c>
      <c r="I340" s="166">
        <f t="shared" si="114"/>
        <v>1995123.94</v>
      </c>
      <c r="J340" s="102">
        <f t="shared" si="114"/>
        <v>0</v>
      </c>
      <c r="K340" s="103">
        <f t="shared" si="114"/>
        <v>0</v>
      </c>
      <c r="L340" s="166">
        <f t="shared" si="114"/>
        <v>1995123.94</v>
      </c>
      <c r="M340" s="102">
        <f t="shared" si="114"/>
        <v>0</v>
      </c>
      <c r="N340" s="103">
        <f t="shared" si="114"/>
        <v>0</v>
      </c>
      <c r="O340" s="193">
        <f t="shared" si="114"/>
        <v>1995123.94</v>
      </c>
      <c r="P340" s="227">
        <f t="shared" si="114"/>
        <v>0</v>
      </c>
      <c r="Q340" s="193">
        <f t="shared" si="114"/>
        <v>1995123.94</v>
      </c>
    </row>
    <row r="341" spans="1:17" ht="12.75">
      <c r="A341" s="37" t="s">
        <v>26</v>
      </c>
      <c r="B341" s="80"/>
      <c r="C341" s="139"/>
      <c r="D341" s="128"/>
      <c r="E341" s="96"/>
      <c r="F341" s="190"/>
      <c r="G341" s="261"/>
      <c r="H341" s="7"/>
      <c r="I341" s="23"/>
      <c r="J341" s="22"/>
      <c r="K341" s="7"/>
      <c r="L341" s="23"/>
      <c r="M341" s="29"/>
      <c r="N341" s="7"/>
      <c r="O341" s="210"/>
      <c r="P341" s="220"/>
      <c r="Q341" s="221"/>
    </row>
    <row r="342" spans="1:17" ht="12.75" hidden="1">
      <c r="A342" s="37" t="s">
        <v>164</v>
      </c>
      <c r="B342" s="80"/>
      <c r="C342" s="139"/>
      <c r="D342" s="128"/>
      <c r="E342" s="96"/>
      <c r="F342" s="190">
        <f aca="true" t="shared" si="115" ref="F342:F372">C342+D342+E342</f>
        <v>0</v>
      </c>
      <c r="G342" s="261"/>
      <c r="H342" s="7"/>
      <c r="I342" s="23">
        <f aca="true" t="shared" si="116" ref="I342:I372">F342+G342+H342</f>
        <v>0</v>
      </c>
      <c r="J342" s="22"/>
      <c r="K342" s="7"/>
      <c r="L342" s="23">
        <f aca="true" t="shared" si="117" ref="L342:L372">I342+J342+K342</f>
        <v>0</v>
      </c>
      <c r="M342" s="29"/>
      <c r="N342" s="7"/>
      <c r="O342" s="210">
        <f aca="true" t="shared" si="118" ref="O342:O372">L342+M342+N342</f>
        <v>0</v>
      </c>
      <c r="P342" s="220"/>
      <c r="Q342" s="221">
        <f aca="true" t="shared" si="119" ref="Q342:Q372">O342+P342</f>
        <v>0</v>
      </c>
    </row>
    <row r="343" spans="1:17" ht="12.75">
      <c r="A343" s="37" t="s">
        <v>54</v>
      </c>
      <c r="B343" s="80"/>
      <c r="C343" s="139"/>
      <c r="D343" s="128">
        <f>1914.36</f>
        <v>1914.36</v>
      </c>
      <c r="E343" s="96"/>
      <c r="F343" s="190">
        <f t="shared" si="115"/>
        <v>1914.36</v>
      </c>
      <c r="G343" s="261"/>
      <c r="H343" s="7"/>
      <c r="I343" s="23"/>
      <c r="J343" s="22"/>
      <c r="K343" s="7"/>
      <c r="L343" s="23"/>
      <c r="M343" s="29"/>
      <c r="N343" s="7"/>
      <c r="O343" s="210"/>
      <c r="P343" s="220"/>
      <c r="Q343" s="221"/>
    </row>
    <row r="344" spans="1:17" ht="12.75">
      <c r="A344" s="37" t="s">
        <v>163</v>
      </c>
      <c r="B344" s="136">
        <v>1081.1202</v>
      </c>
      <c r="C344" s="139"/>
      <c r="D344" s="128">
        <f>457</f>
        <v>457</v>
      </c>
      <c r="E344" s="96"/>
      <c r="F344" s="190">
        <f t="shared" si="115"/>
        <v>457</v>
      </c>
      <c r="G344" s="261"/>
      <c r="H344" s="7"/>
      <c r="I344" s="23">
        <f t="shared" si="116"/>
        <v>457</v>
      </c>
      <c r="J344" s="22"/>
      <c r="K344" s="7"/>
      <c r="L344" s="23">
        <f t="shared" si="117"/>
        <v>457</v>
      </c>
      <c r="M344" s="29"/>
      <c r="N344" s="7"/>
      <c r="O344" s="210">
        <f t="shared" si="118"/>
        <v>457</v>
      </c>
      <c r="P344" s="220"/>
      <c r="Q344" s="221">
        <f t="shared" si="119"/>
        <v>457</v>
      </c>
    </row>
    <row r="345" spans="1:17" ht="12.75">
      <c r="A345" s="37" t="s">
        <v>159</v>
      </c>
      <c r="B345" s="80"/>
      <c r="C345" s="139">
        <v>19868.59</v>
      </c>
      <c r="D345" s="128">
        <f>688.28</f>
        <v>688.28</v>
      </c>
      <c r="E345" s="96"/>
      <c r="F345" s="190">
        <f t="shared" si="115"/>
        <v>20556.87</v>
      </c>
      <c r="G345" s="261"/>
      <c r="H345" s="7"/>
      <c r="I345" s="23">
        <f t="shared" si="116"/>
        <v>20556.87</v>
      </c>
      <c r="J345" s="22"/>
      <c r="K345" s="7"/>
      <c r="L345" s="23">
        <f t="shared" si="117"/>
        <v>20556.87</v>
      </c>
      <c r="M345" s="29"/>
      <c r="N345" s="7"/>
      <c r="O345" s="210">
        <f t="shared" si="118"/>
        <v>20556.87</v>
      </c>
      <c r="P345" s="220"/>
      <c r="Q345" s="221">
        <f t="shared" si="119"/>
        <v>20556.87</v>
      </c>
    </row>
    <row r="346" spans="1:17" ht="12.75">
      <c r="A346" s="37" t="s">
        <v>313</v>
      </c>
      <c r="B346" s="80"/>
      <c r="C346" s="139">
        <v>7000</v>
      </c>
      <c r="D346" s="128">
        <f>10000</f>
        <v>10000</v>
      </c>
      <c r="E346" s="96"/>
      <c r="F346" s="190">
        <f t="shared" si="115"/>
        <v>17000</v>
      </c>
      <c r="G346" s="261"/>
      <c r="H346" s="7"/>
      <c r="I346" s="23">
        <f t="shared" si="116"/>
        <v>17000</v>
      </c>
      <c r="J346" s="22"/>
      <c r="K346" s="7"/>
      <c r="L346" s="23">
        <f t="shared" si="117"/>
        <v>17000</v>
      </c>
      <c r="M346" s="29"/>
      <c r="N346" s="7"/>
      <c r="O346" s="210">
        <f t="shared" si="118"/>
        <v>17000</v>
      </c>
      <c r="P346" s="220"/>
      <c r="Q346" s="221">
        <f t="shared" si="119"/>
        <v>17000</v>
      </c>
    </row>
    <row r="347" spans="1:17" ht="12.75">
      <c r="A347" s="37" t="s">
        <v>316</v>
      </c>
      <c r="B347" s="80"/>
      <c r="C347" s="139">
        <v>10000</v>
      </c>
      <c r="D347" s="128">
        <f>10000</f>
        <v>10000</v>
      </c>
      <c r="E347" s="96"/>
      <c r="F347" s="190">
        <f t="shared" si="115"/>
        <v>20000</v>
      </c>
      <c r="G347" s="261"/>
      <c r="H347" s="7"/>
      <c r="I347" s="23">
        <f t="shared" si="116"/>
        <v>20000</v>
      </c>
      <c r="J347" s="22"/>
      <c r="K347" s="7"/>
      <c r="L347" s="23">
        <f t="shared" si="117"/>
        <v>20000</v>
      </c>
      <c r="M347" s="29"/>
      <c r="N347" s="7"/>
      <c r="O347" s="210">
        <f t="shared" si="118"/>
        <v>20000</v>
      </c>
      <c r="P347" s="220"/>
      <c r="Q347" s="221">
        <f t="shared" si="119"/>
        <v>20000</v>
      </c>
    </row>
    <row r="348" spans="1:17" ht="12.75" hidden="1">
      <c r="A348" s="37" t="s">
        <v>265</v>
      </c>
      <c r="B348" s="80"/>
      <c r="C348" s="139"/>
      <c r="D348" s="180"/>
      <c r="E348" s="107"/>
      <c r="F348" s="190">
        <f t="shared" si="115"/>
        <v>0</v>
      </c>
      <c r="G348" s="261"/>
      <c r="H348" s="7"/>
      <c r="I348" s="23">
        <f t="shared" si="116"/>
        <v>0</v>
      </c>
      <c r="J348" s="22"/>
      <c r="K348" s="7"/>
      <c r="L348" s="23">
        <f t="shared" si="117"/>
        <v>0</v>
      </c>
      <c r="M348" s="29"/>
      <c r="N348" s="7"/>
      <c r="O348" s="210">
        <f t="shared" si="118"/>
        <v>0</v>
      </c>
      <c r="P348" s="220"/>
      <c r="Q348" s="221">
        <f t="shared" si="119"/>
        <v>0</v>
      </c>
    </row>
    <row r="349" spans="1:17" ht="12.75">
      <c r="A349" s="122" t="s">
        <v>216</v>
      </c>
      <c r="B349" s="80"/>
      <c r="C349" s="139"/>
      <c r="D349" s="246">
        <f>5500+1744.52</f>
        <v>7244.52</v>
      </c>
      <c r="E349" s="116"/>
      <c r="F349" s="190">
        <f t="shared" si="115"/>
        <v>7244.52</v>
      </c>
      <c r="G349" s="261"/>
      <c r="H349" s="7"/>
      <c r="I349" s="23">
        <f t="shared" si="116"/>
        <v>7244.52</v>
      </c>
      <c r="J349" s="22"/>
      <c r="K349" s="7"/>
      <c r="L349" s="23">
        <f t="shared" si="117"/>
        <v>7244.52</v>
      </c>
      <c r="M349" s="29"/>
      <c r="N349" s="7"/>
      <c r="O349" s="210">
        <f t="shared" si="118"/>
        <v>7244.52</v>
      </c>
      <c r="P349" s="220"/>
      <c r="Q349" s="221">
        <f t="shared" si="119"/>
        <v>7244.52</v>
      </c>
    </row>
    <row r="350" spans="1:17" ht="12.75">
      <c r="A350" s="37" t="s">
        <v>314</v>
      </c>
      <c r="B350" s="124">
        <v>212163</v>
      </c>
      <c r="C350" s="139">
        <v>60000</v>
      </c>
      <c r="D350" s="180">
        <f>256306.21</f>
        <v>256306.21</v>
      </c>
      <c r="E350" s="107"/>
      <c r="F350" s="190">
        <f t="shared" si="115"/>
        <v>316306.20999999996</v>
      </c>
      <c r="G350" s="261"/>
      <c r="H350" s="7"/>
      <c r="I350" s="23">
        <f t="shared" si="116"/>
        <v>316306.20999999996</v>
      </c>
      <c r="J350" s="22"/>
      <c r="K350" s="7"/>
      <c r="L350" s="23">
        <f t="shared" si="117"/>
        <v>316306.20999999996</v>
      </c>
      <c r="M350" s="29"/>
      <c r="N350" s="7"/>
      <c r="O350" s="210">
        <f t="shared" si="118"/>
        <v>316306.20999999996</v>
      </c>
      <c r="P350" s="220"/>
      <c r="Q350" s="221">
        <f t="shared" si="119"/>
        <v>316306.20999999996</v>
      </c>
    </row>
    <row r="351" spans="1:17" ht="12.75">
      <c r="A351" s="37" t="s">
        <v>221</v>
      </c>
      <c r="B351" s="124">
        <v>22777</v>
      </c>
      <c r="C351" s="139"/>
      <c r="D351" s="180">
        <f>360000</f>
        <v>360000</v>
      </c>
      <c r="E351" s="107"/>
      <c r="F351" s="190">
        <f t="shared" si="115"/>
        <v>360000</v>
      </c>
      <c r="G351" s="261"/>
      <c r="H351" s="7"/>
      <c r="I351" s="23">
        <f t="shared" si="116"/>
        <v>360000</v>
      </c>
      <c r="J351" s="22"/>
      <c r="K351" s="7"/>
      <c r="L351" s="23">
        <f t="shared" si="117"/>
        <v>360000</v>
      </c>
      <c r="M351" s="29"/>
      <c r="N351" s="7"/>
      <c r="O351" s="210">
        <f t="shared" si="118"/>
        <v>360000</v>
      </c>
      <c r="P351" s="220"/>
      <c r="Q351" s="221">
        <f t="shared" si="119"/>
        <v>360000</v>
      </c>
    </row>
    <row r="352" spans="1:17" ht="12.75">
      <c r="A352" s="37" t="s">
        <v>160</v>
      </c>
      <c r="B352" s="124">
        <v>212162</v>
      </c>
      <c r="C352" s="139"/>
      <c r="D352" s="180">
        <f>2072.3</f>
        <v>2072.3</v>
      </c>
      <c r="E352" s="107"/>
      <c r="F352" s="190">
        <f t="shared" si="115"/>
        <v>2072.3</v>
      </c>
      <c r="G352" s="261"/>
      <c r="H352" s="7"/>
      <c r="I352" s="23">
        <f t="shared" si="116"/>
        <v>2072.3</v>
      </c>
      <c r="J352" s="22"/>
      <c r="K352" s="7"/>
      <c r="L352" s="23">
        <f t="shared" si="117"/>
        <v>2072.3</v>
      </c>
      <c r="M352" s="29"/>
      <c r="N352" s="7"/>
      <c r="O352" s="210">
        <f t="shared" si="118"/>
        <v>2072.3</v>
      </c>
      <c r="P352" s="220"/>
      <c r="Q352" s="221">
        <f t="shared" si="119"/>
        <v>2072.3</v>
      </c>
    </row>
    <row r="353" spans="1:17" ht="12.75" hidden="1">
      <c r="A353" s="37" t="s">
        <v>281</v>
      </c>
      <c r="B353" s="124"/>
      <c r="C353" s="139"/>
      <c r="D353" s="180"/>
      <c r="E353" s="107"/>
      <c r="F353" s="190">
        <f t="shared" si="115"/>
        <v>0</v>
      </c>
      <c r="G353" s="261"/>
      <c r="H353" s="7"/>
      <c r="I353" s="23">
        <f t="shared" si="116"/>
        <v>0</v>
      </c>
      <c r="J353" s="22"/>
      <c r="K353" s="7"/>
      <c r="L353" s="23">
        <f t="shared" si="117"/>
        <v>0</v>
      </c>
      <c r="M353" s="29"/>
      <c r="N353" s="7"/>
      <c r="O353" s="210">
        <f t="shared" si="118"/>
        <v>0</v>
      </c>
      <c r="P353" s="220"/>
      <c r="Q353" s="221">
        <f t="shared" si="119"/>
        <v>0</v>
      </c>
    </row>
    <row r="354" spans="1:17" ht="12.75" hidden="1">
      <c r="A354" s="37" t="s">
        <v>269</v>
      </c>
      <c r="B354" s="124"/>
      <c r="C354" s="139"/>
      <c r="D354" s="180"/>
      <c r="E354" s="107"/>
      <c r="F354" s="190">
        <f t="shared" si="115"/>
        <v>0</v>
      </c>
      <c r="G354" s="261"/>
      <c r="H354" s="7"/>
      <c r="I354" s="23">
        <f t="shared" si="116"/>
        <v>0</v>
      </c>
      <c r="J354" s="22"/>
      <c r="K354" s="7"/>
      <c r="L354" s="23">
        <f t="shared" si="117"/>
        <v>0</v>
      </c>
      <c r="M354" s="29"/>
      <c r="N354" s="7"/>
      <c r="O354" s="210">
        <f t="shared" si="118"/>
        <v>0</v>
      </c>
      <c r="P354" s="220"/>
      <c r="Q354" s="221">
        <f t="shared" si="119"/>
        <v>0</v>
      </c>
    </row>
    <row r="355" spans="1:17" ht="12.75" hidden="1">
      <c r="A355" s="37" t="s">
        <v>270</v>
      </c>
      <c r="B355" s="124">
        <v>91628</v>
      </c>
      <c r="C355" s="139"/>
      <c r="D355" s="180"/>
      <c r="E355" s="107"/>
      <c r="F355" s="190">
        <f t="shared" si="115"/>
        <v>0</v>
      </c>
      <c r="G355" s="261"/>
      <c r="H355" s="7"/>
      <c r="I355" s="23">
        <f t="shared" si="116"/>
        <v>0</v>
      </c>
      <c r="J355" s="22"/>
      <c r="K355" s="7"/>
      <c r="L355" s="23">
        <f t="shared" si="117"/>
        <v>0</v>
      </c>
      <c r="M355" s="29"/>
      <c r="N355" s="7"/>
      <c r="O355" s="210">
        <f t="shared" si="118"/>
        <v>0</v>
      </c>
      <c r="P355" s="220"/>
      <c r="Q355" s="221">
        <f t="shared" si="119"/>
        <v>0</v>
      </c>
    </row>
    <row r="356" spans="1:17" ht="12.75" hidden="1">
      <c r="A356" s="37" t="s">
        <v>292</v>
      </c>
      <c r="B356" s="124">
        <v>91628</v>
      </c>
      <c r="C356" s="139"/>
      <c r="D356" s="180"/>
      <c r="E356" s="107"/>
      <c r="F356" s="190">
        <f t="shared" si="115"/>
        <v>0</v>
      </c>
      <c r="G356" s="261"/>
      <c r="H356" s="7"/>
      <c r="I356" s="23">
        <f t="shared" si="116"/>
        <v>0</v>
      </c>
      <c r="J356" s="22"/>
      <c r="K356" s="7"/>
      <c r="L356" s="23">
        <f t="shared" si="117"/>
        <v>0</v>
      </c>
      <c r="M356" s="29"/>
      <c r="N356" s="7"/>
      <c r="O356" s="210">
        <f t="shared" si="118"/>
        <v>0</v>
      </c>
      <c r="P356" s="220"/>
      <c r="Q356" s="221">
        <f t="shared" si="119"/>
        <v>0</v>
      </c>
    </row>
    <row r="357" spans="1:17" ht="12.75" hidden="1">
      <c r="A357" s="37" t="s">
        <v>190</v>
      </c>
      <c r="B357" s="80"/>
      <c r="C357" s="139"/>
      <c r="D357" s="180"/>
      <c r="E357" s="107"/>
      <c r="F357" s="190">
        <f t="shared" si="115"/>
        <v>0</v>
      </c>
      <c r="G357" s="261"/>
      <c r="H357" s="7"/>
      <c r="I357" s="23">
        <f t="shared" si="116"/>
        <v>0</v>
      </c>
      <c r="J357" s="22"/>
      <c r="K357" s="7"/>
      <c r="L357" s="23">
        <f t="shared" si="117"/>
        <v>0</v>
      </c>
      <c r="M357" s="29"/>
      <c r="N357" s="7"/>
      <c r="O357" s="210">
        <f t="shared" si="118"/>
        <v>0</v>
      </c>
      <c r="P357" s="220"/>
      <c r="Q357" s="221">
        <f t="shared" si="119"/>
        <v>0</v>
      </c>
    </row>
    <row r="358" spans="1:17" ht="12.75">
      <c r="A358" s="37" t="s">
        <v>161</v>
      </c>
      <c r="B358" s="80"/>
      <c r="C358" s="139">
        <f>SUM(C359:C372)</f>
        <v>359849.33</v>
      </c>
      <c r="D358" s="128">
        <f aca="true" t="shared" si="120" ref="D358:Q358">SUM(D359:D372)</f>
        <v>891637.71</v>
      </c>
      <c r="E358" s="96">
        <f t="shared" si="120"/>
        <v>0</v>
      </c>
      <c r="F358" s="190">
        <f t="shared" si="120"/>
        <v>1251487.04</v>
      </c>
      <c r="G358" s="222">
        <f t="shared" si="120"/>
        <v>0</v>
      </c>
      <c r="H358" s="96">
        <f t="shared" si="120"/>
        <v>0</v>
      </c>
      <c r="I358" s="163">
        <f t="shared" si="120"/>
        <v>1251487.04</v>
      </c>
      <c r="J358" s="97">
        <f t="shared" si="120"/>
        <v>0</v>
      </c>
      <c r="K358" s="96">
        <f t="shared" si="120"/>
        <v>0</v>
      </c>
      <c r="L358" s="163">
        <f t="shared" si="120"/>
        <v>1251487.04</v>
      </c>
      <c r="M358" s="97">
        <f t="shared" si="120"/>
        <v>0</v>
      </c>
      <c r="N358" s="96">
        <f t="shared" si="120"/>
        <v>0</v>
      </c>
      <c r="O358" s="190">
        <f t="shared" si="120"/>
        <v>1251487.04</v>
      </c>
      <c r="P358" s="222">
        <f t="shared" si="120"/>
        <v>0</v>
      </c>
      <c r="Q358" s="190">
        <f t="shared" si="120"/>
        <v>1251487.04</v>
      </c>
    </row>
    <row r="359" spans="1:17" ht="12.75">
      <c r="A359" s="33" t="s">
        <v>203</v>
      </c>
      <c r="B359" s="80"/>
      <c r="C359" s="145">
        <v>1500</v>
      </c>
      <c r="D359" s="180"/>
      <c r="E359" s="96"/>
      <c r="F359" s="190">
        <f>C359+D359+E359</f>
        <v>1500</v>
      </c>
      <c r="G359" s="261"/>
      <c r="H359" s="7"/>
      <c r="I359" s="23">
        <f t="shared" si="116"/>
        <v>1500</v>
      </c>
      <c r="J359" s="22"/>
      <c r="K359" s="7"/>
      <c r="L359" s="23">
        <f t="shared" si="117"/>
        <v>1500</v>
      </c>
      <c r="M359" s="29"/>
      <c r="N359" s="7"/>
      <c r="O359" s="210">
        <f t="shared" si="118"/>
        <v>1500</v>
      </c>
      <c r="P359" s="220"/>
      <c r="Q359" s="221">
        <f t="shared" si="119"/>
        <v>1500</v>
      </c>
    </row>
    <row r="360" spans="1:17" ht="12.75">
      <c r="A360" s="33" t="s">
        <v>168</v>
      </c>
      <c r="B360" s="80"/>
      <c r="C360" s="145">
        <v>10000</v>
      </c>
      <c r="D360" s="180">
        <f>92311.3+1000</f>
        <v>93311.3</v>
      </c>
      <c r="E360" s="96"/>
      <c r="F360" s="190">
        <f>C360+D360+E360</f>
        <v>103311.3</v>
      </c>
      <c r="G360" s="261"/>
      <c r="H360" s="7"/>
      <c r="I360" s="23">
        <f t="shared" si="116"/>
        <v>103311.3</v>
      </c>
      <c r="J360" s="22"/>
      <c r="K360" s="7"/>
      <c r="L360" s="23">
        <f t="shared" si="117"/>
        <v>103311.3</v>
      </c>
      <c r="M360" s="29"/>
      <c r="N360" s="7"/>
      <c r="O360" s="210">
        <f t="shared" si="118"/>
        <v>103311.3</v>
      </c>
      <c r="P360" s="220"/>
      <c r="Q360" s="221">
        <f t="shared" si="119"/>
        <v>103311.3</v>
      </c>
    </row>
    <row r="361" spans="1:17" ht="12.75">
      <c r="A361" s="33" t="s">
        <v>284</v>
      </c>
      <c r="B361" s="80"/>
      <c r="C361" s="145">
        <v>5000</v>
      </c>
      <c r="D361" s="180">
        <f>5229</f>
        <v>5229</v>
      </c>
      <c r="E361" s="96"/>
      <c r="F361" s="190">
        <f>C361+D361+E361</f>
        <v>10229</v>
      </c>
      <c r="G361" s="261"/>
      <c r="H361" s="7"/>
      <c r="I361" s="23">
        <f t="shared" si="116"/>
        <v>10229</v>
      </c>
      <c r="J361" s="22"/>
      <c r="K361" s="7"/>
      <c r="L361" s="23">
        <f t="shared" si="117"/>
        <v>10229</v>
      </c>
      <c r="M361" s="29"/>
      <c r="N361" s="7"/>
      <c r="O361" s="210">
        <f t="shared" si="118"/>
        <v>10229</v>
      </c>
      <c r="P361" s="220"/>
      <c r="Q361" s="221">
        <f t="shared" si="119"/>
        <v>10229</v>
      </c>
    </row>
    <row r="362" spans="1:17" ht="12.75" hidden="1">
      <c r="A362" s="33" t="s">
        <v>309</v>
      </c>
      <c r="B362" s="80"/>
      <c r="C362" s="145"/>
      <c r="D362" s="180"/>
      <c r="E362" s="96"/>
      <c r="F362" s="190">
        <f>C362+D362+E362</f>
        <v>0</v>
      </c>
      <c r="G362" s="261"/>
      <c r="H362" s="7"/>
      <c r="I362" s="23">
        <f t="shared" si="116"/>
        <v>0</v>
      </c>
      <c r="J362" s="22"/>
      <c r="K362" s="7"/>
      <c r="L362" s="23">
        <f t="shared" si="117"/>
        <v>0</v>
      </c>
      <c r="M362" s="29"/>
      <c r="N362" s="7"/>
      <c r="O362" s="210">
        <f t="shared" si="118"/>
        <v>0</v>
      </c>
      <c r="P362" s="220"/>
      <c r="Q362" s="221">
        <f t="shared" si="119"/>
        <v>0</v>
      </c>
    </row>
    <row r="363" spans="1:17" ht="12.75" hidden="1">
      <c r="A363" s="33" t="s">
        <v>251</v>
      </c>
      <c r="B363" s="80"/>
      <c r="C363" s="145"/>
      <c r="D363" s="180"/>
      <c r="E363" s="96"/>
      <c r="F363" s="190">
        <f t="shared" si="115"/>
        <v>0</v>
      </c>
      <c r="G363" s="261"/>
      <c r="H363" s="7"/>
      <c r="I363" s="23">
        <f t="shared" si="116"/>
        <v>0</v>
      </c>
      <c r="J363" s="22"/>
      <c r="K363" s="7"/>
      <c r="L363" s="23">
        <f t="shared" si="117"/>
        <v>0</v>
      </c>
      <c r="M363" s="29"/>
      <c r="N363" s="7"/>
      <c r="O363" s="210">
        <f t="shared" si="118"/>
        <v>0</v>
      </c>
      <c r="P363" s="220"/>
      <c r="Q363" s="221">
        <f t="shared" si="119"/>
        <v>0</v>
      </c>
    </row>
    <row r="364" spans="1:17" ht="12.75">
      <c r="A364" s="33" t="s">
        <v>215</v>
      </c>
      <c r="B364" s="80"/>
      <c r="C364" s="145">
        <v>120000</v>
      </c>
      <c r="D364" s="180">
        <f>76570.33+14500-6449.08+50000</f>
        <v>134621.25</v>
      </c>
      <c r="E364" s="96"/>
      <c r="F364" s="190">
        <f aca="true" t="shared" si="121" ref="F364:F369">C364+D364+E364</f>
        <v>254621.25</v>
      </c>
      <c r="G364" s="261"/>
      <c r="H364" s="7"/>
      <c r="I364" s="23">
        <f t="shared" si="116"/>
        <v>254621.25</v>
      </c>
      <c r="J364" s="22"/>
      <c r="K364" s="7"/>
      <c r="L364" s="23">
        <f t="shared" si="117"/>
        <v>254621.25</v>
      </c>
      <c r="M364" s="29"/>
      <c r="N364" s="7"/>
      <c r="O364" s="210">
        <f t="shared" si="118"/>
        <v>254621.25</v>
      </c>
      <c r="P364" s="220"/>
      <c r="Q364" s="221">
        <f t="shared" si="119"/>
        <v>254621.25</v>
      </c>
    </row>
    <row r="365" spans="1:17" ht="12.75">
      <c r="A365" s="33" t="s">
        <v>167</v>
      </c>
      <c r="B365" s="80"/>
      <c r="C365" s="145">
        <v>32130</v>
      </c>
      <c r="D365" s="180">
        <f>-700+7984.48+1348.06+83.43+29.04+3463.62+41.14+2772.35+1052.12+3620.21-5109.34+23.23</f>
        <v>14608.34</v>
      </c>
      <c r="E365" s="96"/>
      <c r="F365" s="190">
        <f t="shared" si="121"/>
        <v>46738.34</v>
      </c>
      <c r="G365" s="261"/>
      <c r="H365" s="7"/>
      <c r="I365" s="23">
        <f t="shared" si="116"/>
        <v>46738.34</v>
      </c>
      <c r="J365" s="22"/>
      <c r="K365" s="7"/>
      <c r="L365" s="23">
        <f t="shared" si="117"/>
        <v>46738.34</v>
      </c>
      <c r="M365" s="29"/>
      <c r="N365" s="7"/>
      <c r="O365" s="210">
        <f t="shared" si="118"/>
        <v>46738.34</v>
      </c>
      <c r="P365" s="220"/>
      <c r="Q365" s="221">
        <f t="shared" si="119"/>
        <v>46738.34</v>
      </c>
    </row>
    <row r="366" spans="1:17" ht="12.75">
      <c r="A366" s="33" t="s">
        <v>170</v>
      </c>
      <c r="B366" s="80"/>
      <c r="C366" s="145">
        <v>15030</v>
      </c>
      <c r="D366" s="180">
        <f>-530+90916.15</f>
        <v>90386.15</v>
      </c>
      <c r="E366" s="96"/>
      <c r="F366" s="190">
        <f t="shared" si="121"/>
        <v>105416.15</v>
      </c>
      <c r="G366" s="261"/>
      <c r="H366" s="7"/>
      <c r="I366" s="23">
        <f t="shared" si="116"/>
        <v>105416.15</v>
      </c>
      <c r="J366" s="22"/>
      <c r="K366" s="7"/>
      <c r="L366" s="23">
        <f t="shared" si="117"/>
        <v>105416.15</v>
      </c>
      <c r="M366" s="29"/>
      <c r="N366" s="7"/>
      <c r="O366" s="210">
        <f t="shared" si="118"/>
        <v>105416.15</v>
      </c>
      <c r="P366" s="220"/>
      <c r="Q366" s="221">
        <f t="shared" si="119"/>
        <v>105416.15</v>
      </c>
    </row>
    <row r="367" spans="1:17" ht="12.75">
      <c r="A367" s="33" t="s">
        <v>174</v>
      </c>
      <c r="B367" s="80"/>
      <c r="C367" s="145">
        <v>29900</v>
      </c>
      <c r="D367" s="180">
        <f>5303.09+37101.69+4498.66+24270</f>
        <v>71173.44</v>
      </c>
      <c r="E367" s="96"/>
      <c r="F367" s="190">
        <f t="shared" si="121"/>
        <v>101073.44</v>
      </c>
      <c r="G367" s="261"/>
      <c r="H367" s="7"/>
      <c r="I367" s="23">
        <f t="shared" si="116"/>
        <v>101073.44</v>
      </c>
      <c r="J367" s="22"/>
      <c r="K367" s="7"/>
      <c r="L367" s="23">
        <f t="shared" si="117"/>
        <v>101073.44</v>
      </c>
      <c r="M367" s="29"/>
      <c r="N367" s="7"/>
      <c r="O367" s="210">
        <f t="shared" si="118"/>
        <v>101073.44</v>
      </c>
      <c r="P367" s="220"/>
      <c r="Q367" s="221">
        <f t="shared" si="119"/>
        <v>101073.44</v>
      </c>
    </row>
    <row r="368" spans="1:17" ht="12.75">
      <c r="A368" s="33" t="s">
        <v>173</v>
      </c>
      <c r="B368" s="80"/>
      <c r="C368" s="145">
        <v>46200</v>
      </c>
      <c r="D368" s="128">
        <f>111229.84+1787.28+1140.79+2788.49+2538.29</f>
        <v>119484.68999999999</v>
      </c>
      <c r="E368" s="96"/>
      <c r="F368" s="190">
        <f t="shared" si="121"/>
        <v>165684.69</v>
      </c>
      <c r="G368" s="261"/>
      <c r="H368" s="7"/>
      <c r="I368" s="23">
        <f t="shared" si="116"/>
        <v>165684.69</v>
      </c>
      <c r="J368" s="22"/>
      <c r="K368" s="7"/>
      <c r="L368" s="23">
        <f t="shared" si="117"/>
        <v>165684.69</v>
      </c>
      <c r="M368" s="29"/>
      <c r="N368" s="7"/>
      <c r="O368" s="210">
        <f t="shared" si="118"/>
        <v>165684.69</v>
      </c>
      <c r="P368" s="220"/>
      <c r="Q368" s="221">
        <f t="shared" si="119"/>
        <v>165684.69</v>
      </c>
    </row>
    <row r="369" spans="1:17" ht="12.75" hidden="1">
      <c r="A369" s="33" t="s">
        <v>290</v>
      </c>
      <c r="B369" s="80"/>
      <c r="C369" s="145"/>
      <c r="D369" s="128"/>
      <c r="E369" s="96"/>
      <c r="F369" s="190">
        <f t="shared" si="121"/>
        <v>0</v>
      </c>
      <c r="G369" s="261"/>
      <c r="H369" s="7"/>
      <c r="I369" s="23">
        <f t="shared" si="116"/>
        <v>0</v>
      </c>
      <c r="J369" s="22"/>
      <c r="K369" s="7"/>
      <c r="L369" s="23">
        <f t="shared" si="117"/>
        <v>0</v>
      </c>
      <c r="M369" s="29"/>
      <c r="N369" s="7"/>
      <c r="O369" s="210">
        <f t="shared" si="118"/>
        <v>0</v>
      </c>
      <c r="P369" s="220"/>
      <c r="Q369" s="221">
        <f t="shared" si="119"/>
        <v>0</v>
      </c>
    </row>
    <row r="370" spans="1:17" ht="12.75">
      <c r="A370" s="33" t="s">
        <v>259</v>
      </c>
      <c r="B370" s="80">
        <v>2088</v>
      </c>
      <c r="C370" s="145"/>
      <c r="D370" s="128">
        <f>1620.82+51333.31</f>
        <v>52954.13</v>
      </c>
      <c r="E370" s="96"/>
      <c r="F370" s="190">
        <f t="shared" si="115"/>
        <v>52954.13</v>
      </c>
      <c r="G370" s="261"/>
      <c r="H370" s="7"/>
      <c r="I370" s="23">
        <f t="shared" si="116"/>
        <v>52954.13</v>
      </c>
      <c r="J370" s="22"/>
      <c r="K370" s="7"/>
      <c r="L370" s="23">
        <f t="shared" si="117"/>
        <v>52954.13</v>
      </c>
      <c r="M370" s="29"/>
      <c r="N370" s="7"/>
      <c r="O370" s="210">
        <f t="shared" si="118"/>
        <v>52954.13</v>
      </c>
      <c r="P370" s="220"/>
      <c r="Q370" s="221">
        <f t="shared" si="119"/>
        <v>52954.13</v>
      </c>
    </row>
    <row r="371" spans="1:17" ht="12.75">
      <c r="A371" s="37" t="s">
        <v>226</v>
      </c>
      <c r="B371" s="80">
        <v>2077</v>
      </c>
      <c r="C371" s="145">
        <v>100089.33</v>
      </c>
      <c r="D371" s="128">
        <f>183392.29-1000-3900-36.44-7132.51-1338.77-49.4-13.79-1746.12-29.52-2758.22-491.12-3608.52+6449.08+4741.14+404.5-13.94-100-50000-400</f>
        <v>122368.66000000003</v>
      </c>
      <c r="E371" s="96"/>
      <c r="F371" s="190">
        <f t="shared" si="115"/>
        <v>222457.99000000005</v>
      </c>
      <c r="G371" s="261"/>
      <c r="H371" s="7"/>
      <c r="I371" s="23">
        <f t="shared" si="116"/>
        <v>222457.99000000005</v>
      </c>
      <c r="J371" s="22"/>
      <c r="K371" s="7"/>
      <c r="L371" s="23">
        <f t="shared" si="117"/>
        <v>222457.99000000005</v>
      </c>
      <c r="M371" s="29"/>
      <c r="N371" s="7"/>
      <c r="O371" s="210">
        <f t="shared" si="118"/>
        <v>222457.99000000005</v>
      </c>
      <c r="P371" s="220"/>
      <c r="Q371" s="221">
        <f t="shared" si="119"/>
        <v>222457.99000000005</v>
      </c>
    </row>
    <row r="372" spans="1:18" ht="12.75">
      <c r="A372" s="43" t="s">
        <v>260</v>
      </c>
      <c r="B372" s="83">
        <v>2099</v>
      </c>
      <c r="C372" s="253"/>
      <c r="D372" s="244">
        <f>13200+106180.49+3900+34500-2000-4000-37101.69-206.47-10630.94-9.29-34.03-15.25-1787.28-1140.79-1717.5-11.62-14.13+1016.76-2445.98-2782.99-1052.12-4498.66-11.69-2788.49+500+3000-2538.29-9.29+50000+50000</f>
        <v>187500.75</v>
      </c>
      <c r="E372" s="104"/>
      <c r="F372" s="195">
        <f t="shared" si="115"/>
        <v>187500.75</v>
      </c>
      <c r="G372" s="263"/>
      <c r="H372" s="10"/>
      <c r="I372" s="27">
        <f t="shared" si="116"/>
        <v>187500.75</v>
      </c>
      <c r="J372" s="26"/>
      <c r="K372" s="10"/>
      <c r="L372" s="27">
        <f t="shared" si="117"/>
        <v>187500.75</v>
      </c>
      <c r="M372" s="68"/>
      <c r="N372" s="10"/>
      <c r="O372" s="213">
        <f t="shared" si="118"/>
        <v>187500.75</v>
      </c>
      <c r="P372" s="229"/>
      <c r="Q372" s="230">
        <f t="shared" si="119"/>
        <v>187500.75</v>
      </c>
      <c r="R372" s="60"/>
    </row>
    <row r="373" spans="1:17" ht="12.75">
      <c r="A373" s="30" t="s">
        <v>86</v>
      </c>
      <c r="B373" s="84"/>
      <c r="C373" s="138">
        <f>C374+C405</f>
        <v>371434</v>
      </c>
      <c r="D373" s="117">
        <f aca="true" t="shared" si="122" ref="D373:Q373">D374+D405</f>
        <v>1602417.67</v>
      </c>
      <c r="E373" s="95">
        <f t="shared" si="122"/>
        <v>0</v>
      </c>
      <c r="F373" s="189">
        <f t="shared" si="122"/>
        <v>1973851.6700000002</v>
      </c>
      <c r="G373" s="219">
        <f t="shared" si="122"/>
        <v>0</v>
      </c>
      <c r="H373" s="95">
        <f t="shared" si="122"/>
        <v>0</v>
      </c>
      <c r="I373" s="162">
        <f t="shared" si="122"/>
        <v>1828256.6300000001</v>
      </c>
      <c r="J373" s="94">
        <f t="shared" si="122"/>
        <v>0</v>
      </c>
      <c r="K373" s="95">
        <f t="shared" si="122"/>
        <v>0</v>
      </c>
      <c r="L373" s="162">
        <f t="shared" si="122"/>
        <v>1828256.6300000001</v>
      </c>
      <c r="M373" s="94">
        <f t="shared" si="122"/>
        <v>0</v>
      </c>
      <c r="N373" s="95">
        <f t="shared" si="122"/>
        <v>0</v>
      </c>
      <c r="O373" s="189">
        <f t="shared" si="122"/>
        <v>1828256.6300000001</v>
      </c>
      <c r="P373" s="219">
        <f t="shared" si="122"/>
        <v>0</v>
      </c>
      <c r="Q373" s="189">
        <f t="shared" si="122"/>
        <v>1828256.6300000001</v>
      </c>
    </row>
    <row r="374" spans="1:17" ht="12.75">
      <c r="A374" s="39" t="s">
        <v>49</v>
      </c>
      <c r="B374" s="84"/>
      <c r="C374" s="143">
        <f>SUM(C376:C404)</f>
        <v>371434</v>
      </c>
      <c r="D374" s="131">
        <f aca="true" t="shared" si="123" ref="D374:Q374">SUM(D376:D404)</f>
        <v>1588097.17</v>
      </c>
      <c r="E374" s="103">
        <f t="shared" si="123"/>
        <v>0</v>
      </c>
      <c r="F374" s="193">
        <f t="shared" si="123"/>
        <v>1959531.1700000002</v>
      </c>
      <c r="G374" s="227">
        <f t="shared" si="123"/>
        <v>0</v>
      </c>
      <c r="H374" s="103">
        <f t="shared" si="123"/>
        <v>0</v>
      </c>
      <c r="I374" s="166">
        <f t="shared" si="123"/>
        <v>1813936.1300000001</v>
      </c>
      <c r="J374" s="102">
        <f t="shared" si="123"/>
        <v>0</v>
      </c>
      <c r="K374" s="103">
        <f t="shared" si="123"/>
        <v>0</v>
      </c>
      <c r="L374" s="166">
        <f t="shared" si="123"/>
        <v>1813936.1300000001</v>
      </c>
      <c r="M374" s="102">
        <f t="shared" si="123"/>
        <v>0</v>
      </c>
      <c r="N374" s="103">
        <f t="shared" si="123"/>
        <v>0</v>
      </c>
      <c r="O374" s="193">
        <f t="shared" si="123"/>
        <v>1813936.1300000001</v>
      </c>
      <c r="P374" s="227">
        <f t="shared" si="123"/>
        <v>0</v>
      </c>
      <c r="Q374" s="193">
        <f t="shared" si="123"/>
        <v>1813936.1300000001</v>
      </c>
    </row>
    <row r="375" spans="1:17" ht="12.75">
      <c r="A375" s="35" t="s">
        <v>26</v>
      </c>
      <c r="B375" s="80"/>
      <c r="C375" s="139"/>
      <c r="D375" s="128"/>
      <c r="E375" s="96"/>
      <c r="F375" s="190"/>
      <c r="G375" s="261"/>
      <c r="H375" s="7"/>
      <c r="I375" s="23"/>
      <c r="J375" s="22"/>
      <c r="K375" s="7"/>
      <c r="L375" s="23"/>
      <c r="M375" s="22"/>
      <c r="N375" s="7"/>
      <c r="O375" s="210"/>
      <c r="P375" s="220"/>
      <c r="Q375" s="221"/>
    </row>
    <row r="376" spans="1:17" ht="13.5" thickBot="1">
      <c r="A376" s="278" t="s">
        <v>87</v>
      </c>
      <c r="B376" s="279"/>
      <c r="C376" s="272">
        <v>286700</v>
      </c>
      <c r="D376" s="273">
        <f>23000</f>
        <v>23000</v>
      </c>
      <c r="E376" s="274"/>
      <c r="F376" s="275">
        <f aca="true" t="shared" si="124" ref="F376:F404">C376+D376+E376</f>
        <v>309700</v>
      </c>
      <c r="G376" s="261"/>
      <c r="H376" s="7"/>
      <c r="I376" s="23">
        <f>F376+G376+H376</f>
        <v>309700</v>
      </c>
      <c r="J376" s="22"/>
      <c r="K376" s="7"/>
      <c r="L376" s="23">
        <f>I376+J376+K376</f>
        <v>309700</v>
      </c>
      <c r="M376" s="22"/>
      <c r="N376" s="7"/>
      <c r="O376" s="210">
        <f>L376+M376+N376</f>
        <v>309700</v>
      </c>
      <c r="P376" s="220"/>
      <c r="Q376" s="221">
        <f>O376+P376</f>
        <v>309700</v>
      </c>
    </row>
    <row r="377" spans="1:17" ht="12.75" hidden="1">
      <c r="A377" s="81" t="s">
        <v>195</v>
      </c>
      <c r="B377" s="86"/>
      <c r="C377" s="139"/>
      <c r="D377" s="128"/>
      <c r="E377" s="96"/>
      <c r="F377" s="190">
        <f t="shared" si="124"/>
        <v>0</v>
      </c>
      <c r="G377" s="261"/>
      <c r="H377" s="7"/>
      <c r="I377" s="23">
        <f aca="true" t="shared" si="125" ref="I377:I404">F377+G377+H377</f>
        <v>0</v>
      </c>
      <c r="J377" s="22"/>
      <c r="K377" s="7"/>
      <c r="L377" s="23">
        <f aca="true" t="shared" si="126" ref="L377:L404">I377+J377+K377</f>
        <v>0</v>
      </c>
      <c r="M377" s="22"/>
      <c r="N377" s="7"/>
      <c r="O377" s="210">
        <f aca="true" t="shared" si="127" ref="O377:O404">L377+M377+N377</f>
        <v>0</v>
      </c>
      <c r="P377" s="220"/>
      <c r="Q377" s="221">
        <f aca="true" t="shared" si="128" ref="Q377:Q404">O377+P377</f>
        <v>0</v>
      </c>
    </row>
    <row r="378" spans="1:17" ht="12.75" hidden="1">
      <c r="A378" s="33" t="s">
        <v>138</v>
      </c>
      <c r="B378" s="80"/>
      <c r="C378" s="139"/>
      <c r="D378" s="128"/>
      <c r="E378" s="96"/>
      <c r="F378" s="190">
        <f t="shared" si="124"/>
        <v>0</v>
      </c>
      <c r="G378" s="261"/>
      <c r="H378" s="7"/>
      <c r="I378" s="23">
        <f t="shared" si="125"/>
        <v>0</v>
      </c>
      <c r="J378" s="22"/>
      <c r="K378" s="7"/>
      <c r="L378" s="23">
        <f t="shared" si="126"/>
        <v>0</v>
      </c>
      <c r="M378" s="22"/>
      <c r="N378" s="7"/>
      <c r="O378" s="210">
        <f t="shared" si="127"/>
        <v>0</v>
      </c>
      <c r="P378" s="220"/>
      <c r="Q378" s="221">
        <f t="shared" si="128"/>
        <v>0</v>
      </c>
    </row>
    <row r="379" spans="1:17" ht="12.75">
      <c r="A379" s="33" t="s">
        <v>154</v>
      </c>
      <c r="B379" s="80"/>
      <c r="C379" s="139">
        <v>70000</v>
      </c>
      <c r="D379" s="128">
        <f>-981+5192.63</f>
        <v>4211.63</v>
      </c>
      <c r="E379" s="96"/>
      <c r="F379" s="190">
        <f t="shared" si="124"/>
        <v>74211.63</v>
      </c>
      <c r="G379" s="261"/>
      <c r="H379" s="7"/>
      <c r="I379" s="23">
        <f t="shared" si="125"/>
        <v>74211.63</v>
      </c>
      <c r="J379" s="22"/>
      <c r="K379" s="7"/>
      <c r="L379" s="23">
        <f t="shared" si="126"/>
        <v>74211.63</v>
      </c>
      <c r="M379" s="22"/>
      <c r="N379" s="7"/>
      <c r="O379" s="210">
        <f t="shared" si="127"/>
        <v>74211.63</v>
      </c>
      <c r="P379" s="220"/>
      <c r="Q379" s="221">
        <f t="shared" si="128"/>
        <v>74211.63</v>
      </c>
    </row>
    <row r="380" spans="1:17" ht="12.75">
      <c r="A380" s="33" t="s">
        <v>51</v>
      </c>
      <c r="B380" s="80"/>
      <c r="C380" s="139">
        <v>14244</v>
      </c>
      <c r="D380" s="128">
        <f>-5500</f>
        <v>-5500</v>
      </c>
      <c r="E380" s="96"/>
      <c r="F380" s="190">
        <f t="shared" si="124"/>
        <v>8744</v>
      </c>
      <c r="G380" s="261"/>
      <c r="H380" s="7"/>
      <c r="I380" s="23">
        <f t="shared" si="125"/>
        <v>8744</v>
      </c>
      <c r="J380" s="22"/>
      <c r="K380" s="7"/>
      <c r="L380" s="23">
        <f t="shared" si="126"/>
        <v>8744</v>
      </c>
      <c r="M380" s="22"/>
      <c r="N380" s="7"/>
      <c r="O380" s="210">
        <f t="shared" si="127"/>
        <v>8744</v>
      </c>
      <c r="P380" s="220"/>
      <c r="Q380" s="221">
        <f t="shared" si="128"/>
        <v>8744</v>
      </c>
    </row>
    <row r="381" spans="1:17" ht="12.75" hidden="1">
      <c r="A381" s="33" t="s">
        <v>63</v>
      </c>
      <c r="B381" s="80"/>
      <c r="C381" s="139"/>
      <c r="D381" s="128"/>
      <c r="E381" s="96"/>
      <c r="F381" s="190">
        <f t="shared" si="124"/>
        <v>0</v>
      </c>
      <c r="G381" s="261"/>
      <c r="H381" s="7"/>
      <c r="I381" s="23">
        <f t="shared" si="125"/>
        <v>0</v>
      </c>
      <c r="J381" s="22"/>
      <c r="K381" s="7"/>
      <c r="L381" s="23">
        <f t="shared" si="126"/>
        <v>0</v>
      </c>
      <c r="M381" s="22"/>
      <c r="N381" s="7"/>
      <c r="O381" s="210">
        <f t="shared" si="127"/>
        <v>0</v>
      </c>
      <c r="P381" s="220"/>
      <c r="Q381" s="221">
        <f t="shared" si="128"/>
        <v>0</v>
      </c>
    </row>
    <row r="382" spans="1:17" ht="12.75" hidden="1">
      <c r="A382" s="33" t="s">
        <v>247</v>
      </c>
      <c r="B382" s="80">
        <v>13013</v>
      </c>
      <c r="C382" s="139"/>
      <c r="D382" s="128"/>
      <c r="E382" s="96"/>
      <c r="F382" s="190">
        <f t="shared" si="124"/>
        <v>0</v>
      </c>
      <c r="G382" s="261"/>
      <c r="H382" s="7"/>
      <c r="I382" s="23">
        <f t="shared" si="125"/>
        <v>0</v>
      </c>
      <c r="J382" s="22"/>
      <c r="K382" s="7"/>
      <c r="L382" s="23">
        <f t="shared" si="126"/>
        <v>0</v>
      </c>
      <c r="M382" s="22"/>
      <c r="N382" s="7"/>
      <c r="O382" s="210">
        <f t="shared" si="127"/>
        <v>0</v>
      </c>
      <c r="P382" s="220"/>
      <c r="Q382" s="221">
        <f t="shared" si="128"/>
        <v>0</v>
      </c>
    </row>
    <row r="383" spans="1:17" ht="12.75" hidden="1">
      <c r="A383" s="81" t="s">
        <v>303</v>
      </c>
      <c r="B383" s="80">
        <v>2178</v>
      </c>
      <c r="C383" s="139"/>
      <c r="D383" s="128"/>
      <c r="E383" s="96"/>
      <c r="F383" s="190">
        <f t="shared" si="124"/>
        <v>0</v>
      </c>
      <c r="G383" s="261"/>
      <c r="H383" s="7"/>
      <c r="I383" s="23">
        <f t="shared" si="125"/>
        <v>0</v>
      </c>
      <c r="J383" s="22"/>
      <c r="K383" s="7"/>
      <c r="L383" s="23">
        <f t="shared" si="126"/>
        <v>0</v>
      </c>
      <c r="M383" s="22"/>
      <c r="N383" s="7"/>
      <c r="O383" s="210">
        <f t="shared" si="127"/>
        <v>0</v>
      </c>
      <c r="P383" s="220"/>
      <c r="Q383" s="221">
        <f t="shared" si="128"/>
        <v>0</v>
      </c>
    </row>
    <row r="384" spans="1:17" ht="12.75" hidden="1">
      <c r="A384" s="33" t="s">
        <v>304</v>
      </c>
      <c r="B384" s="80">
        <v>2073</v>
      </c>
      <c r="C384" s="139"/>
      <c r="D384" s="128"/>
      <c r="E384" s="96"/>
      <c r="F384" s="190">
        <f t="shared" si="124"/>
        <v>0</v>
      </c>
      <c r="G384" s="261"/>
      <c r="H384" s="7"/>
      <c r="I384" s="23">
        <f t="shared" si="125"/>
        <v>0</v>
      </c>
      <c r="J384" s="22"/>
      <c r="K384" s="7"/>
      <c r="L384" s="23">
        <f t="shared" si="126"/>
        <v>0</v>
      </c>
      <c r="M384" s="22"/>
      <c r="N384" s="7"/>
      <c r="O384" s="210">
        <f t="shared" si="127"/>
        <v>0</v>
      </c>
      <c r="P384" s="220"/>
      <c r="Q384" s="221">
        <f t="shared" si="128"/>
        <v>0</v>
      </c>
    </row>
    <row r="385" spans="1:17" ht="12.75" hidden="1">
      <c r="A385" s="33" t="s">
        <v>300</v>
      </c>
      <c r="B385" s="80"/>
      <c r="C385" s="139"/>
      <c r="D385" s="128"/>
      <c r="E385" s="96"/>
      <c r="F385" s="190">
        <f t="shared" si="124"/>
        <v>0</v>
      </c>
      <c r="G385" s="261"/>
      <c r="H385" s="7"/>
      <c r="I385" s="23">
        <f t="shared" si="125"/>
        <v>0</v>
      </c>
      <c r="J385" s="22"/>
      <c r="K385" s="7"/>
      <c r="L385" s="23">
        <f t="shared" si="126"/>
        <v>0</v>
      </c>
      <c r="M385" s="22"/>
      <c r="N385" s="7"/>
      <c r="O385" s="210">
        <f t="shared" si="127"/>
        <v>0</v>
      </c>
      <c r="P385" s="220"/>
      <c r="Q385" s="221">
        <f t="shared" si="128"/>
        <v>0</v>
      </c>
    </row>
    <row r="386" spans="1:17" ht="12.75">
      <c r="A386" s="33" t="s">
        <v>339</v>
      </c>
      <c r="B386" s="80">
        <v>1230</v>
      </c>
      <c r="C386" s="139"/>
      <c r="D386" s="128">
        <f>3334.03</f>
        <v>3334.03</v>
      </c>
      <c r="E386" s="96"/>
      <c r="F386" s="190">
        <f t="shared" si="124"/>
        <v>3334.03</v>
      </c>
      <c r="G386" s="261"/>
      <c r="H386" s="7"/>
      <c r="I386" s="23">
        <f t="shared" si="125"/>
        <v>3334.03</v>
      </c>
      <c r="J386" s="22"/>
      <c r="K386" s="7"/>
      <c r="L386" s="23">
        <f t="shared" si="126"/>
        <v>3334.03</v>
      </c>
      <c r="M386" s="22"/>
      <c r="N386" s="7"/>
      <c r="O386" s="210">
        <f t="shared" si="127"/>
        <v>3334.03</v>
      </c>
      <c r="P386" s="220"/>
      <c r="Q386" s="221">
        <f t="shared" si="128"/>
        <v>3334.03</v>
      </c>
    </row>
    <row r="387" spans="1:17" ht="12.75">
      <c r="A387" s="33" t="s">
        <v>340</v>
      </c>
      <c r="B387" s="80">
        <v>1238</v>
      </c>
      <c r="C387" s="139"/>
      <c r="D387" s="128">
        <f>72093.82</f>
        <v>72093.82</v>
      </c>
      <c r="E387" s="96"/>
      <c r="F387" s="190">
        <f t="shared" si="124"/>
        <v>72093.82</v>
      </c>
      <c r="G387" s="261"/>
      <c r="H387" s="7"/>
      <c r="I387" s="23"/>
      <c r="J387" s="22"/>
      <c r="K387" s="7"/>
      <c r="L387" s="23"/>
      <c r="M387" s="22"/>
      <c r="N387" s="7"/>
      <c r="O387" s="210"/>
      <c r="P387" s="220"/>
      <c r="Q387" s="221"/>
    </row>
    <row r="388" spans="1:17" ht="12.75">
      <c r="A388" s="33" t="s">
        <v>318</v>
      </c>
      <c r="B388" s="80"/>
      <c r="C388" s="139"/>
      <c r="D388" s="128">
        <f>47237.11</f>
        <v>47237.11</v>
      </c>
      <c r="E388" s="96"/>
      <c r="F388" s="190">
        <f t="shared" si="124"/>
        <v>47237.11</v>
      </c>
      <c r="G388" s="261"/>
      <c r="H388" s="7"/>
      <c r="I388" s="23"/>
      <c r="J388" s="22"/>
      <c r="K388" s="7"/>
      <c r="L388" s="23"/>
      <c r="M388" s="22"/>
      <c r="N388" s="7"/>
      <c r="O388" s="210"/>
      <c r="P388" s="220"/>
      <c r="Q388" s="221"/>
    </row>
    <row r="389" spans="1:17" ht="12.75">
      <c r="A389" s="42" t="s">
        <v>319</v>
      </c>
      <c r="B389" s="80">
        <v>2090</v>
      </c>
      <c r="C389" s="139"/>
      <c r="D389" s="128">
        <f>5532.56</f>
        <v>5532.56</v>
      </c>
      <c r="E389" s="96"/>
      <c r="F389" s="190">
        <f t="shared" si="124"/>
        <v>5532.56</v>
      </c>
      <c r="G389" s="261"/>
      <c r="H389" s="7"/>
      <c r="I389" s="23"/>
      <c r="J389" s="22"/>
      <c r="K389" s="7"/>
      <c r="L389" s="23"/>
      <c r="M389" s="22"/>
      <c r="N389" s="7"/>
      <c r="O389" s="210"/>
      <c r="P389" s="220"/>
      <c r="Q389" s="221"/>
    </row>
    <row r="390" spans="1:17" ht="12.75">
      <c r="A390" s="33" t="s">
        <v>336</v>
      </c>
      <c r="B390" s="80">
        <v>1240</v>
      </c>
      <c r="C390" s="139"/>
      <c r="D390" s="128">
        <f>9050.52</f>
        <v>9050.52</v>
      </c>
      <c r="E390" s="96"/>
      <c r="F390" s="190">
        <f t="shared" si="124"/>
        <v>9050.52</v>
      </c>
      <c r="G390" s="261"/>
      <c r="H390" s="7"/>
      <c r="I390" s="23">
        <f t="shared" si="125"/>
        <v>9050.52</v>
      </c>
      <c r="J390" s="22"/>
      <c r="K390" s="7"/>
      <c r="L390" s="23">
        <f t="shared" si="126"/>
        <v>9050.52</v>
      </c>
      <c r="M390" s="22"/>
      <c r="N390" s="7"/>
      <c r="O390" s="210">
        <f t="shared" si="127"/>
        <v>9050.52</v>
      </c>
      <c r="P390" s="220"/>
      <c r="Q390" s="221">
        <f t="shared" si="128"/>
        <v>9050.52</v>
      </c>
    </row>
    <row r="391" spans="1:17" ht="12.75" hidden="1">
      <c r="A391" s="33" t="s">
        <v>311</v>
      </c>
      <c r="B391" s="80"/>
      <c r="C391" s="139"/>
      <c r="D391" s="128"/>
      <c r="E391" s="96"/>
      <c r="F391" s="190">
        <f t="shared" si="124"/>
        <v>0</v>
      </c>
      <c r="G391" s="261"/>
      <c r="H391" s="7"/>
      <c r="I391" s="23">
        <f t="shared" si="125"/>
        <v>0</v>
      </c>
      <c r="J391" s="22"/>
      <c r="K391" s="7"/>
      <c r="L391" s="23">
        <f t="shared" si="126"/>
        <v>0</v>
      </c>
      <c r="M391" s="22"/>
      <c r="N391" s="7"/>
      <c r="O391" s="210">
        <f t="shared" si="127"/>
        <v>0</v>
      </c>
      <c r="P391" s="220"/>
      <c r="Q391" s="221">
        <f t="shared" si="128"/>
        <v>0</v>
      </c>
    </row>
    <row r="392" spans="1:17" ht="12.75">
      <c r="A392" s="33" t="s">
        <v>337</v>
      </c>
      <c r="B392" s="80">
        <v>1235</v>
      </c>
      <c r="C392" s="139"/>
      <c r="D392" s="128">
        <f>5055.88</f>
        <v>5055.88</v>
      </c>
      <c r="E392" s="96"/>
      <c r="F392" s="190">
        <f t="shared" si="124"/>
        <v>5055.88</v>
      </c>
      <c r="G392" s="261"/>
      <c r="H392" s="7"/>
      <c r="I392" s="23"/>
      <c r="J392" s="22"/>
      <c r="K392" s="7"/>
      <c r="L392" s="23"/>
      <c r="M392" s="22"/>
      <c r="N392" s="7"/>
      <c r="O392" s="210"/>
      <c r="P392" s="220"/>
      <c r="Q392" s="221"/>
    </row>
    <row r="393" spans="1:17" ht="12.75">
      <c r="A393" s="33" t="s">
        <v>338</v>
      </c>
      <c r="B393" s="80">
        <v>1236</v>
      </c>
      <c r="C393" s="139"/>
      <c r="D393" s="128">
        <f>11477.99</f>
        <v>11477.99</v>
      </c>
      <c r="E393" s="96"/>
      <c r="F393" s="190">
        <f t="shared" si="124"/>
        <v>11477.99</v>
      </c>
      <c r="G393" s="261"/>
      <c r="H393" s="7"/>
      <c r="I393" s="23"/>
      <c r="J393" s="22"/>
      <c r="K393" s="7"/>
      <c r="L393" s="23"/>
      <c r="M393" s="22"/>
      <c r="N393" s="7"/>
      <c r="O393" s="210"/>
      <c r="P393" s="220"/>
      <c r="Q393" s="221"/>
    </row>
    <row r="394" spans="1:17" ht="12.75">
      <c r="A394" s="33" t="s">
        <v>341</v>
      </c>
      <c r="B394" s="80">
        <v>1237</v>
      </c>
      <c r="C394" s="139"/>
      <c r="D394" s="128">
        <f>2664.02</f>
        <v>2664.02</v>
      </c>
      <c r="E394" s="96"/>
      <c r="F394" s="190">
        <f t="shared" si="124"/>
        <v>2664.02</v>
      </c>
      <c r="G394" s="261"/>
      <c r="H394" s="7"/>
      <c r="I394" s="23"/>
      <c r="J394" s="22"/>
      <c r="K394" s="7"/>
      <c r="L394" s="23"/>
      <c r="M394" s="22"/>
      <c r="N394" s="7"/>
      <c r="O394" s="210"/>
      <c r="P394" s="220"/>
      <c r="Q394" s="221"/>
    </row>
    <row r="395" spans="1:17" ht="12.75">
      <c r="A395" s="33" t="s">
        <v>342</v>
      </c>
      <c r="B395" s="80">
        <v>1241</v>
      </c>
      <c r="C395" s="139"/>
      <c r="D395" s="128">
        <f>1533.66</f>
        <v>1533.66</v>
      </c>
      <c r="E395" s="96"/>
      <c r="F395" s="190">
        <f t="shared" si="124"/>
        <v>1533.66</v>
      </c>
      <c r="G395" s="261"/>
      <c r="H395" s="7"/>
      <c r="I395" s="23"/>
      <c r="J395" s="22"/>
      <c r="K395" s="7"/>
      <c r="L395" s="23"/>
      <c r="M395" s="22"/>
      <c r="N395" s="7"/>
      <c r="O395" s="210"/>
      <c r="P395" s="220"/>
      <c r="Q395" s="221"/>
    </row>
    <row r="396" spans="1:17" ht="12.75" hidden="1">
      <c r="A396" s="33" t="s">
        <v>305</v>
      </c>
      <c r="B396" s="80">
        <v>1233</v>
      </c>
      <c r="C396" s="139"/>
      <c r="D396" s="128"/>
      <c r="E396" s="96"/>
      <c r="F396" s="190">
        <f t="shared" si="124"/>
        <v>0</v>
      </c>
      <c r="G396" s="261"/>
      <c r="H396" s="7"/>
      <c r="I396" s="23">
        <f t="shared" si="125"/>
        <v>0</v>
      </c>
      <c r="J396" s="22"/>
      <c r="K396" s="7"/>
      <c r="L396" s="23">
        <f t="shared" si="126"/>
        <v>0</v>
      </c>
      <c r="M396" s="22"/>
      <c r="N396" s="7"/>
      <c r="O396" s="210">
        <f t="shared" si="127"/>
        <v>0</v>
      </c>
      <c r="P396" s="220"/>
      <c r="Q396" s="221">
        <f t="shared" si="128"/>
        <v>0</v>
      </c>
    </row>
    <row r="397" spans="1:17" ht="12.75">
      <c r="A397" s="81" t="s">
        <v>191</v>
      </c>
      <c r="B397" s="80">
        <v>13305</v>
      </c>
      <c r="C397" s="139"/>
      <c r="D397" s="128">
        <f>1355855.4</f>
        <v>1355855.4</v>
      </c>
      <c r="E397" s="96"/>
      <c r="F397" s="190">
        <f t="shared" si="124"/>
        <v>1355855.4</v>
      </c>
      <c r="G397" s="261"/>
      <c r="H397" s="7"/>
      <c r="I397" s="23">
        <f t="shared" si="125"/>
        <v>1355855.4</v>
      </c>
      <c r="J397" s="22"/>
      <c r="K397" s="7"/>
      <c r="L397" s="23">
        <f t="shared" si="126"/>
        <v>1355855.4</v>
      </c>
      <c r="M397" s="22"/>
      <c r="N397" s="7"/>
      <c r="O397" s="210">
        <f t="shared" si="127"/>
        <v>1355855.4</v>
      </c>
      <c r="P397" s="220"/>
      <c r="Q397" s="221">
        <f t="shared" si="128"/>
        <v>1355855.4</v>
      </c>
    </row>
    <row r="398" spans="1:17" ht="12.75">
      <c r="A398" s="33" t="s">
        <v>88</v>
      </c>
      <c r="B398" s="80">
        <v>13307</v>
      </c>
      <c r="C398" s="139"/>
      <c r="D398" s="128">
        <f>13300</f>
        <v>13300</v>
      </c>
      <c r="E398" s="96"/>
      <c r="F398" s="190">
        <f t="shared" si="124"/>
        <v>13300</v>
      </c>
      <c r="G398" s="261"/>
      <c r="H398" s="7"/>
      <c r="I398" s="23">
        <f t="shared" si="125"/>
        <v>13300</v>
      </c>
      <c r="J398" s="22"/>
      <c r="K398" s="7"/>
      <c r="L398" s="23">
        <f t="shared" si="126"/>
        <v>13300</v>
      </c>
      <c r="M398" s="22"/>
      <c r="N398" s="7"/>
      <c r="O398" s="210">
        <f t="shared" si="127"/>
        <v>13300</v>
      </c>
      <c r="P398" s="220"/>
      <c r="Q398" s="221">
        <f t="shared" si="128"/>
        <v>13300</v>
      </c>
    </row>
    <row r="399" spans="1:17" ht="12.75" hidden="1">
      <c r="A399" s="33" t="s">
        <v>137</v>
      </c>
      <c r="B399" s="80">
        <v>14032</v>
      </c>
      <c r="C399" s="139"/>
      <c r="D399" s="128"/>
      <c r="E399" s="96"/>
      <c r="F399" s="190">
        <f t="shared" si="124"/>
        <v>0</v>
      </c>
      <c r="G399" s="261"/>
      <c r="H399" s="7"/>
      <c r="I399" s="23">
        <f t="shared" si="125"/>
        <v>0</v>
      </c>
      <c r="J399" s="22"/>
      <c r="K399" s="7"/>
      <c r="L399" s="23">
        <f t="shared" si="126"/>
        <v>0</v>
      </c>
      <c r="M399" s="22"/>
      <c r="N399" s="7"/>
      <c r="O399" s="210">
        <f t="shared" si="127"/>
        <v>0</v>
      </c>
      <c r="P399" s="220"/>
      <c r="Q399" s="221">
        <f t="shared" si="128"/>
        <v>0</v>
      </c>
    </row>
    <row r="400" spans="1:17" ht="12.75" hidden="1">
      <c r="A400" s="81" t="s">
        <v>306</v>
      </c>
      <c r="B400" s="80">
        <v>13351</v>
      </c>
      <c r="C400" s="139"/>
      <c r="D400" s="128"/>
      <c r="E400" s="96"/>
      <c r="F400" s="190">
        <f t="shared" si="124"/>
        <v>0</v>
      </c>
      <c r="G400" s="261"/>
      <c r="H400" s="7"/>
      <c r="I400" s="23">
        <f t="shared" si="125"/>
        <v>0</v>
      </c>
      <c r="J400" s="22"/>
      <c r="K400" s="7"/>
      <c r="L400" s="23">
        <f t="shared" si="126"/>
        <v>0</v>
      </c>
      <c r="M400" s="22"/>
      <c r="N400" s="7"/>
      <c r="O400" s="210">
        <f t="shared" si="127"/>
        <v>0</v>
      </c>
      <c r="P400" s="220"/>
      <c r="Q400" s="221">
        <f t="shared" si="128"/>
        <v>0</v>
      </c>
    </row>
    <row r="401" spans="1:17" ht="12.75" hidden="1">
      <c r="A401" s="53" t="s">
        <v>293</v>
      </c>
      <c r="B401" s="80">
        <v>13351</v>
      </c>
      <c r="C401" s="139"/>
      <c r="D401" s="128"/>
      <c r="E401" s="96"/>
      <c r="F401" s="190">
        <f t="shared" si="124"/>
        <v>0</v>
      </c>
      <c r="G401" s="261"/>
      <c r="H401" s="7"/>
      <c r="I401" s="23">
        <f t="shared" si="125"/>
        <v>0</v>
      </c>
      <c r="J401" s="22"/>
      <c r="K401" s="7"/>
      <c r="L401" s="23">
        <f t="shared" si="126"/>
        <v>0</v>
      </c>
      <c r="M401" s="22"/>
      <c r="N401" s="7"/>
      <c r="O401" s="210">
        <f t="shared" si="127"/>
        <v>0</v>
      </c>
      <c r="P401" s="220"/>
      <c r="Q401" s="221">
        <f t="shared" si="128"/>
        <v>0</v>
      </c>
    </row>
    <row r="402" spans="1:17" ht="12.75" hidden="1">
      <c r="A402" s="81" t="s">
        <v>144</v>
      </c>
      <c r="B402" s="80">
        <v>4359</v>
      </c>
      <c r="C402" s="139"/>
      <c r="D402" s="128"/>
      <c r="E402" s="96"/>
      <c r="F402" s="190">
        <f t="shared" si="124"/>
        <v>0</v>
      </c>
      <c r="G402" s="261"/>
      <c r="H402" s="7"/>
      <c r="I402" s="23">
        <f t="shared" si="125"/>
        <v>0</v>
      </c>
      <c r="J402" s="22"/>
      <c r="K402" s="7"/>
      <c r="L402" s="23">
        <f t="shared" si="126"/>
        <v>0</v>
      </c>
      <c r="M402" s="22"/>
      <c r="N402" s="7"/>
      <c r="O402" s="210">
        <f t="shared" si="127"/>
        <v>0</v>
      </c>
      <c r="P402" s="220"/>
      <c r="Q402" s="221">
        <f t="shared" si="128"/>
        <v>0</v>
      </c>
    </row>
    <row r="403" spans="1:17" ht="12.75" hidden="1">
      <c r="A403" s="81" t="s">
        <v>279</v>
      </c>
      <c r="B403" s="80"/>
      <c r="C403" s="139"/>
      <c r="D403" s="128"/>
      <c r="E403" s="96"/>
      <c r="F403" s="190">
        <f t="shared" si="124"/>
        <v>0</v>
      </c>
      <c r="G403" s="261"/>
      <c r="H403" s="7"/>
      <c r="I403" s="23">
        <f t="shared" si="125"/>
        <v>0</v>
      </c>
      <c r="J403" s="22"/>
      <c r="K403" s="7"/>
      <c r="L403" s="23">
        <f t="shared" si="126"/>
        <v>0</v>
      </c>
      <c r="M403" s="22"/>
      <c r="N403" s="7"/>
      <c r="O403" s="210">
        <f t="shared" si="127"/>
        <v>0</v>
      </c>
      <c r="P403" s="220"/>
      <c r="Q403" s="221">
        <f t="shared" si="128"/>
        <v>0</v>
      </c>
    </row>
    <row r="404" spans="1:17" ht="12.75">
      <c r="A404" s="33" t="s">
        <v>72</v>
      </c>
      <c r="B404" s="80"/>
      <c r="C404" s="139">
        <v>490</v>
      </c>
      <c r="D404" s="128">
        <f>17130+34500-34500+5500+981+213.31+2879.42+2070.43+747.3+2486.73+5444.59+940.14+857.63</f>
        <v>39250.549999999996</v>
      </c>
      <c r="E404" s="96"/>
      <c r="F404" s="190">
        <f t="shared" si="124"/>
        <v>39740.549999999996</v>
      </c>
      <c r="G404" s="261"/>
      <c r="H404" s="7"/>
      <c r="I404" s="23">
        <f t="shared" si="125"/>
        <v>39740.549999999996</v>
      </c>
      <c r="J404" s="22"/>
      <c r="K404" s="7"/>
      <c r="L404" s="23">
        <f t="shared" si="126"/>
        <v>39740.549999999996</v>
      </c>
      <c r="M404" s="22"/>
      <c r="N404" s="7"/>
      <c r="O404" s="210">
        <f t="shared" si="127"/>
        <v>39740.549999999996</v>
      </c>
      <c r="P404" s="220"/>
      <c r="Q404" s="221">
        <f t="shared" si="128"/>
        <v>39740.549999999996</v>
      </c>
    </row>
    <row r="405" spans="1:17" ht="12.75">
      <c r="A405" s="39" t="s">
        <v>53</v>
      </c>
      <c r="B405" s="84"/>
      <c r="C405" s="143">
        <f>SUM(C407:C409)</f>
        <v>0</v>
      </c>
      <c r="D405" s="131">
        <f aca="true" t="shared" si="129" ref="D405:Q405">SUM(D407:D409)</f>
        <v>14320.5</v>
      </c>
      <c r="E405" s="103">
        <f t="shared" si="129"/>
        <v>0</v>
      </c>
      <c r="F405" s="193">
        <f t="shared" si="129"/>
        <v>14320.5</v>
      </c>
      <c r="G405" s="227">
        <f t="shared" si="129"/>
        <v>0</v>
      </c>
      <c r="H405" s="103">
        <f t="shared" si="129"/>
        <v>0</v>
      </c>
      <c r="I405" s="166">
        <f t="shared" si="129"/>
        <v>14320.5</v>
      </c>
      <c r="J405" s="102">
        <f t="shared" si="129"/>
        <v>0</v>
      </c>
      <c r="K405" s="103">
        <f t="shared" si="129"/>
        <v>0</v>
      </c>
      <c r="L405" s="166">
        <f t="shared" si="129"/>
        <v>14320.5</v>
      </c>
      <c r="M405" s="102">
        <f t="shared" si="129"/>
        <v>0</v>
      </c>
      <c r="N405" s="103">
        <f t="shared" si="129"/>
        <v>0</v>
      </c>
      <c r="O405" s="193">
        <f t="shared" si="129"/>
        <v>14320.5</v>
      </c>
      <c r="P405" s="227">
        <f t="shared" si="129"/>
        <v>0</v>
      </c>
      <c r="Q405" s="193">
        <f t="shared" si="129"/>
        <v>14320.5</v>
      </c>
    </row>
    <row r="406" spans="1:17" ht="12.75">
      <c r="A406" s="35" t="s">
        <v>26</v>
      </c>
      <c r="B406" s="80"/>
      <c r="C406" s="139"/>
      <c r="D406" s="128"/>
      <c r="E406" s="96"/>
      <c r="F406" s="190"/>
      <c r="G406" s="261"/>
      <c r="H406" s="7"/>
      <c r="I406" s="23"/>
      <c r="J406" s="22"/>
      <c r="K406" s="7"/>
      <c r="L406" s="23"/>
      <c r="M406" s="22"/>
      <c r="N406" s="7"/>
      <c r="O406" s="210"/>
      <c r="P406" s="220"/>
      <c r="Q406" s="221"/>
    </row>
    <row r="407" spans="1:17" ht="12.75" hidden="1">
      <c r="A407" s="33" t="s">
        <v>80</v>
      </c>
      <c r="B407" s="80"/>
      <c r="C407" s="139"/>
      <c r="D407" s="128"/>
      <c r="E407" s="96"/>
      <c r="F407" s="190">
        <f>C407+D407+E407</f>
        <v>0</v>
      </c>
      <c r="G407" s="261"/>
      <c r="H407" s="7"/>
      <c r="I407" s="23">
        <f>F407+G407+H407</f>
        <v>0</v>
      </c>
      <c r="J407" s="22"/>
      <c r="K407" s="7"/>
      <c r="L407" s="23">
        <f>I407+J407+K407</f>
        <v>0</v>
      </c>
      <c r="M407" s="22"/>
      <c r="N407" s="7"/>
      <c r="O407" s="210">
        <f>L407+M407+N407</f>
        <v>0</v>
      </c>
      <c r="P407" s="220"/>
      <c r="Q407" s="221">
        <f>O407+P407</f>
        <v>0</v>
      </c>
    </row>
    <row r="408" spans="1:17" ht="12.75">
      <c r="A408" s="36" t="s">
        <v>54</v>
      </c>
      <c r="B408" s="83"/>
      <c r="C408" s="253"/>
      <c r="D408" s="244">
        <f>14320.5</f>
        <v>14320.5</v>
      </c>
      <c r="E408" s="104"/>
      <c r="F408" s="195">
        <f>C408+D408+E408</f>
        <v>14320.5</v>
      </c>
      <c r="G408" s="261"/>
      <c r="H408" s="7"/>
      <c r="I408" s="23">
        <f>F408+G408+H408</f>
        <v>14320.5</v>
      </c>
      <c r="J408" s="22"/>
      <c r="K408" s="7"/>
      <c r="L408" s="23">
        <f>I408+J408+K408</f>
        <v>14320.5</v>
      </c>
      <c r="M408" s="22"/>
      <c r="N408" s="7"/>
      <c r="O408" s="210">
        <f>L408+M408+N408</f>
        <v>14320.5</v>
      </c>
      <c r="P408" s="220"/>
      <c r="Q408" s="221">
        <f>O408+P408</f>
        <v>14320.5</v>
      </c>
    </row>
    <row r="409" spans="1:17" ht="12.75" hidden="1">
      <c r="A409" s="36" t="s">
        <v>72</v>
      </c>
      <c r="B409" s="83"/>
      <c r="C409" s="253"/>
      <c r="D409" s="244"/>
      <c r="E409" s="104"/>
      <c r="F409" s="195">
        <f>C409+D409+E409</f>
        <v>0</v>
      </c>
      <c r="G409" s="263"/>
      <c r="H409" s="10"/>
      <c r="I409" s="27">
        <f>F409+G409+H409</f>
        <v>0</v>
      </c>
      <c r="J409" s="26"/>
      <c r="K409" s="10"/>
      <c r="L409" s="27">
        <f>I409+J409+K409</f>
        <v>0</v>
      </c>
      <c r="M409" s="26"/>
      <c r="N409" s="10"/>
      <c r="O409" s="213">
        <f>L409+M409+N409</f>
        <v>0</v>
      </c>
      <c r="P409" s="229"/>
      <c r="Q409" s="230">
        <f>O409+P409</f>
        <v>0</v>
      </c>
    </row>
    <row r="410" spans="1:17" ht="12.75">
      <c r="A410" s="34" t="s">
        <v>289</v>
      </c>
      <c r="B410" s="84"/>
      <c r="C410" s="138">
        <f>C411+C422</f>
        <v>9532.35</v>
      </c>
      <c r="D410" s="117">
        <f aca="true" t="shared" si="130" ref="D410:Q410">D411+D422</f>
        <v>14285.8</v>
      </c>
      <c r="E410" s="95">
        <f t="shared" si="130"/>
        <v>0</v>
      </c>
      <c r="F410" s="189">
        <f t="shared" si="130"/>
        <v>23818.149999999998</v>
      </c>
      <c r="G410" s="219">
        <f t="shared" si="130"/>
        <v>0</v>
      </c>
      <c r="H410" s="95">
        <f t="shared" si="130"/>
        <v>0</v>
      </c>
      <c r="I410" s="162">
        <f t="shared" si="130"/>
        <v>23501.329999999998</v>
      </c>
      <c r="J410" s="94">
        <f t="shared" si="130"/>
        <v>0</v>
      </c>
      <c r="K410" s="95">
        <f t="shared" si="130"/>
        <v>0</v>
      </c>
      <c r="L410" s="162">
        <f t="shared" si="130"/>
        <v>23501.329999999998</v>
      </c>
      <c r="M410" s="94">
        <f t="shared" si="130"/>
        <v>0</v>
      </c>
      <c r="N410" s="95">
        <f t="shared" si="130"/>
        <v>0</v>
      </c>
      <c r="O410" s="189">
        <f t="shared" si="130"/>
        <v>23501.329999999998</v>
      </c>
      <c r="P410" s="219">
        <f t="shared" si="130"/>
        <v>0</v>
      </c>
      <c r="Q410" s="189">
        <f t="shared" si="130"/>
        <v>23501.329999999998</v>
      </c>
    </row>
    <row r="411" spans="1:17" ht="12.75">
      <c r="A411" s="39" t="s">
        <v>49</v>
      </c>
      <c r="B411" s="84"/>
      <c r="C411" s="143">
        <f>SUM(C413:C421)</f>
        <v>9532.35</v>
      </c>
      <c r="D411" s="131">
        <f aca="true" t="shared" si="131" ref="D411:Q411">SUM(D413:D421)</f>
        <v>14285.8</v>
      </c>
      <c r="E411" s="103">
        <f t="shared" si="131"/>
        <v>0</v>
      </c>
      <c r="F411" s="193">
        <f t="shared" si="131"/>
        <v>23818.149999999998</v>
      </c>
      <c r="G411" s="227">
        <f t="shared" si="131"/>
        <v>0</v>
      </c>
      <c r="H411" s="103">
        <f t="shared" si="131"/>
        <v>0</v>
      </c>
      <c r="I411" s="166">
        <f t="shared" si="131"/>
        <v>23501.329999999998</v>
      </c>
      <c r="J411" s="102">
        <f t="shared" si="131"/>
        <v>0</v>
      </c>
      <c r="K411" s="103">
        <f t="shared" si="131"/>
        <v>0</v>
      </c>
      <c r="L411" s="166">
        <f t="shared" si="131"/>
        <v>23501.329999999998</v>
      </c>
      <c r="M411" s="102">
        <f t="shared" si="131"/>
        <v>0</v>
      </c>
      <c r="N411" s="103">
        <f t="shared" si="131"/>
        <v>0</v>
      </c>
      <c r="O411" s="193">
        <f t="shared" si="131"/>
        <v>23501.329999999998</v>
      </c>
      <c r="P411" s="227">
        <f t="shared" si="131"/>
        <v>0</v>
      </c>
      <c r="Q411" s="193">
        <f t="shared" si="131"/>
        <v>23501.329999999998</v>
      </c>
    </row>
    <row r="412" spans="1:17" ht="12.75">
      <c r="A412" s="35" t="s">
        <v>26</v>
      </c>
      <c r="B412" s="80"/>
      <c r="C412" s="139"/>
      <c r="D412" s="128"/>
      <c r="E412" s="96"/>
      <c r="F412" s="189"/>
      <c r="G412" s="261"/>
      <c r="H412" s="7"/>
      <c r="I412" s="21"/>
      <c r="J412" s="22"/>
      <c r="K412" s="7"/>
      <c r="L412" s="21"/>
      <c r="M412" s="22"/>
      <c r="N412" s="7"/>
      <c r="O412" s="209"/>
      <c r="P412" s="220"/>
      <c r="Q412" s="221"/>
    </row>
    <row r="413" spans="1:17" ht="12.75">
      <c r="A413" s="33" t="s">
        <v>51</v>
      </c>
      <c r="B413" s="80"/>
      <c r="C413" s="139">
        <v>9532.35</v>
      </c>
      <c r="D413" s="128">
        <f>10000+1123</f>
        <v>11123</v>
      </c>
      <c r="E413" s="96"/>
      <c r="F413" s="190">
        <f aca="true" t="shared" si="132" ref="F413:F421">C413+D413+E413</f>
        <v>20655.35</v>
      </c>
      <c r="G413" s="261"/>
      <c r="H413" s="7"/>
      <c r="I413" s="23">
        <f>F413+G413+H413</f>
        <v>20655.35</v>
      </c>
      <c r="J413" s="22"/>
      <c r="K413" s="7"/>
      <c r="L413" s="23">
        <f>I413+J413+K413</f>
        <v>20655.35</v>
      </c>
      <c r="M413" s="22"/>
      <c r="N413" s="7"/>
      <c r="O413" s="210">
        <f>L413+M413+N413</f>
        <v>20655.35</v>
      </c>
      <c r="P413" s="220"/>
      <c r="Q413" s="221">
        <f>O413+P413</f>
        <v>20655.35</v>
      </c>
    </row>
    <row r="414" spans="1:17" ht="12.75">
      <c r="A414" s="33" t="s">
        <v>72</v>
      </c>
      <c r="B414" s="80"/>
      <c r="C414" s="139"/>
      <c r="D414" s="246">
        <f>400+2445.98</f>
        <v>2845.98</v>
      </c>
      <c r="E414" s="96"/>
      <c r="F414" s="190">
        <f t="shared" si="132"/>
        <v>2845.98</v>
      </c>
      <c r="G414" s="261"/>
      <c r="H414" s="7"/>
      <c r="I414" s="23">
        <f aca="true" t="shared" si="133" ref="I414:I421">F414+G414+H414</f>
        <v>2845.98</v>
      </c>
      <c r="J414" s="22"/>
      <c r="K414" s="7"/>
      <c r="L414" s="23">
        <f aca="true" t="shared" si="134" ref="L414:L421">I414+J414+K414</f>
        <v>2845.98</v>
      </c>
      <c r="M414" s="22"/>
      <c r="N414" s="7"/>
      <c r="O414" s="210">
        <f aca="true" t="shared" si="135" ref="O414:O421">L414+M414+N414</f>
        <v>2845.98</v>
      </c>
      <c r="P414" s="220"/>
      <c r="Q414" s="221">
        <f aca="true" t="shared" si="136" ref="Q414:Q421">O414+P414</f>
        <v>2845.98</v>
      </c>
    </row>
    <row r="415" spans="1:17" ht="12.75" hidden="1">
      <c r="A415" s="33" t="s">
        <v>63</v>
      </c>
      <c r="B415" s="80"/>
      <c r="C415" s="139"/>
      <c r="D415" s="128"/>
      <c r="E415" s="96"/>
      <c r="F415" s="190">
        <f t="shared" si="132"/>
        <v>0</v>
      </c>
      <c r="G415" s="261"/>
      <c r="H415" s="7"/>
      <c r="I415" s="23">
        <f t="shared" si="133"/>
        <v>0</v>
      </c>
      <c r="J415" s="29"/>
      <c r="K415" s="7"/>
      <c r="L415" s="23">
        <f t="shared" si="134"/>
        <v>0</v>
      </c>
      <c r="M415" s="22"/>
      <c r="N415" s="7"/>
      <c r="O415" s="210">
        <f t="shared" si="135"/>
        <v>0</v>
      </c>
      <c r="P415" s="220"/>
      <c r="Q415" s="221">
        <f t="shared" si="136"/>
        <v>0</v>
      </c>
    </row>
    <row r="416" spans="1:17" ht="12.75" hidden="1">
      <c r="A416" s="33" t="s">
        <v>150</v>
      </c>
      <c r="B416" s="80"/>
      <c r="C416" s="139"/>
      <c r="D416" s="128"/>
      <c r="E416" s="96"/>
      <c r="F416" s="190">
        <f t="shared" si="132"/>
        <v>0</v>
      </c>
      <c r="G416" s="261"/>
      <c r="H416" s="7"/>
      <c r="I416" s="23">
        <f t="shared" si="133"/>
        <v>0</v>
      </c>
      <c r="J416" s="29"/>
      <c r="K416" s="7"/>
      <c r="L416" s="23">
        <f t="shared" si="134"/>
        <v>0</v>
      </c>
      <c r="M416" s="22"/>
      <c r="N416" s="7"/>
      <c r="O416" s="210">
        <f t="shared" si="135"/>
        <v>0</v>
      </c>
      <c r="P416" s="220"/>
      <c r="Q416" s="221">
        <f t="shared" si="136"/>
        <v>0</v>
      </c>
    </row>
    <row r="417" spans="1:17" ht="12.75">
      <c r="A417" s="36" t="s">
        <v>348</v>
      </c>
      <c r="B417" s="83"/>
      <c r="C417" s="253"/>
      <c r="D417" s="244">
        <f>316.82</f>
        <v>316.82</v>
      </c>
      <c r="E417" s="104"/>
      <c r="F417" s="195">
        <f t="shared" si="132"/>
        <v>316.82</v>
      </c>
      <c r="G417" s="261"/>
      <c r="H417" s="7"/>
      <c r="I417" s="23"/>
      <c r="J417" s="29"/>
      <c r="K417" s="7"/>
      <c r="L417" s="23"/>
      <c r="M417" s="22"/>
      <c r="N417" s="7"/>
      <c r="O417" s="210"/>
      <c r="P417" s="220"/>
      <c r="Q417" s="221"/>
    </row>
    <row r="418" spans="1:17" ht="13.5" customHeight="1" hidden="1">
      <c r="A418" s="33" t="s">
        <v>271</v>
      </c>
      <c r="B418" s="80">
        <v>14034</v>
      </c>
      <c r="C418" s="139"/>
      <c r="D418" s="128"/>
      <c r="E418" s="96"/>
      <c r="F418" s="190">
        <f t="shared" si="132"/>
        <v>0</v>
      </c>
      <c r="G418" s="261"/>
      <c r="H418" s="7"/>
      <c r="I418" s="23">
        <f t="shared" si="133"/>
        <v>0</v>
      </c>
      <c r="J418" s="29"/>
      <c r="K418" s="7"/>
      <c r="L418" s="23">
        <f t="shared" si="134"/>
        <v>0</v>
      </c>
      <c r="M418" s="22"/>
      <c r="N418" s="7"/>
      <c r="O418" s="210">
        <f t="shared" si="135"/>
        <v>0</v>
      </c>
      <c r="P418" s="220"/>
      <c r="Q418" s="221">
        <f t="shared" si="136"/>
        <v>0</v>
      </c>
    </row>
    <row r="419" spans="1:17" ht="12.75" hidden="1">
      <c r="A419" s="33" t="s">
        <v>238</v>
      </c>
      <c r="B419" s="80">
        <v>98035</v>
      </c>
      <c r="C419" s="139"/>
      <c r="D419" s="128"/>
      <c r="E419" s="96"/>
      <c r="F419" s="190">
        <f t="shared" si="132"/>
        <v>0</v>
      </c>
      <c r="G419" s="261"/>
      <c r="H419" s="7"/>
      <c r="I419" s="23">
        <f t="shared" si="133"/>
        <v>0</v>
      </c>
      <c r="J419" s="29"/>
      <c r="K419" s="7"/>
      <c r="L419" s="23">
        <f t="shared" si="134"/>
        <v>0</v>
      </c>
      <c r="M419" s="22"/>
      <c r="N419" s="7"/>
      <c r="O419" s="210">
        <f t="shared" si="135"/>
        <v>0</v>
      </c>
      <c r="P419" s="220"/>
      <c r="Q419" s="221">
        <f t="shared" si="136"/>
        <v>0</v>
      </c>
    </row>
    <row r="420" spans="1:17" ht="12.75" hidden="1">
      <c r="A420" s="33" t="s">
        <v>218</v>
      </c>
      <c r="B420" s="127" t="s">
        <v>219</v>
      </c>
      <c r="C420" s="139"/>
      <c r="D420" s="128"/>
      <c r="E420" s="96"/>
      <c r="F420" s="190">
        <f t="shared" si="132"/>
        <v>0</v>
      </c>
      <c r="G420" s="261"/>
      <c r="H420" s="7"/>
      <c r="I420" s="23">
        <f t="shared" si="133"/>
        <v>0</v>
      </c>
      <c r="J420" s="29"/>
      <c r="K420" s="7"/>
      <c r="L420" s="23">
        <f t="shared" si="134"/>
        <v>0</v>
      </c>
      <c r="M420" s="22"/>
      <c r="N420" s="7"/>
      <c r="O420" s="210">
        <f t="shared" si="135"/>
        <v>0</v>
      </c>
      <c r="P420" s="220"/>
      <c r="Q420" s="221">
        <f t="shared" si="136"/>
        <v>0</v>
      </c>
    </row>
    <row r="421" spans="1:17" ht="12.75" hidden="1">
      <c r="A421" s="33" t="s">
        <v>217</v>
      </c>
      <c r="B421" s="80">
        <v>33064</v>
      </c>
      <c r="C421" s="139"/>
      <c r="D421" s="128"/>
      <c r="E421" s="96"/>
      <c r="F421" s="190">
        <f t="shared" si="132"/>
        <v>0</v>
      </c>
      <c r="G421" s="261"/>
      <c r="H421" s="7"/>
      <c r="I421" s="23">
        <f t="shared" si="133"/>
        <v>0</v>
      </c>
      <c r="J421" s="29"/>
      <c r="K421" s="7"/>
      <c r="L421" s="23">
        <f t="shared" si="134"/>
        <v>0</v>
      </c>
      <c r="M421" s="22"/>
      <c r="N421" s="7"/>
      <c r="O421" s="210">
        <f t="shared" si="135"/>
        <v>0</v>
      </c>
      <c r="P421" s="220"/>
      <c r="Q421" s="221">
        <f t="shared" si="136"/>
        <v>0</v>
      </c>
    </row>
    <row r="422" spans="1:17" ht="12.75" hidden="1">
      <c r="A422" s="39" t="s">
        <v>53</v>
      </c>
      <c r="B422" s="84"/>
      <c r="C422" s="143">
        <f>SUM(C424:C430)</f>
        <v>0</v>
      </c>
      <c r="D422" s="131">
        <f aca="true" t="shared" si="137" ref="D422:Q422">SUM(D424:D430)</f>
        <v>0</v>
      </c>
      <c r="E422" s="103">
        <f t="shared" si="137"/>
        <v>0</v>
      </c>
      <c r="F422" s="193">
        <f t="shared" si="137"/>
        <v>0</v>
      </c>
      <c r="G422" s="227">
        <f t="shared" si="137"/>
        <v>0</v>
      </c>
      <c r="H422" s="103">
        <f t="shared" si="137"/>
        <v>0</v>
      </c>
      <c r="I422" s="166">
        <f t="shared" si="137"/>
        <v>0</v>
      </c>
      <c r="J422" s="102">
        <f t="shared" si="137"/>
        <v>0</v>
      </c>
      <c r="K422" s="103">
        <f t="shared" si="137"/>
        <v>0</v>
      </c>
      <c r="L422" s="166">
        <f t="shared" si="137"/>
        <v>0</v>
      </c>
      <c r="M422" s="102">
        <f t="shared" si="137"/>
        <v>0</v>
      </c>
      <c r="N422" s="103">
        <f t="shared" si="137"/>
        <v>0</v>
      </c>
      <c r="O422" s="193">
        <f t="shared" si="137"/>
        <v>0</v>
      </c>
      <c r="P422" s="227">
        <f t="shared" si="137"/>
        <v>0</v>
      </c>
      <c r="Q422" s="193">
        <f t="shared" si="137"/>
        <v>0</v>
      </c>
    </row>
    <row r="423" spans="1:17" ht="12.75" hidden="1">
      <c r="A423" s="35" t="s">
        <v>26</v>
      </c>
      <c r="B423" s="80"/>
      <c r="C423" s="139"/>
      <c r="D423" s="128"/>
      <c r="E423" s="96"/>
      <c r="F423" s="190"/>
      <c r="G423" s="261"/>
      <c r="H423" s="7"/>
      <c r="I423" s="23"/>
      <c r="J423" s="22"/>
      <c r="K423" s="7"/>
      <c r="L423" s="23"/>
      <c r="M423" s="22"/>
      <c r="N423" s="7"/>
      <c r="O423" s="210"/>
      <c r="P423" s="220"/>
      <c r="Q423" s="221"/>
    </row>
    <row r="424" spans="1:17" ht="12.75" hidden="1">
      <c r="A424" s="37" t="s">
        <v>65</v>
      </c>
      <c r="B424" s="80"/>
      <c r="C424" s="139"/>
      <c r="D424" s="128"/>
      <c r="E424" s="96"/>
      <c r="F424" s="190">
        <f aca="true" t="shared" si="138" ref="F424:F430">C424+D424+E424</f>
        <v>0</v>
      </c>
      <c r="G424" s="261"/>
      <c r="H424" s="7"/>
      <c r="I424" s="23">
        <f aca="true" t="shared" si="139" ref="I424:I430">F424+G424+H424</f>
        <v>0</v>
      </c>
      <c r="J424" s="22"/>
      <c r="K424" s="7"/>
      <c r="L424" s="23">
        <f aca="true" t="shared" si="140" ref="L424:L430">I424+J424+K424</f>
        <v>0</v>
      </c>
      <c r="M424" s="22"/>
      <c r="N424" s="7"/>
      <c r="O424" s="210">
        <f aca="true" t="shared" si="141" ref="O424:O430">L424+M424+N424</f>
        <v>0</v>
      </c>
      <c r="P424" s="220"/>
      <c r="Q424" s="221">
        <f aca="true" t="shared" si="142" ref="Q424:Q430">O424+P424</f>
        <v>0</v>
      </c>
    </row>
    <row r="425" spans="1:17" ht="12.75" hidden="1">
      <c r="A425" s="37" t="s">
        <v>179</v>
      </c>
      <c r="B425" s="80"/>
      <c r="C425" s="139"/>
      <c r="D425" s="128"/>
      <c r="E425" s="96"/>
      <c r="F425" s="190">
        <f t="shared" si="138"/>
        <v>0</v>
      </c>
      <c r="G425" s="261"/>
      <c r="H425" s="7"/>
      <c r="I425" s="23">
        <f t="shared" si="139"/>
        <v>0</v>
      </c>
      <c r="J425" s="22"/>
      <c r="K425" s="7"/>
      <c r="L425" s="23">
        <f t="shared" si="140"/>
        <v>0</v>
      </c>
      <c r="M425" s="22"/>
      <c r="N425" s="7"/>
      <c r="O425" s="210">
        <f t="shared" si="141"/>
        <v>0</v>
      </c>
      <c r="P425" s="220"/>
      <c r="Q425" s="221">
        <f t="shared" si="142"/>
        <v>0</v>
      </c>
    </row>
    <row r="426" spans="1:17" ht="12.75" hidden="1">
      <c r="A426" s="37" t="s">
        <v>180</v>
      </c>
      <c r="B426" s="80"/>
      <c r="C426" s="139"/>
      <c r="D426" s="128"/>
      <c r="E426" s="96"/>
      <c r="F426" s="190">
        <f t="shared" si="138"/>
        <v>0</v>
      </c>
      <c r="G426" s="261"/>
      <c r="H426" s="7"/>
      <c r="I426" s="23">
        <f t="shared" si="139"/>
        <v>0</v>
      </c>
      <c r="J426" s="22"/>
      <c r="K426" s="7"/>
      <c r="L426" s="23">
        <f t="shared" si="140"/>
        <v>0</v>
      </c>
      <c r="M426" s="22"/>
      <c r="N426" s="7"/>
      <c r="O426" s="210">
        <f t="shared" si="141"/>
        <v>0</v>
      </c>
      <c r="P426" s="220"/>
      <c r="Q426" s="221">
        <f t="shared" si="142"/>
        <v>0</v>
      </c>
    </row>
    <row r="427" spans="1:17" ht="12.75" hidden="1">
      <c r="A427" s="37" t="s">
        <v>171</v>
      </c>
      <c r="B427" s="80"/>
      <c r="C427" s="139"/>
      <c r="D427" s="128"/>
      <c r="E427" s="96"/>
      <c r="F427" s="190">
        <f t="shared" si="138"/>
        <v>0</v>
      </c>
      <c r="G427" s="261"/>
      <c r="H427" s="7"/>
      <c r="I427" s="23">
        <f t="shared" si="139"/>
        <v>0</v>
      </c>
      <c r="J427" s="22"/>
      <c r="K427" s="7"/>
      <c r="L427" s="23">
        <f t="shared" si="140"/>
        <v>0</v>
      </c>
      <c r="M427" s="22"/>
      <c r="N427" s="7"/>
      <c r="O427" s="210">
        <f t="shared" si="141"/>
        <v>0</v>
      </c>
      <c r="P427" s="220"/>
      <c r="Q427" s="221">
        <f t="shared" si="142"/>
        <v>0</v>
      </c>
    </row>
    <row r="428" spans="1:17" ht="12.75" hidden="1">
      <c r="A428" s="33" t="s">
        <v>54</v>
      </c>
      <c r="B428" s="80"/>
      <c r="C428" s="139"/>
      <c r="D428" s="128"/>
      <c r="E428" s="96"/>
      <c r="F428" s="190">
        <f t="shared" si="138"/>
        <v>0</v>
      </c>
      <c r="G428" s="261"/>
      <c r="H428" s="7"/>
      <c r="I428" s="23">
        <f t="shared" si="139"/>
        <v>0</v>
      </c>
      <c r="J428" s="22"/>
      <c r="K428" s="7"/>
      <c r="L428" s="23">
        <f t="shared" si="140"/>
        <v>0</v>
      </c>
      <c r="M428" s="22"/>
      <c r="N428" s="7"/>
      <c r="O428" s="210">
        <f t="shared" si="141"/>
        <v>0</v>
      </c>
      <c r="P428" s="220"/>
      <c r="Q428" s="221">
        <f t="shared" si="142"/>
        <v>0</v>
      </c>
    </row>
    <row r="429" spans="1:17" ht="12.75" hidden="1">
      <c r="A429" s="33" t="s">
        <v>72</v>
      </c>
      <c r="B429" s="80"/>
      <c r="C429" s="139"/>
      <c r="D429" s="128"/>
      <c r="E429" s="96"/>
      <c r="F429" s="190">
        <f t="shared" si="138"/>
        <v>0</v>
      </c>
      <c r="G429" s="261"/>
      <c r="H429" s="7"/>
      <c r="I429" s="23">
        <f t="shared" si="139"/>
        <v>0</v>
      </c>
      <c r="J429" s="22"/>
      <c r="K429" s="7"/>
      <c r="L429" s="23">
        <f t="shared" si="140"/>
        <v>0</v>
      </c>
      <c r="M429" s="22"/>
      <c r="N429" s="7"/>
      <c r="O429" s="210">
        <f t="shared" si="141"/>
        <v>0</v>
      </c>
      <c r="P429" s="220"/>
      <c r="Q429" s="221">
        <f t="shared" si="142"/>
        <v>0</v>
      </c>
    </row>
    <row r="430" spans="1:17" ht="12.75" hidden="1">
      <c r="A430" s="154" t="s">
        <v>172</v>
      </c>
      <c r="B430" s="83"/>
      <c r="C430" s="253"/>
      <c r="D430" s="244"/>
      <c r="E430" s="104"/>
      <c r="F430" s="195">
        <f t="shared" si="138"/>
        <v>0</v>
      </c>
      <c r="G430" s="263"/>
      <c r="H430" s="10"/>
      <c r="I430" s="27">
        <f t="shared" si="139"/>
        <v>0</v>
      </c>
      <c r="J430" s="26"/>
      <c r="K430" s="10"/>
      <c r="L430" s="27">
        <f t="shared" si="140"/>
        <v>0</v>
      </c>
      <c r="M430" s="26"/>
      <c r="N430" s="10"/>
      <c r="O430" s="213">
        <f t="shared" si="141"/>
        <v>0</v>
      </c>
      <c r="P430" s="229"/>
      <c r="Q430" s="230">
        <f t="shared" si="142"/>
        <v>0</v>
      </c>
    </row>
    <row r="431" spans="1:17" ht="12.75">
      <c r="A431" s="30" t="s">
        <v>89</v>
      </c>
      <c r="B431" s="84"/>
      <c r="C431" s="138">
        <f>C432+C435</f>
        <v>3238.8</v>
      </c>
      <c r="D431" s="117">
        <f aca="true" t="shared" si="143" ref="D431:Q431">D432+D435</f>
        <v>0</v>
      </c>
      <c r="E431" s="95">
        <f t="shared" si="143"/>
        <v>0</v>
      </c>
      <c r="F431" s="189">
        <f t="shared" si="143"/>
        <v>3238.8</v>
      </c>
      <c r="G431" s="219">
        <f t="shared" si="143"/>
        <v>0</v>
      </c>
      <c r="H431" s="95">
        <f t="shared" si="143"/>
        <v>0</v>
      </c>
      <c r="I431" s="162">
        <f t="shared" si="143"/>
        <v>3238.8</v>
      </c>
      <c r="J431" s="94">
        <f t="shared" si="143"/>
        <v>0</v>
      </c>
      <c r="K431" s="95">
        <f t="shared" si="143"/>
        <v>0</v>
      </c>
      <c r="L431" s="162">
        <f t="shared" si="143"/>
        <v>3238.8</v>
      </c>
      <c r="M431" s="94">
        <f t="shared" si="143"/>
        <v>0</v>
      </c>
      <c r="N431" s="95">
        <f t="shared" si="143"/>
        <v>0</v>
      </c>
      <c r="O431" s="189">
        <f t="shared" si="143"/>
        <v>3238.8</v>
      </c>
      <c r="P431" s="219">
        <f t="shared" si="143"/>
        <v>0</v>
      </c>
      <c r="Q431" s="189">
        <f t="shared" si="143"/>
        <v>3238.8</v>
      </c>
    </row>
    <row r="432" spans="1:17" ht="12.75">
      <c r="A432" s="39" t="s">
        <v>49</v>
      </c>
      <c r="B432" s="84"/>
      <c r="C432" s="143">
        <f>SUM(C434:C434)</f>
        <v>3238.8</v>
      </c>
      <c r="D432" s="131">
        <f aca="true" t="shared" si="144" ref="D432:Q432">SUM(D434:D434)</f>
        <v>0</v>
      </c>
      <c r="E432" s="103">
        <f t="shared" si="144"/>
        <v>0</v>
      </c>
      <c r="F432" s="193">
        <f t="shared" si="144"/>
        <v>3238.8</v>
      </c>
      <c r="G432" s="227">
        <f t="shared" si="144"/>
        <v>0</v>
      </c>
      <c r="H432" s="103">
        <f t="shared" si="144"/>
        <v>0</v>
      </c>
      <c r="I432" s="166">
        <f t="shared" si="144"/>
        <v>3238.8</v>
      </c>
      <c r="J432" s="102">
        <f t="shared" si="144"/>
        <v>0</v>
      </c>
      <c r="K432" s="103">
        <f t="shared" si="144"/>
        <v>0</v>
      </c>
      <c r="L432" s="166">
        <f t="shared" si="144"/>
        <v>3238.8</v>
      </c>
      <c r="M432" s="102">
        <f t="shared" si="144"/>
        <v>0</v>
      </c>
      <c r="N432" s="103">
        <f t="shared" si="144"/>
        <v>0</v>
      </c>
      <c r="O432" s="193">
        <f t="shared" si="144"/>
        <v>3238.8</v>
      </c>
      <c r="P432" s="227">
        <f t="shared" si="144"/>
        <v>0</v>
      </c>
      <c r="Q432" s="193">
        <f t="shared" si="144"/>
        <v>3238.8</v>
      </c>
    </row>
    <row r="433" spans="1:17" ht="12.75">
      <c r="A433" s="35" t="s">
        <v>26</v>
      </c>
      <c r="B433" s="80"/>
      <c r="C433" s="139"/>
      <c r="D433" s="128"/>
      <c r="E433" s="96"/>
      <c r="F433" s="189"/>
      <c r="G433" s="261"/>
      <c r="H433" s="7"/>
      <c r="I433" s="21"/>
      <c r="J433" s="22"/>
      <c r="K433" s="7"/>
      <c r="L433" s="21"/>
      <c r="M433" s="22"/>
      <c r="N433" s="7"/>
      <c r="O433" s="209"/>
      <c r="P433" s="220"/>
      <c r="Q433" s="221"/>
    </row>
    <row r="434" spans="1:17" ht="12.75">
      <c r="A434" s="36" t="s">
        <v>51</v>
      </c>
      <c r="B434" s="83"/>
      <c r="C434" s="269">
        <v>3238.8</v>
      </c>
      <c r="D434" s="244"/>
      <c r="E434" s="104"/>
      <c r="F434" s="195">
        <f>C434+D434+E434</f>
        <v>3238.8</v>
      </c>
      <c r="G434" s="261"/>
      <c r="H434" s="7"/>
      <c r="I434" s="23">
        <f>F434+G434+H434</f>
        <v>3238.8</v>
      </c>
      <c r="J434" s="22"/>
      <c r="K434" s="7"/>
      <c r="L434" s="23">
        <f>I434+J434+K434</f>
        <v>3238.8</v>
      </c>
      <c r="M434" s="22"/>
      <c r="N434" s="7"/>
      <c r="O434" s="210">
        <f>L434+M434+N434</f>
        <v>3238.8</v>
      </c>
      <c r="P434" s="220"/>
      <c r="Q434" s="221">
        <f>O434+P434</f>
        <v>3238.8</v>
      </c>
    </row>
    <row r="435" spans="1:17" ht="15" customHeight="1" hidden="1">
      <c r="A435" s="39" t="s">
        <v>53</v>
      </c>
      <c r="B435" s="84"/>
      <c r="C435" s="143">
        <f aca="true" t="shared" si="145" ref="C435:Q435">SUM(C437:C437)</f>
        <v>0</v>
      </c>
      <c r="D435" s="131">
        <f t="shared" si="145"/>
        <v>0</v>
      </c>
      <c r="E435" s="103">
        <f t="shared" si="145"/>
        <v>0</v>
      </c>
      <c r="F435" s="193">
        <f t="shared" si="145"/>
        <v>0</v>
      </c>
      <c r="G435" s="227">
        <f t="shared" si="145"/>
        <v>0</v>
      </c>
      <c r="H435" s="103">
        <f t="shared" si="145"/>
        <v>0</v>
      </c>
      <c r="I435" s="166">
        <f t="shared" si="145"/>
        <v>0</v>
      </c>
      <c r="J435" s="102">
        <f t="shared" si="145"/>
        <v>0</v>
      </c>
      <c r="K435" s="103">
        <f t="shared" si="145"/>
        <v>0</v>
      </c>
      <c r="L435" s="166">
        <f t="shared" si="145"/>
        <v>0</v>
      </c>
      <c r="M435" s="102">
        <f t="shared" si="145"/>
        <v>0</v>
      </c>
      <c r="N435" s="103">
        <f t="shared" si="145"/>
        <v>0</v>
      </c>
      <c r="O435" s="193">
        <f t="shared" si="145"/>
        <v>0</v>
      </c>
      <c r="P435" s="227">
        <f t="shared" si="145"/>
        <v>0</v>
      </c>
      <c r="Q435" s="193">
        <f t="shared" si="145"/>
        <v>0</v>
      </c>
    </row>
    <row r="436" spans="1:17" ht="12.75" hidden="1">
      <c r="A436" s="35" t="s">
        <v>26</v>
      </c>
      <c r="B436" s="80"/>
      <c r="C436" s="139"/>
      <c r="D436" s="128"/>
      <c r="E436" s="96"/>
      <c r="F436" s="190"/>
      <c r="G436" s="261"/>
      <c r="H436" s="7"/>
      <c r="I436" s="23"/>
      <c r="J436" s="22"/>
      <c r="K436" s="7"/>
      <c r="L436" s="23"/>
      <c r="M436" s="22"/>
      <c r="N436" s="7"/>
      <c r="O436" s="210"/>
      <c r="P436" s="220"/>
      <c r="Q436" s="221"/>
    </row>
    <row r="437" spans="1:17" ht="12.75" hidden="1">
      <c r="A437" s="36" t="s">
        <v>54</v>
      </c>
      <c r="B437" s="83"/>
      <c r="C437" s="253"/>
      <c r="D437" s="244"/>
      <c r="E437" s="104"/>
      <c r="F437" s="195">
        <f>C437+D437+E437</f>
        <v>0</v>
      </c>
      <c r="G437" s="263"/>
      <c r="H437" s="10"/>
      <c r="I437" s="27">
        <f>F437+G437+H437</f>
        <v>0</v>
      </c>
      <c r="J437" s="26"/>
      <c r="K437" s="10"/>
      <c r="L437" s="27">
        <f>I437+J437+K437</f>
        <v>0</v>
      </c>
      <c r="M437" s="26"/>
      <c r="N437" s="10"/>
      <c r="O437" s="213">
        <f>L437+M437+N437</f>
        <v>0</v>
      </c>
      <c r="P437" s="229"/>
      <c r="Q437" s="230">
        <f>O437+P437</f>
        <v>0</v>
      </c>
    </row>
    <row r="438" spans="1:17" ht="12.75">
      <c r="A438" s="30" t="s">
        <v>90</v>
      </c>
      <c r="B438" s="84"/>
      <c r="C438" s="138">
        <f aca="true" t="shared" si="146" ref="C438:Q438">C439</f>
        <v>245035.05</v>
      </c>
      <c r="D438" s="117">
        <f t="shared" si="146"/>
        <v>-154582.38999999998</v>
      </c>
      <c r="E438" s="95">
        <f t="shared" si="146"/>
        <v>0</v>
      </c>
      <c r="F438" s="189">
        <f t="shared" si="146"/>
        <v>90452.66000000002</v>
      </c>
      <c r="G438" s="219">
        <f t="shared" si="146"/>
        <v>0</v>
      </c>
      <c r="H438" s="95">
        <f t="shared" si="146"/>
        <v>0</v>
      </c>
      <c r="I438" s="162">
        <f t="shared" si="146"/>
        <v>90452.66000000002</v>
      </c>
      <c r="J438" s="94">
        <f t="shared" si="146"/>
        <v>0</v>
      </c>
      <c r="K438" s="95">
        <f t="shared" si="146"/>
        <v>0</v>
      </c>
      <c r="L438" s="162">
        <f t="shared" si="146"/>
        <v>90452.66000000002</v>
      </c>
      <c r="M438" s="94">
        <f t="shared" si="146"/>
        <v>0</v>
      </c>
      <c r="N438" s="95">
        <f t="shared" si="146"/>
        <v>0</v>
      </c>
      <c r="O438" s="189">
        <f t="shared" si="146"/>
        <v>90452.66000000002</v>
      </c>
      <c r="P438" s="219">
        <f t="shared" si="146"/>
        <v>0</v>
      </c>
      <c r="Q438" s="189">
        <f t="shared" si="146"/>
        <v>90452.66000000002</v>
      </c>
    </row>
    <row r="439" spans="1:17" ht="12.75">
      <c r="A439" s="39" t="s">
        <v>49</v>
      </c>
      <c r="B439" s="84"/>
      <c r="C439" s="143">
        <f>SUM(C441:C445)</f>
        <v>245035.05</v>
      </c>
      <c r="D439" s="131">
        <f aca="true" t="shared" si="147" ref="D439:Q439">SUM(D441:D445)</f>
        <v>-154582.38999999998</v>
      </c>
      <c r="E439" s="103">
        <f t="shared" si="147"/>
        <v>0</v>
      </c>
      <c r="F439" s="193">
        <f t="shared" si="147"/>
        <v>90452.66000000002</v>
      </c>
      <c r="G439" s="227">
        <f t="shared" si="147"/>
        <v>0</v>
      </c>
      <c r="H439" s="103">
        <f t="shared" si="147"/>
        <v>0</v>
      </c>
      <c r="I439" s="166">
        <f t="shared" si="147"/>
        <v>90452.66000000002</v>
      </c>
      <c r="J439" s="102">
        <f t="shared" si="147"/>
        <v>0</v>
      </c>
      <c r="K439" s="103">
        <f t="shared" si="147"/>
        <v>0</v>
      </c>
      <c r="L439" s="166">
        <f t="shared" si="147"/>
        <v>90452.66000000002</v>
      </c>
      <c r="M439" s="102">
        <f t="shared" si="147"/>
        <v>0</v>
      </c>
      <c r="N439" s="103">
        <f t="shared" si="147"/>
        <v>0</v>
      </c>
      <c r="O439" s="193">
        <f t="shared" si="147"/>
        <v>90452.66000000002</v>
      </c>
      <c r="P439" s="227">
        <f t="shared" si="147"/>
        <v>0</v>
      </c>
      <c r="Q439" s="193">
        <f t="shared" si="147"/>
        <v>90452.66000000002</v>
      </c>
    </row>
    <row r="440" spans="1:17" ht="12.75">
      <c r="A440" s="35" t="s">
        <v>26</v>
      </c>
      <c r="B440" s="80"/>
      <c r="C440" s="138"/>
      <c r="D440" s="117"/>
      <c r="E440" s="95"/>
      <c r="F440" s="189"/>
      <c r="G440" s="260"/>
      <c r="H440" s="6"/>
      <c r="I440" s="21"/>
      <c r="J440" s="20"/>
      <c r="K440" s="6"/>
      <c r="L440" s="21"/>
      <c r="M440" s="20"/>
      <c r="N440" s="6"/>
      <c r="O440" s="209"/>
      <c r="P440" s="220"/>
      <c r="Q440" s="221"/>
    </row>
    <row r="441" spans="1:17" ht="12.75">
      <c r="A441" s="81" t="s">
        <v>181</v>
      </c>
      <c r="B441" s="80"/>
      <c r="C441" s="139">
        <v>9535.05</v>
      </c>
      <c r="D441" s="128"/>
      <c r="E441" s="96"/>
      <c r="F441" s="190">
        <f>C441+D441+E441</f>
        <v>9535.05</v>
      </c>
      <c r="G441" s="261"/>
      <c r="H441" s="7"/>
      <c r="I441" s="23">
        <f>F441+G441+H441</f>
        <v>9535.05</v>
      </c>
      <c r="J441" s="29"/>
      <c r="K441" s="7"/>
      <c r="L441" s="23">
        <f>I441+J441+K441</f>
        <v>9535.05</v>
      </c>
      <c r="M441" s="22"/>
      <c r="N441" s="7"/>
      <c r="O441" s="210">
        <f>L441+M441+N441</f>
        <v>9535.05</v>
      </c>
      <c r="P441" s="220"/>
      <c r="Q441" s="221">
        <f>O441+P441</f>
        <v>9535.05</v>
      </c>
    </row>
    <row r="442" spans="1:17" ht="12.75">
      <c r="A442" s="81" t="s">
        <v>91</v>
      </c>
      <c r="B442" s="80"/>
      <c r="C442" s="139"/>
      <c r="D442" s="180">
        <f>45003.16</f>
        <v>45003.16</v>
      </c>
      <c r="E442" s="96"/>
      <c r="F442" s="190">
        <f>C442+D442+E442</f>
        <v>45003.16</v>
      </c>
      <c r="G442" s="261"/>
      <c r="H442" s="7"/>
      <c r="I442" s="23">
        <f>F442+G442+H442</f>
        <v>45003.16</v>
      </c>
      <c r="J442" s="22"/>
      <c r="K442" s="7"/>
      <c r="L442" s="23">
        <f>I442+J442+K442</f>
        <v>45003.16</v>
      </c>
      <c r="M442" s="22"/>
      <c r="N442" s="7"/>
      <c r="O442" s="210">
        <f>L442+M442+N442</f>
        <v>45003.16</v>
      </c>
      <c r="P442" s="220"/>
      <c r="Q442" s="221">
        <f>O442+P442</f>
        <v>45003.16</v>
      </c>
    </row>
    <row r="443" spans="1:17" ht="12.75" hidden="1">
      <c r="A443" s="81" t="s">
        <v>92</v>
      </c>
      <c r="B443" s="80"/>
      <c r="C443" s="139"/>
      <c r="D443" s="128"/>
      <c r="E443" s="96"/>
      <c r="F443" s="190">
        <f>C443+D443+E443</f>
        <v>0</v>
      </c>
      <c r="G443" s="261"/>
      <c r="H443" s="7"/>
      <c r="I443" s="23">
        <f>F443+G443+H443</f>
        <v>0</v>
      </c>
      <c r="J443" s="22"/>
      <c r="K443" s="7"/>
      <c r="L443" s="23">
        <f>I443+J443+K443</f>
        <v>0</v>
      </c>
      <c r="M443" s="22"/>
      <c r="N443" s="7"/>
      <c r="O443" s="210">
        <f>L443+M443+N443</f>
        <v>0</v>
      </c>
      <c r="P443" s="220"/>
      <c r="Q443" s="221">
        <f>O443+P443</f>
        <v>0</v>
      </c>
    </row>
    <row r="444" spans="1:17" ht="12.75">
      <c r="A444" s="81" t="s">
        <v>315</v>
      </c>
      <c r="B444" s="80"/>
      <c r="C444" s="139">
        <v>200000</v>
      </c>
      <c r="D444" s="128">
        <f>-6097.55-119488+9000-23000-60000</f>
        <v>-199585.55</v>
      </c>
      <c r="E444" s="96"/>
      <c r="F444" s="190">
        <f>C444+D444+E444</f>
        <v>414.45000000001164</v>
      </c>
      <c r="G444" s="261"/>
      <c r="H444" s="7"/>
      <c r="I444" s="23">
        <f>F444+G444+H444</f>
        <v>414.45000000001164</v>
      </c>
      <c r="J444" s="22"/>
      <c r="K444" s="7"/>
      <c r="L444" s="23">
        <f>I444+J444+K444</f>
        <v>414.45000000001164</v>
      </c>
      <c r="M444" s="22"/>
      <c r="N444" s="7"/>
      <c r="O444" s="210">
        <f>L444+M444+N444</f>
        <v>414.45000000001164</v>
      </c>
      <c r="P444" s="220"/>
      <c r="Q444" s="221">
        <f>O444+P444</f>
        <v>414.45000000001164</v>
      </c>
    </row>
    <row r="445" spans="1:17" ht="12.75">
      <c r="A445" s="36" t="s">
        <v>51</v>
      </c>
      <c r="B445" s="83"/>
      <c r="C445" s="253">
        <v>35500</v>
      </c>
      <c r="D445" s="244"/>
      <c r="E445" s="104"/>
      <c r="F445" s="195">
        <f>C445+D445+E445</f>
        <v>35500</v>
      </c>
      <c r="G445" s="263"/>
      <c r="H445" s="10"/>
      <c r="I445" s="27">
        <f>F445+G445+H445</f>
        <v>35500</v>
      </c>
      <c r="J445" s="26"/>
      <c r="K445" s="10"/>
      <c r="L445" s="27">
        <f>I445+J445+K445</f>
        <v>35500</v>
      </c>
      <c r="M445" s="26"/>
      <c r="N445" s="10"/>
      <c r="O445" s="213">
        <f>L445+M445+N445</f>
        <v>35500</v>
      </c>
      <c r="P445" s="229"/>
      <c r="Q445" s="230">
        <f>O445+P445</f>
        <v>35500</v>
      </c>
    </row>
    <row r="446" spans="1:17" ht="12.75">
      <c r="A446" s="30" t="s">
        <v>158</v>
      </c>
      <c r="B446" s="84"/>
      <c r="C446" s="138">
        <f>C447+C460</f>
        <v>97752</v>
      </c>
      <c r="D446" s="117">
        <f aca="true" t="shared" si="148" ref="D446:Q446">D447+D460</f>
        <v>112286.25</v>
      </c>
      <c r="E446" s="95">
        <f t="shared" si="148"/>
        <v>0</v>
      </c>
      <c r="F446" s="189">
        <f t="shared" si="148"/>
        <v>210038.25</v>
      </c>
      <c r="G446" s="219">
        <f t="shared" si="148"/>
        <v>0</v>
      </c>
      <c r="H446" s="95">
        <f t="shared" si="148"/>
        <v>0</v>
      </c>
      <c r="I446" s="162">
        <f t="shared" si="148"/>
        <v>210038.25</v>
      </c>
      <c r="J446" s="94">
        <f t="shared" si="148"/>
        <v>0</v>
      </c>
      <c r="K446" s="95">
        <f t="shared" si="148"/>
        <v>0</v>
      </c>
      <c r="L446" s="162">
        <f t="shared" si="148"/>
        <v>210038.25</v>
      </c>
      <c r="M446" s="94">
        <f t="shared" si="148"/>
        <v>0</v>
      </c>
      <c r="N446" s="95">
        <f t="shared" si="148"/>
        <v>0</v>
      </c>
      <c r="O446" s="189">
        <f t="shared" si="148"/>
        <v>210038.25</v>
      </c>
      <c r="P446" s="219">
        <f t="shared" si="148"/>
        <v>0</v>
      </c>
      <c r="Q446" s="189">
        <f t="shared" si="148"/>
        <v>210038.25</v>
      </c>
    </row>
    <row r="447" spans="1:17" ht="12.75">
      <c r="A447" s="39" t="s">
        <v>49</v>
      </c>
      <c r="B447" s="84"/>
      <c r="C447" s="143">
        <f>SUM(C449:C459)</f>
        <v>63302</v>
      </c>
      <c r="D447" s="131">
        <f aca="true" t="shared" si="149" ref="D447:Q447">SUM(D449:D459)</f>
        <v>15780.25</v>
      </c>
      <c r="E447" s="103">
        <f t="shared" si="149"/>
        <v>0</v>
      </c>
      <c r="F447" s="193">
        <f t="shared" si="149"/>
        <v>79082.25</v>
      </c>
      <c r="G447" s="227">
        <f t="shared" si="149"/>
        <v>0</v>
      </c>
      <c r="H447" s="103">
        <f t="shared" si="149"/>
        <v>0</v>
      </c>
      <c r="I447" s="166">
        <f t="shared" si="149"/>
        <v>79082.25</v>
      </c>
      <c r="J447" s="102">
        <f t="shared" si="149"/>
        <v>0</v>
      </c>
      <c r="K447" s="103">
        <f t="shared" si="149"/>
        <v>0</v>
      </c>
      <c r="L447" s="166">
        <f t="shared" si="149"/>
        <v>79082.25</v>
      </c>
      <c r="M447" s="102">
        <f t="shared" si="149"/>
        <v>0</v>
      </c>
      <c r="N447" s="103">
        <f t="shared" si="149"/>
        <v>0</v>
      </c>
      <c r="O447" s="193">
        <f t="shared" si="149"/>
        <v>79082.25</v>
      </c>
      <c r="P447" s="227">
        <f t="shared" si="149"/>
        <v>0</v>
      </c>
      <c r="Q447" s="193">
        <f t="shared" si="149"/>
        <v>79082.25</v>
      </c>
    </row>
    <row r="448" spans="1:17" ht="12.75">
      <c r="A448" s="35" t="s">
        <v>26</v>
      </c>
      <c r="B448" s="80"/>
      <c r="C448" s="139"/>
      <c r="D448" s="128"/>
      <c r="E448" s="96"/>
      <c r="F448" s="190"/>
      <c r="G448" s="261"/>
      <c r="H448" s="7"/>
      <c r="I448" s="23"/>
      <c r="J448" s="22"/>
      <c r="K448" s="7"/>
      <c r="L448" s="23"/>
      <c r="M448" s="22"/>
      <c r="N448" s="7"/>
      <c r="O448" s="210"/>
      <c r="P448" s="220"/>
      <c r="Q448" s="221"/>
    </row>
    <row r="449" spans="1:17" ht="12.75">
      <c r="A449" s="33" t="s">
        <v>234</v>
      </c>
      <c r="B449" s="80">
        <v>1202</v>
      </c>
      <c r="C449" s="139">
        <v>2950</v>
      </c>
      <c r="D449" s="128">
        <f>149.93+350</f>
        <v>499.93</v>
      </c>
      <c r="E449" s="96"/>
      <c r="F449" s="190">
        <f aca="true" t="shared" si="150" ref="F449:F459">C449+D449+E449</f>
        <v>3449.93</v>
      </c>
      <c r="G449" s="261"/>
      <c r="H449" s="7"/>
      <c r="I449" s="23">
        <f>F449+G449+H449</f>
        <v>3449.93</v>
      </c>
      <c r="J449" s="22"/>
      <c r="K449" s="7"/>
      <c r="L449" s="23">
        <f aca="true" t="shared" si="151" ref="L449:L459">I449+J449+K449</f>
        <v>3449.93</v>
      </c>
      <c r="M449" s="22"/>
      <c r="N449" s="7"/>
      <c r="O449" s="210">
        <f aca="true" t="shared" si="152" ref="O449:O459">L449+M449+N449</f>
        <v>3449.93</v>
      </c>
      <c r="P449" s="220"/>
      <c r="Q449" s="221">
        <f aca="true" t="shared" si="153" ref="Q449:Q459">O449+P449</f>
        <v>3449.93</v>
      </c>
    </row>
    <row r="450" spans="1:17" ht="12.75">
      <c r="A450" s="33" t="s">
        <v>175</v>
      </c>
      <c r="B450" s="80">
        <v>1207</v>
      </c>
      <c r="C450" s="139">
        <v>9800</v>
      </c>
      <c r="D450" s="128">
        <f>1008.06</f>
        <v>1008.06</v>
      </c>
      <c r="E450" s="96"/>
      <c r="F450" s="190">
        <f t="shared" si="150"/>
        <v>10808.06</v>
      </c>
      <c r="G450" s="261"/>
      <c r="H450" s="7"/>
      <c r="I450" s="23">
        <f aca="true" t="shared" si="154" ref="I450:I459">F450+G450+H450</f>
        <v>10808.06</v>
      </c>
      <c r="J450" s="22"/>
      <c r="K450" s="7"/>
      <c r="L450" s="23">
        <f t="shared" si="151"/>
        <v>10808.06</v>
      </c>
      <c r="M450" s="22"/>
      <c r="N450" s="7"/>
      <c r="O450" s="210">
        <f t="shared" si="152"/>
        <v>10808.06</v>
      </c>
      <c r="P450" s="220"/>
      <c r="Q450" s="221">
        <f t="shared" si="153"/>
        <v>10808.06</v>
      </c>
    </row>
    <row r="451" spans="1:17" ht="12.75">
      <c r="A451" s="37" t="s">
        <v>295</v>
      </c>
      <c r="B451" s="80">
        <v>1209</v>
      </c>
      <c r="C451" s="139">
        <v>2180</v>
      </c>
      <c r="D451" s="128">
        <f>140.53</f>
        <v>140.53</v>
      </c>
      <c r="E451" s="96"/>
      <c r="F451" s="190">
        <f t="shared" si="150"/>
        <v>2320.53</v>
      </c>
      <c r="G451" s="261"/>
      <c r="H451" s="7"/>
      <c r="I451" s="23">
        <f t="shared" si="154"/>
        <v>2320.53</v>
      </c>
      <c r="J451" s="22"/>
      <c r="K451" s="7"/>
      <c r="L451" s="23">
        <f t="shared" si="151"/>
        <v>2320.53</v>
      </c>
      <c r="M451" s="22"/>
      <c r="N451" s="7"/>
      <c r="O451" s="210">
        <f t="shared" si="152"/>
        <v>2320.53</v>
      </c>
      <c r="P451" s="220"/>
      <c r="Q451" s="221">
        <f t="shared" si="153"/>
        <v>2320.53</v>
      </c>
    </row>
    <row r="452" spans="1:17" ht="12.75">
      <c r="A452" s="33" t="s">
        <v>176</v>
      </c>
      <c r="B452" s="80">
        <v>1211</v>
      </c>
      <c r="C452" s="139">
        <v>2320</v>
      </c>
      <c r="D452" s="180">
        <f>306.25</f>
        <v>306.25</v>
      </c>
      <c r="E452" s="107"/>
      <c r="F452" s="190">
        <f t="shared" si="150"/>
        <v>2626.25</v>
      </c>
      <c r="G452" s="261"/>
      <c r="H452" s="7"/>
      <c r="I452" s="23">
        <f t="shared" si="154"/>
        <v>2626.25</v>
      </c>
      <c r="J452" s="22"/>
      <c r="K452" s="7"/>
      <c r="L452" s="23">
        <f t="shared" si="151"/>
        <v>2626.25</v>
      </c>
      <c r="M452" s="22"/>
      <c r="N452" s="7"/>
      <c r="O452" s="210">
        <f t="shared" si="152"/>
        <v>2626.25</v>
      </c>
      <c r="P452" s="220"/>
      <c r="Q452" s="221">
        <f t="shared" si="153"/>
        <v>2626.25</v>
      </c>
    </row>
    <row r="453" spans="1:17" ht="12.75">
      <c r="A453" s="33" t="s">
        <v>222</v>
      </c>
      <c r="B453" s="80">
        <v>1214</v>
      </c>
      <c r="C453" s="139">
        <v>2850</v>
      </c>
      <c r="D453" s="180">
        <f>10.13+2.62+800</f>
        <v>812.75</v>
      </c>
      <c r="E453" s="96"/>
      <c r="F453" s="190">
        <f t="shared" si="150"/>
        <v>3662.75</v>
      </c>
      <c r="G453" s="261"/>
      <c r="H453" s="7"/>
      <c r="I453" s="23">
        <f t="shared" si="154"/>
        <v>3662.75</v>
      </c>
      <c r="J453" s="22"/>
      <c r="K453" s="7"/>
      <c r="L453" s="23">
        <f t="shared" si="151"/>
        <v>3662.75</v>
      </c>
      <c r="M453" s="22"/>
      <c r="N453" s="7"/>
      <c r="O453" s="210">
        <f t="shared" si="152"/>
        <v>3662.75</v>
      </c>
      <c r="P453" s="220"/>
      <c r="Q453" s="221">
        <f t="shared" si="153"/>
        <v>3662.75</v>
      </c>
    </row>
    <row r="454" spans="1:17" ht="12.75">
      <c r="A454" s="33" t="s">
        <v>223</v>
      </c>
      <c r="B454" s="80">
        <v>1213</v>
      </c>
      <c r="C454" s="139"/>
      <c r="D454" s="180">
        <f>2.62-2.62</f>
        <v>0</v>
      </c>
      <c r="E454" s="96"/>
      <c r="F454" s="190">
        <f t="shared" si="150"/>
        <v>0</v>
      </c>
      <c r="G454" s="261"/>
      <c r="H454" s="7"/>
      <c r="I454" s="23">
        <f t="shared" si="154"/>
        <v>0</v>
      </c>
      <c r="J454" s="22"/>
      <c r="K454" s="7"/>
      <c r="L454" s="23">
        <f t="shared" si="151"/>
        <v>0</v>
      </c>
      <c r="M454" s="22"/>
      <c r="N454" s="7"/>
      <c r="O454" s="210">
        <f t="shared" si="152"/>
        <v>0</v>
      </c>
      <c r="P454" s="220"/>
      <c r="Q454" s="221">
        <f t="shared" si="153"/>
        <v>0</v>
      </c>
    </row>
    <row r="455" spans="1:17" ht="12.75">
      <c r="A455" s="33" t="s">
        <v>252</v>
      </c>
      <c r="B455" s="80">
        <v>1216</v>
      </c>
      <c r="C455" s="139">
        <v>22300</v>
      </c>
      <c r="D455" s="128">
        <f>2238.06</f>
        <v>2238.06</v>
      </c>
      <c r="E455" s="96"/>
      <c r="F455" s="190">
        <f t="shared" si="150"/>
        <v>24538.06</v>
      </c>
      <c r="G455" s="261"/>
      <c r="H455" s="7"/>
      <c r="I455" s="23">
        <f t="shared" si="154"/>
        <v>24538.06</v>
      </c>
      <c r="J455" s="22"/>
      <c r="K455" s="7"/>
      <c r="L455" s="23">
        <f t="shared" si="151"/>
        <v>24538.06</v>
      </c>
      <c r="M455" s="22"/>
      <c r="N455" s="7"/>
      <c r="O455" s="210">
        <f t="shared" si="152"/>
        <v>24538.06</v>
      </c>
      <c r="P455" s="220"/>
      <c r="Q455" s="221">
        <f t="shared" si="153"/>
        <v>24538.06</v>
      </c>
    </row>
    <row r="456" spans="1:17" ht="12.75">
      <c r="A456" s="33" t="s">
        <v>177</v>
      </c>
      <c r="B456" s="80">
        <v>1239</v>
      </c>
      <c r="C456" s="139">
        <v>6600</v>
      </c>
      <c r="D456" s="128">
        <f>775.83+2650</f>
        <v>3425.83</v>
      </c>
      <c r="E456" s="96"/>
      <c r="F456" s="190">
        <f t="shared" si="150"/>
        <v>10025.83</v>
      </c>
      <c r="G456" s="261"/>
      <c r="H456" s="7"/>
      <c r="I456" s="23">
        <f t="shared" si="154"/>
        <v>10025.83</v>
      </c>
      <c r="J456" s="22"/>
      <c r="K456" s="7"/>
      <c r="L456" s="23">
        <f t="shared" si="151"/>
        <v>10025.83</v>
      </c>
      <c r="M456" s="22"/>
      <c r="N456" s="7"/>
      <c r="O456" s="210">
        <f t="shared" si="152"/>
        <v>10025.83</v>
      </c>
      <c r="P456" s="220"/>
      <c r="Q456" s="221">
        <f t="shared" si="153"/>
        <v>10025.83</v>
      </c>
    </row>
    <row r="457" spans="1:17" ht="12.75">
      <c r="A457" s="33" t="s">
        <v>196</v>
      </c>
      <c r="B457" s="80">
        <v>1300</v>
      </c>
      <c r="C457" s="139">
        <v>9500</v>
      </c>
      <c r="D457" s="128">
        <f>400+2767.68+1333.33</f>
        <v>4501.01</v>
      </c>
      <c r="E457" s="96"/>
      <c r="F457" s="190">
        <f t="shared" si="150"/>
        <v>14001.01</v>
      </c>
      <c r="G457" s="261"/>
      <c r="H457" s="7"/>
      <c r="I457" s="23">
        <f t="shared" si="154"/>
        <v>14001.01</v>
      </c>
      <c r="J457" s="22"/>
      <c r="K457" s="7"/>
      <c r="L457" s="23">
        <f t="shared" si="151"/>
        <v>14001.01</v>
      </c>
      <c r="M457" s="22"/>
      <c r="N457" s="7"/>
      <c r="O457" s="210">
        <f t="shared" si="152"/>
        <v>14001.01</v>
      </c>
      <c r="P457" s="220"/>
      <c r="Q457" s="221">
        <f t="shared" si="153"/>
        <v>14001.01</v>
      </c>
    </row>
    <row r="458" spans="1:17" ht="12.75">
      <c r="A458" s="33" t="s">
        <v>178</v>
      </c>
      <c r="B458" s="80">
        <v>1110</v>
      </c>
      <c r="C458" s="139">
        <v>4800</v>
      </c>
      <c r="D458" s="128">
        <f>1870.13</f>
        <v>1870.13</v>
      </c>
      <c r="E458" s="96"/>
      <c r="F458" s="190">
        <f t="shared" si="150"/>
        <v>6670.13</v>
      </c>
      <c r="G458" s="261"/>
      <c r="H458" s="7"/>
      <c r="I458" s="23">
        <f t="shared" si="154"/>
        <v>6670.13</v>
      </c>
      <c r="J458" s="22"/>
      <c r="K458" s="7"/>
      <c r="L458" s="23">
        <f t="shared" si="151"/>
        <v>6670.13</v>
      </c>
      <c r="M458" s="22"/>
      <c r="N458" s="7"/>
      <c r="O458" s="210">
        <f t="shared" si="152"/>
        <v>6670.13</v>
      </c>
      <c r="P458" s="220"/>
      <c r="Q458" s="221">
        <f t="shared" si="153"/>
        <v>6670.13</v>
      </c>
    </row>
    <row r="459" spans="1:17" ht="12.75">
      <c r="A459" s="33" t="s">
        <v>287</v>
      </c>
      <c r="B459" s="80"/>
      <c r="C459" s="139">
        <v>2</v>
      </c>
      <c r="D459" s="128">
        <f>977.7</f>
        <v>977.7</v>
      </c>
      <c r="E459" s="96"/>
      <c r="F459" s="190">
        <f t="shared" si="150"/>
        <v>979.7</v>
      </c>
      <c r="G459" s="261"/>
      <c r="H459" s="7"/>
      <c r="I459" s="23">
        <f t="shared" si="154"/>
        <v>979.7</v>
      </c>
      <c r="J459" s="22"/>
      <c r="K459" s="7"/>
      <c r="L459" s="23">
        <f t="shared" si="151"/>
        <v>979.7</v>
      </c>
      <c r="M459" s="22"/>
      <c r="N459" s="7"/>
      <c r="O459" s="210">
        <f t="shared" si="152"/>
        <v>979.7</v>
      </c>
      <c r="P459" s="220"/>
      <c r="Q459" s="221">
        <f t="shared" si="153"/>
        <v>979.7</v>
      </c>
    </row>
    <row r="460" spans="1:17" ht="12.75">
      <c r="A460" s="39" t="s">
        <v>53</v>
      </c>
      <c r="B460" s="84"/>
      <c r="C460" s="143">
        <f>SUM(C462:C469)</f>
        <v>34450</v>
      </c>
      <c r="D460" s="131">
        <f aca="true" t="shared" si="155" ref="D460:Q460">SUM(D462:D469)</f>
        <v>96506</v>
      </c>
      <c r="E460" s="103">
        <f t="shared" si="155"/>
        <v>0</v>
      </c>
      <c r="F460" s="193">
        <f t="shared" si="155"/>
        <v>130956</v>
      </c>
      <c r="G460" s="227">
        <f t="shared" si="155"/>
        <v>0</v>
      </c>
      <c r="H460" s="103">
        <f t="shared" si="155"/>
        <v>0</v>
      </c>
      <c r="I460" s="166">
        <f t="shared" si="155"/>
        <v>130956</v>
      </c>
      <c r="J460" s="102">
        <f t="shared" si="155"/>
        <v>0</v>
      </c>
      <c r="K460" s="103">
        <f t="shared" si="155"/>
        <v>0</v>
      </c>
      <c r="L460" s="166">
        <f t="shared" si="155"/>
        <v>130956</v>
      </c>
      <c r="M460" s="102">
        <f t="shared" si="155"/>
        <v>0</v>
      </c>
      <c r="N460" s="103">
        <f t="shared" si="155"/>
        <v>0</v>
      </c>
      <c r="O460" s="193">
        <f t="shared" si="155"/>
        <v>130956</v>
      </c>
      <c r="P460" s="227">
        <f t="shared" si="155"/>
        <v>0</v>
      </c>
      <c r="Q460" s="193">
        <f t="shared" si="155"/>
        <v>130956</v>
      </c>
    </row>
    <row r="461" spans="1:17" ht="12.75">
      <c r="A461" s="35" t="s">
        <v>26</v>
      </c>
      <c r="B461" s="80"/>
      <c r="C461" s="139"/>
      <c r="D461" s="128"/>
      <c r="E461" s="96"/>
      <c r="F461" s="190"/>
      <c r="G461" s="261"/>
      <c r="H461" s="7"/>
      <c r="I461" s="23"/>
      <c r="J461" s="22"/>
      <c r="K461" s="7"/>
      <c r="L461" s="23"/>
      <c r="M461" s="22"/>
      <c r="N461" s="7"/>
      <c r="O461" s="210"/>
      <c r="P461" s="220"/>
      <c r="Q461" s="221"/>
    </row>
    <row r="462" spans="1:17" ht="12.75">
      <c r="A462" s="37" t="s">
        <v>261</v>
      </c>
      <c r="B462" s="80">
        <v>1207</v>
      </c>
      <c r="C462" s="139">
        <v>2600</v>
      </c>
      <c r="D462" s="128">
        <f>3400</f>
        <v>3400</v>
      </c>
      <c r="E462" s="96"/>
      <c r="F462" s="190">
        <f aca="true" t="shared" si="156" ref="F462:F469">C462+D462+E462</f>
        <v>6000</v>
      </c>
      <c r="G462" s="261"/>
      <c r="H462" s="7"/>
      <c r="I462" s="23">
        <f aca="true" t="shared" si="157" ref="I462:I469">F462+G462+H462</f>
        <v>6000</v>
      </c>
      <c r="J462" s="22"/>
      <c r="K462" s="7"/>
      <c r="L462" s="23">
        <f aca="true" t="shared" si="158" ref="L462:L469">I462+J462+K462</f>
        <v>6000</v>
      </c>
      <c r="M462" s="22"/>
      <c r="N462" s="7"/>
      <c r="O462" s="210">
        <f aca="true" t="shared" si="159" ref="O462:O469">L462+M462+N462</f>
        <v>6000</v>
      </c>
      <c r="P462" s="220"/>
      <c r="Q462" s="221">
        <f aca="true" t="shared" si="160" ref="Q462:Q469">O462+P462</f>
        <v>6000</v>
      </c>
    </row>
    <row r="463" spans="1:17" ht="12.75" hidden="1">
      <c r="A463" s="33" t="s">
        <v>310</v>
      </c>
      <c r="B463" s="80">
        <v>1214</v>
      </c>
      <c r="C463" s="139"/>
      <c r="D463" s="128"/>
      <c r="E463" s="96"/>
      <c r="F463" s="190">
        <f t="shared" si="156"/>
        <v>0</v>
      </c>
      <c r="G463" s="261"/>
      <c r="H463" s="7"/>
      <c r="I463" s="23">
        <f t="shared" si="157"/>
        <v>0</v>
      </c>
      <c r="J463" s="22"/>
      <c r="K463" s="7"/>
      <c r="L463" s="23">
        <f t="shared" si="158"/>
        <v>0</v>
      </c>
      <c r="M463" s="22"/>
      <c r="N463" s="7"/>
      <c r="O463" s="210">
        <f t="shared" si="159"/>
        <v>0</v>
      </c>
      <c r="P463" s="220"/>
      <c r="Q463" s="221">
        <f t="shared" si="160"/>
        <v>0</v>
      </c>
    </row>
    <row r="464" spans="1:17" ht="12.75">
      <c r="A464" s="37" t="s">
        <v>296</v>
      </c>
      <c r="B464" s="80">
        <v>1209</v>
      </c>
      <c r="C464" s="139"/>
      <c r="D464" s="128">
        <f>600</f>
        <v>600</v>
      </c>
      <c r="E464" s="96"/>
      <c r="F464" s="190">
        <f t="shared" si="156"/>
        <v>600</v>
      </c>
      <c r="G464" s="261"/>
      <c r="H464" s="7"/>
      <c r="I464" s="23">
        <f t="shared" si="157"/>
        <v>600</v>
      </c>
      <c r="J464" s="22"/>
      <c r="K464" s="7"/>
      <c r="L464" s="23">
        <f t="shared" si="158"/>
        <v>600</v>
      </c>
      <c r="M464" s="22"/>
      <c r="N464" s="7"/>
      <c r="O464" s="210">
        <f t="shared" si="159"/>
        <v>600</v>
      </c>
      <c r="P464" s="220"/>
      <c r="Q464" s="221">
        <f t="shared" si="160"/>
        <v>600</v>
      </c>
    </row>
    <row r="465" spans="1:17" ht="12.75" hidden="1">
      <c r="A465" s="33" t="s">
        <v>262</v>
      </c>
      <c r="B465" s="80">
        <v>1202</v>
      </c>
      <c r="C465" s="139"/>
      <c r="D465" s="128"/>
      <c r="E465" s="96"/>
      <c r="F465" s="190">
        <f t="shared" si="156"/>
        <v>0</v>
      </c>
      <c r="G465" s="261"/>
      <c r="H465" s="7"/>
      <c r="I465" s="23">
        <f t="shared" si="157"/>
        <v>0</v>
      </c>
      <c r="J465" s="22"/>
      <c r="K465" s="7"/>
      <c r="L465" s="23">
        <f t="shared" si="158"/>
        <v>0</v>
      </c>
      <c r="M465" s="22"/>
      <c r="N465" s="7"/>
      <c r="O465" s="210">
        <f t="shared" si="159"/>
        <v>0</v>
      </c>
      <c r="P465" s="220"/>
      <c r="Q465" s="221">
        <f t="shared" si="160"/>
        <v>0</v>
      </c>
    </row>
    <row r="466" spans="1:17" ht="12.75">
      <c r="A466" s="33" t="s">
        <v>275</v>
      </c>
      <c r="B466" s="80">
        <v>1216</v>
      </c>
      <c r="C466" s="139"/>
      <c r="D466" s="128">
        <f>4000</f>
        <v>4000</v>
      </c>
      <c r="E466" s="96"/>
      <c r="F466" s="190">
        <f t="shared" si="156"/>
        <v>4000</v>
      </c>
      <c r="G466" s="261"/>
      <c r="H466" s="7"/>
      <c r="I466" s="23">
        <f t="shared" si="157"/>
        <v>4000</v>
      </c>
      <c r="J466" s="22"/>
      <c r="K466" s="7"/>
      <c r="L466" s="23">
        <f t="shared" si="158"/>
        <v>4000</v>
      </c>
      <c r="M466" s="22"/>
      <c r="N466" s="7"/>
      <c r="O466" s="210">
        <f t="shared" si="159"/>
        <v>4000</v>
      </c>
      <c r="P466" s="220"/>
      <c r="Q466" s="221">
        <f t="shared" si="160"/>
        <v>4000</v>
      </c>
    </row>
    <row r="467" spans="1:17" ht="12.75">
      <c r="A467" s="33" t="s">
        <v>280</v>
      </c>
      <c r="B467" s="80">
        <v>1239</v>
      </c>
      <c r="C467" s="139">
        <v>19850</v>
      </c>
      <c r="D467" s="128">
        <f>13000-3000+2500</f>
        <v>12500</v>
      </c>
      <c r="E467" s="96"/>
      <c r="F467" s="190">
        <f t="shared" si="156"/>
        <v>32350</v>
      </c>
      <c r="G467" s="261"/>
      <c r="H467" s="7"/>
      <c r="I467" s="23">
        <f t="shared" si="157"/>
        <v>32350</v>
      </c>
      <c r="J467" s="22"/>
      <c r="K467" s="7"/>
      <c r="L467" s="23">
        <f t="shared" si="158"/>
        <v>32350</v>
      </c>
      <c r="M467" s="22"/>
      <c r="N467" s="7"/>
      <c r="O467" s="210">
        <f t="shared" si="159"/>
        <v>32350</v>
      </c>
      <c r="P467" s="220"/>
      <c r="Q467" s="221">
        <f t="shared" si="160"/>
        <v>32350</v>
      </c>
    </row>
    <row r="468" spans="1:17" ht="12.75">
      <c r="A468" s="37" t="s">
        <v>263</v>
      </c>
      <c r="B468" s="80">
        <v>1300</v>
      </c>
      <c r="C468" s="139"/>
      <c r="D468" s="128">
        <f>100+3706+3000+2200+8000+10000+1000+30000</f>
        <v>58006</v>
      </c>
      <c r="E468" s="96"/>
      <c r="F468" s="190">
        <f t="shared" si="156"/>
        <v>58006</v>
      </c>
      <c r="G468" s="261"/>
      <c r="H468" s="7"/>
      <c r="I468" s="23">
        <f t="shared" si="157"/>
        <v>58006</v>
      </c>
      <c r="J468" s="22"/>
      <c r="K468" s="7"/>
      <c r="L468" s="23">
        <f t="shared" si="158"/>
        <v>58006</v>
      </c>
      <c r="M468" s="22"/>
      <c r="N468" s="7"/>
      <c r="O468" s="210">
        <f t="shared" si="159"/>
        <v>58006</v>
      </c>
      <c r="P468" s="220"/>
      <c r="Q468" s="221">
        <f t="shared" si="160"/>
        <v>58006</v>
      </c>
    </row>
    <row r="469" spans="1:17" ht="12.75">
      <c r="A469" s="36" t="s">
        <v>274</v>
      </c>
      <c r="B469" s="83">
        <v>1110</v>
      </c>
      <c r="C469" s="254">
        <v>12000</v>
      </c>
      <c r="D469" s="244">
        <f>18000</f>
        <v>18000</v>
      </c>
      <c r="E469" s="104"/>
      <c r="F469" s="195">
        <f t="shared" si="156"/>
        <v>30000</v>
      </c>
      <c r="G469" s="263"/>
      <c r="H469" s="10"/>
      <c r="I469" s="27">
        <f t="shared" si="157"/>
        <v>30000</v>
      </c>
      <c r="J469" s="26"/>
      <c r="K469" s="10"/>
      <c r="L469" s="27">
        <f t="shared" si="158"/>
        <v>30000</v>
      </c>
      <c r="M469" s="26"/>
      <c r="N469" s="10"/>
      <c r="O469" s="213">
        <f t="shared" si="159"/>
        <v>30000</v>
      </c>
      <c r="P469" s="229"/>
      <c r="Q469" s="230">
        <f t="shared" si="160"/>
        <v>30000</v>
      </c>
    </row>
    <row r="470" spans="1:17" ht="12.75">
      <c r="A470" s="30" t="s">
        <v>134</v>
      </c>
      <c r="B470" s="84"/>
      <c r="C470" s="138">
        <f aca="true" t="shared" si="161" ref="C470:Q470">C471</f>
        <v>1</v>
      </c>
      <c r="D470" s="117">
        <f t="shared" si="161"/>
        <v>2458.05</v>
      </c>
      <c r="E470" s="95">
        <f t="shared" si="161"/>
        <v>0</v>
      </c>
      <c r="F470" s="189">
        <f t="shared" si="161"/>
        <v>2459.05</v>
      </c>
      <c r="G470" s="219">
        <f t="shared" si="161"/>
        <v>0</v>
      </c>
      <c r="H470" s="95">
        <f t="shared" si="161"/>
        <v>0</v>
      </c>
      <c r="I470" s="162">
        <f t="shared" si="161"/>
        <v>2459.05</v>
      </c>
      <c r="J470" s="94">
        <f t="shared" si="161"/>
        <v>0</v>
      </c>
      <c r="K470" s="95">
        <f t="shared" si="161"/>
        <v>0</v>
      </c>
      <c r="L470" s="162">
        <f t="shared" si="161"/>
        <v>2459.05</v>
      </c>
      <c r="M470" s="94">
        <f t="shared" si="161"/>
        <v>0</v>
      </c>
      <c r="N470" s="95">
        <f t="shared" si="161"/>
        <v>0</v>
      </c>
      <c r="O470" s="189">
        <f t="shared" si="161"/>
        <v>2459.05</v>
      </c>
      <c r="P470" s="219">
        <f t="shared" si="161"/>
        <v>0</v>
      </c>
      <c r="Q470" s="189">
        <f t="shared" si="161"/>
        <v>2459.05</v>
      </c>
    </row>
    <row r="471" spans="1:17" ht="12.75">
      <c r="A471" s="39" t="s">
        <v>49</v>
      </c>
      <c r="B471" s="84"/>
      <c r="C471" s="143">
        <f>C473</f>
        <v>1</v>
      </c>
      <c r="D471" s="131">
        <f aca="true" t="shared" si="162" ref="D471:Q471">D473</f>
        <v>2458.05</v>
      </c>
      <c r="E471" s="103">
        <f t="shared" si="162"/>
        <v>0</v>
      </c>
      <c r="F471" s="193">
        <f t="shared" si="162"/>
        <v>2459.05</v>
      </c>
      <c r="G471" s="227">
        <f t="shared" si="162"/>
        <v>0</v>
      </c>
      <c r="H471" s="103">
        <f t="shared" si="162"/>
        <v>0</v>
      </c>
      <c r="I471" s="166">
        <f t="shared" si="162"/>
        <v>2459.05</v>
      </c>
      <c r="J471" s="102">
        <f t="shared" si="162"/>
        <v>0</v>
      </c>
      <c r="K471" s="103">
        <f t="shared" si="162"/>
        <v>0</v>
      </c>
      <c r="L471" s="166">
        <f t="shared" si="162"/>
        <v>2459.05</v>
      </c>
      <c r="M471" s="102">
        <f t="shared" si="162"/>
        <v>0</v>
      </c>
      <c r="N471" s="103">
        <f t="shared" si="162"/>
        <v>0</v>
      </c>
      <c r="O471" s="193">
        <f t="shared" si="162"/>
        <v>2459.05</v>
      </c>
      <c r="P471" s="227">
        <f t="shared" si="162"/>
        <v>0</v>
      </c>
      <c r="Q471" s="193">
        <f t="shared" si="162"/>
        <v>2459.05</v>
      </c>
    </row>
    <row r="472" spans="1:17" ht="12.75">
      <c r="A472" s="35" t="s">
        <v>26</v>
      </c>
      <c r="B472" s="80"/>
      <c r="C472" s="139"/>
      <c r="D472" s="128"/>
      <c r="E472" s="96"/>
      <c r="F472" s="190"/>
      <c r="G472" s="261"/>
      <c r="H472" s="7"/>
      <c r="I472" s="23"/>
      <c r="J472" s="22"/>
      <c r="K472" s="7"/>
      <c r="L472" s="23"/>
      <c r="M472" s="22"/>
      <c r="N472" s="7"/>
      <c r="O472" s="210"/>
      <c r="P472" s="220"/>
      <c r="Q472" s="221"/>
    </row>
    <row r="473" spans="1:17" ht="13.5" thickBot="1">
      <c r="A473" s="270" t="s">
        <v>51</v>
      </c>
      <c r="B473" s="280"/>
      <c r="C473" s="272">
        <v>1</v>
      </c>
      <c r="D473" s="273">
        <f>2458.05</f>
        <v>2458.05</v>
      </c>
      <c r="E473" s="281"/>
      <c r="F473" s="275">
        <f>C473+D473+E473</f>
        <v>2459.05</v>
      </c>
      <c r="G473" s="263"/>
      <c r="H473" s="10"/>
      <c r="I473" s="27">
        <f>F473+G473+H473</f>
        <v>2459.05</v>
      </c>
      <c r="J473" s="26"/>
      <c r="K473" s="10"/>
      <c r="L473" s="27">
        <f>I473+J473+K473</f>
        <v>2459.05</v>
      </c>
      <c r="M473" s="26"/>
      <c r="N473" s="10"/>
      <c r="O473" s="213">
        <f>L473+M473+N473</f>
        <v>2459.05</v>
      </c>
      <c r="P473" s="229"/>
      <c r="Q473" s="230">
        <f>O473+P473</f>
        <v>2459.05</v>
      </c>
    </row>
    <row r="474" spans="1:17" ht="12.75">
      <c r="A474" s="30" t="s">
        <v>93</v>
      </c>
      <c r="B474" s="84"/>
      <c r="C474" s="138">
        <f>C476+C477</f>
        <v>666648</v>
      </c>
      <c r="D474" s="117">
        <f aca="true" t="shared" si="163" ref="D474:Q474">D476+D477</f>
        <v>773220.8600000001</v>
      </c>
      <c r="E474" s="95">
        <f t="shared" si="163"/>
        <v>0</v>
      </c>
      <c r="F474" s="189">
        <f t="shared" si="163"/>
        <v>1439868.8599999996</v>
      </c>
      <c r="G474" s="219">
        <f t="shared" si="163"/>
        <v>0</v>
      </c>
      <c r="H474" s="95">
        <f t="shared" si="163"/>
        <v>0</v>
      </c>
      <c r="I474" s="162">
        <f t="shared" si="163"/>
        <v>1439868.8599999996</v>
      </c>
      <c r="J474" s="94">
        <f t="shared" si="163"/>
        <v>0</v>
      </c>
      <c r="K474" s="95">
        <f t="shared" si="163"/>
        <v>0</v>
      </c>
      <c r="L474" s="162">
        <f t="shared" si="163"/>
        <v>1439868.8599999996</v>
      </c>
      <c r="M474" s="94">
        <f t="shared" si="163"/>
        <v>0</v>
      </c>
      <c r="N474" s="95">
        <f t="shared" si="163"/>
        <v>0</v>
      </c>
      <c r="O474" s="189">
        <f t="shared" si="163"/>
        <v>1439868.8599999996</v>
      </c>
      <c r="P474" s="219">
        <f t="shared" si="163"/>
        <v>0</v>
      </c>
      <c r="Q474" s="189">
        <f t="shared" si="163"/>
        <v>1439868.8599999996</v>
      </c>
    </row>
    <row r="475" spans="1:17" ht="12.75">
      <c r="A475" s="32" t="s">
        <v>26</v>
      </c>
      <c r="B475" s="80"/>
      <c r="C475" s="138"/>
      <c r="D475" s="117"/>
      <c r="E475" s="95"/>
      <c r="F475" s="189"/>
      <c r="G475" s="219"/>
      <c r="H475" s="95"/>
      <c r="I475" s="162"/>
      <c r="J475" s="94"/>
      <c r="K475" s="95"/>
      <c r="L475" s="162"/>
      <c r="M475" s="94"/>
      <c r="N475" s="95"/>
      <c r="O475" s="189"/>
      <c r="P475" s="219"/>
      <c r="Q475" s="189"/>
    </row>
    <row r="476" spans="1:17" ht="12.75">
      <c r="A476" s="30" t="s">
        <v>49</v>
      </c>
      <c r="B476" s="84"/>
      <c r="C476" s="141">
        <f>C480+C487+C489+C501+C503+C508+C519+C504+C494+C521+C496+C525</f>
        <v>38780</v>
      </c>
      <c r="D476" s="129">
        <f aca="true" t="shared" si="164" ref="D476:Q476">D480+D487+D489+D501+D503+D508+D519+D504+D494+D521+D496+D525</f>
        <v>78707.63</v>
      </c>
      <c r="E476" s="99">
        <f t="shared" si="164"/>
        <v>0</v>
      </c>
      <c r="F476" s="191">
        <f t="shared" si="164"/>
        <v>117487.62999999999</v>
      </c>
      <c r="G476" s="223">
        <f t="shared" si="164"/>
        <v>0</v>
      </c>
      <c r="H476" s="99">
        <f t="shared" si="164"/>
        <v>0</v>
      </c>
      <c r="I476" s="164">
        <f t="shared" si="164"/>
        <v>117487.62999999999</v>
      </c>
      <c r="J476" s="98">
        <f t="shared" si="164"/>
        <v>0</v>
      </c>
      <c r="K476" s="99">
        <f t="shared" si="164"/>
        <v>0</v>
      </c>
      <c r="L476" s="164">
        <f t="shared" si="164"/>
        <v>117487.62999999999</v>
      </c>
      <c r="M476" s="98">
        <f t="shared" si="164"/>
        <v>0</v>
      </c>
      <c r="N476" s="99">
        <f t="shared" si="164"/>
        <v>0</v>
      </c>
      <c r="O476" s="191">
        <f t="shared" si="164"/>
        <v>117487.62999999999</v>
      </c>
      <c r="P476" s="223">
        <f t="shared" si="164"/>
        <v>0</v>
      </c>
      <c r="Q476" s="191">
        <f t="shared" si="164"/>
        <v>117487.62999999999</v>
      </c>
    </row>
    <row r="477" spans="1:17" ht="12.75">
      <c r="A477" s="30" t="s">
        <v>53</v>
      </c>
      <c r="B477" s="84"/>
      <c r="C477" s="141">
        <f>+C481+C482+C484+C485+C486+C490+C491+C493+C495+C497+C499+C500+C502+C505+C507+C509+C510+C512+C513+C515+C516+C518+C520+C522+C524</f>
        <v>627868</v>
      </c>
      <c r="D477" s="129">
        <f aca="true" t="shared" si="165" ref="D477:Q477">+D481+D482+D484+D485+D486+D490+D491+D493+D495+D497+D499+D500+D502+D505+D507+D509+D510+D512+D513+D515+D516+D518+D520+D522+D524</f>
        <v>694513.2300000001</v>
      </c>
      <c r="E477" s="99">
        <f t="shared" si="165"/>
        <v>0</v>
      </c>
      <c r="F477" s="191">
        <f t="shared" si="165"/>
        <v>1322381.2299999997</v>
      </c>
      <c r="G477" s="223">
        <f t="shared" si="165"/>
        <v>0</v>
      </c>
      <c r="H477" s="99">
        <f t="shared" si="165"/>
        <v>0</v>
      </c>
      <c r="I477" s="164">
        <f t="shared" si="165"/>
        <v>1322381.2299999997</v>
      </c>
      <c r="J477" s="98">
        <f t="shared" si="165"/>
        <v>0</v>
      </c>
      <c r="K477" s="99">
        <f t="shared" si="165"/>
        <v>0</v>
      </c>
      <c r="L477" s="164">
        <f t="shared" si="165"/>
        <v>1322381.2299999997</v>
      </c>
      <c r="M477" s="98">
        <f t="shared" si="165"/>
        <v>0</v>
      </c>
      <c r="N477" s="99">
        <f t="shared" si="165"/>
        <v>0</v>
      </c>
      <c r="O477" s="191">
        <f t="shared" si="165"/>
        <v>1322381.2299999997</v>
      </c>
      <c r="P477" s="223">
        <f t="shared" si="165"/>
        <v>0</v>
      </c>
      <c r="Q477" s="191">
        <f t="shared" si="165"/>
        <v>1322381.2299999997</v>
      </c>
    </row>
    <row r="478" spans="1:17" ht="12.75">
      <c r="A478" s="31" t="s">
        <v>94</v>
      </c>
      <c r="B478" s="80"/>
      <c r="C478" s="138"/>
      <c r="D478" s="117"/>
      <c r="E478" s="95"/>
      <c r="F478" s="189"/>
      <c r="G478" s="260"/>
      <c r="H478" s="6"/>
      <c r="I478" s="21"/>
      <c r="J478" s="20"/>
      <c r="K478" s="6"/>
      <c r="L478" s="21"/>
      <c r="M478" s="20"/>
      <c r="N478" s="6"/>
      <c r="O478" s="209"/>
      <c r="P478" s="220"/>
      <c r="Q478" s="221"/>
    </row>
    <row r="479" spans="1:17" ht="12.75">
      <c r="A479" s="81" t="s">
        <v>298</v>
      </c>
      <c r="B479" s="80"/>
      <c r="C479" s="139">
        <f>C480+C481+C482</f>
        <v>33977</v>
      </c>
      <c r="D479" s="128">
        <f aca="true" t="shared" si="166" ref="D479:Q479">D480+D481+D482</f>
        <v>28400.73</v>
      </c>
      <c r="E479" s="96">
        <f t="shared" si="166"/>
        <v>0</v>
      </c>
      <c r="F479" s="190">
        <f t="shared" si="166"/>
        <v>62377.729999999996</v>
      </c>
      <c r="G479" s="222">
        <f t="shared" si="166"/>
        <v>0</v>
      </c>
      <c r="H479" s="96">
        <f t="shared" si="166"/>
        <v>0</v>
      </c>
      <c r="I479" s="163">
        <f t="shared" si="166"/>
        <v>62377.729999999996</v>
      </c>
      <c r="J479" s="97">
        <f t="shared" si="166"/>
        <v>0</v>
      </c>
      <c r="K479" s="96">
        <f t="shared" si="166"/>
        <v>0</v>
      </c>
      <c r="L479" s="163">
        <f t="shared" si="166"/>
        <v>62377.729999999996</v>
      </c>
      <c r="M479" s="97">
        <f t="shared" si="166"/>
        <v>0</v>
      </c>
      <c r="N479" s="96">
        <f t="shared" si="166"/>
        <v>0</v>
      </c>
      <c r="O479" s="190">
        <f t="shared" si="166"/>
        <v>62377.729999999996</v>
      </c>
      <c r="P479" s="222">
        <f t="shared" si="166"/>
        <v>0</v>
      </c>
      <c r="Q479" s="190">
        <f t="shared" si="166"/>
        <v>62377.729999999996</v>
      </c>
    </row>
    <row r="480" spans="1:17" ht="12.75" hidden="1">
      <c r="A480" s="32" t="s">
        <v>102</v>
      </c>
      <c r="B480" s="80"/>
      <c r="C480" s="138"/>
      <c r="D480" s="117"/>
      <c r="E480" s="95"/>
      <c r="F480" s="190">
        <f>C480+D480+E480</f>
        <v>0</v>
      </c>
      <c r="G480" s="260"/>
      <c r="H480" s="6"/>
      <c r="I480" s="23">
        <f>F480+G480+H480</f>
        <v>0</v>
      </c>
      <c r="J480" s="20"/>
      <c r="K480" s="6"/>
      <c r="L480" s="23">
        <f>I480+J480+K480</f>
        <v>0</v>
      </c>
      <c r="M480" s="20"/>
      <c r="N480" s="6"/>
      <c r="O480" s="210">
        <f>L480+M480+N480</f>
        <v>0</v>
      </c>
      <c r="P480" s="220"/>
      <c r="Q480" s="221">
        <f>O480+P480</f>
        <v>0</v>
      </c>
    </row>
    <row r="481" spans="1:17" ht="12.75">
      <c r="A481" s="32" t="s">
        <v>96</v>
      </c>
      <c r="B481" s="80"/>
      <c r="C481" s="139">
        <v>33977</v>
      </c>
      <c r="D481" s="128">
        <f>17490.32+1634</f>
        <v>19124.32</v>
      </c>
      <c r="E481" s="95"/>
      <c r="F481" s="190">
        <f>C481+D481+E481</f>
        <v>53101.32</v>
      </c>
      <c r="G481" s="260"/>
      <c r="H481" s="6"/>
      <c r="I481" s="23">
        <f>F481+G481+H481</f>
        <v>53101.32</v>
      </c>
      <c r="J481" s="20"/>
      <c r="K481" s="6"/>
      <c r="L481" s="23">
        <f>I481+J481+K481</f>
        <v>53101.32</v>
      </c>
      <c r="M481" s="20"/>
      <c r="N481" s="6"/>
      <c r="O481" s="210">
        <f>L481+M481+N481</f>
        <v>53101.32</v>
      </c>
      <c r="P481" s="220"/>
      <c r="Q481" s="221">
        <f>O481+P481</f>
        <v>53101.32</v>
      </c>
    </row>
    <row r="482" spans="1:17" ht="12.75">
      <c r="A482" s="32" t="s">
        <v>107</v>
      </c>
      <c r="B482" s="80"/>
      <c r="C482" s="138"/>
      <c r="D482" s="128">
        <f>10910.41-1634</f>
        <v>9276.41</v>
      </c>
      <c r="E482" s="95"/>
      <c r="F482" s="190">
        <f>C482+D482+E482</f>
        <v>9276.41</v>
      </c>
      <c r="G482" s="260"/>
      <c r="H482" s="6"/>
      <c r="I482" s="23">
        <f>F482+G482+H482</f>
        <v>9276.41</v>
      </c>
      <c r="J482" s="20"/>
      <c r="K482" s="6"/>
      <c r="L482" s="23">
        <f>I482+J482+K482</f>
        <v>9276.41</v>
      </c>
      <c r="M482" s="20"/>
      <c r="N482" s="6"/>
      <c r="O482" s="210">
        <f>L482+M482+N482</f>
        <v>9276.41</v>
      </c>
      <c r="P482" s="220"/>
      <c r="Q482" s="221">
        <f>O482+P482</f>
        <v>9276.41</v>
      </c>
    </row>
    <row r="483" spans="1:17" ht="12.75">
      <c r="A483" s="32" t="s">
        <v>98</v>
      </c>
      <c r="B483" s="80">
        <v>10</v>
      </c>
      <c r="C483" s="139">
        <f>SUM(C484:C487)</f>
        <v>100000</v>
      </c>
      <c r="D483" s="128">
        <f aca="true" t="shared" si="167" ref="D483:Q483">SUM(D484:D487)</f>
        <v>346443.79</v>
      </c>
      <c r="E483" s="96">
        <f t="shared" si="167"/>
        <v>0</v>
      </c>
      <c r="F483" s="190">
        <f t="shared" si="167"/>
        <v>446443.79</v>
      </c>
      <c r="G483" s="222">
        <f t="shared" si="167"/>
        <v>0</v>
      </c>
      <c r="H483" s="96">
        <f t="shared" si="167"/>
        <v>0</v>
      </c>
      <c r="I483" s="163">
        <f t="shared" si="167"/>
        <v>446443.79</v>
      </c>
      <c r="J483" s="97">
        <f t="shared" si="167"/>
        <v>0</v>
      </c>
      <c r="K483" s="96">
        <f t="shared" si="167"/>
        <v>0</v>
      </c>
      <c r="L483" s="163">
        <f t="shared" si="167"/>
        <v>446443.79</v>
      </c>
      <c r="M483" s="97">
        <f t="shared" si="167"/>
        <v>0</v>
      </c>
      <c r="N483" s="96">
        <f t="shared" si="167"/>
        <v>0</v>
      </c>
      <c r="O483" s="190">
        <f t="shared" si="167"/>
        <v>446443.79</v>
      </c>
      <c r="P483" s="222">
        <f t="shared" si="167"/>
        <v>0</v>
      </c>
      <c r="Q483" s="190">
        <f t="shared" si="167"/>
        <v>446443.79</v>
      </c>
    </row>
    <row r="484" spans="1:17" ht="12.75" hidden="1">
      <c r="A484" s="32" t="s">
        <v>99</v>
      </c>
      <c r="B484" s="80"/>
      <c r="C484" s="139"/>
      <c r="D484" s="128"/>
      <c r="E484" s="96"/>
      <c r="F484" s="190">
        <f aca="true" t="shared" si="168" ref="F484:F528">C484+D484+E484</f>
        <v>0</v>
      </c>
      <c r="G484" s="261"/>
      <c r="H484" s="7"/>
      <c r="I484" s="23">
        <f>F484+G484+H484</f>
        <v>0</v>
      </c>
      <c r="J484" s="22"/>
      <c r="K484" s="7"/>
      <c r="L484" s="23">
        <f>I484+J484+K484</f>
        <v>0</v>
      </c>
      <c r="M484" s="22"/>
      <c r="N484" s="7"/>
      <c r="O484" s="210">
        <f>L484+M484+N484</f>
        <v>0</v>
      </c>
      <c r="P484" s="220"/>
      <c r="Q484" s="221">
        <f>O484+P484</f>
        <v>0</v>
      </c>
    </row>
    <row r="485" spans="1:17" ht="12.75">
      <c r="A485" s="81" t="s">
        <v>96</v>
      </c>
      <c r="B485" s="80"/>
      <c r="C485" s="139">
        <v>80000</v>
      </c>
      <c r="D485" s="180">
        <f>20000+1000+318000</f>
        <v>339000</v>
      </c>
      <c r="E485" s="107"/>
      <c r="F485" s="190">
        <f t="shared" si="168"/>
        <v>419000</v>
      </c>
      <c r="G485" s="261"/>
      <c r="H485" s="7"/>
      <c r="I485" s="23">
        <f>F485+G485+H485</f>
        <v>419000</v>
      </c>
      <c r="J485" s="22"/>
      <c r="K485" s="7"/>
      <c r="L485" s="23">
        <f>I485+J485+K485</f>
        <v>419000</v>
      </c>
      <c r="M485" s="22"/>
      <c r="N485" s="7"/>
      <c r="O485" s="210">
        <f>L485+M485+N485</f>
        <v>419000</v>
      </c>
      <c r="P485" s="220"/>
      <c r="Q485" s="221">
        <f>O485+P485</f>
        <v>419000</v>
      </c>
    </row>
    <row r="486" spans="1:17" ht="12.75">
      <c r="A486" s="32" t="s">
        <v>97</v>
      </c>
      <c r="B486" s="80"/>
      <c r="C486" s="139"/>
      <c r="D486" s="128">
        <f>755.69</f>
        <v>755.69</v>
      </c>
      <c r="E486" s="96"/>
      <c r="F486" s="190">
        <f t="shared" si="168"/>
        <v>755.69</v>
      </c>
      <c r="G486" s="261"/>
      <c r="H486" s="7"/>
      <c r="I486" s="23">
        <f>F486+G486+H486</f>
        <v>755.69</v>
      </c>
      <c r="J486" s="22"/>
      <c r="K486" s="7"/>
      <c r="L486" s="23">
        <f>I486+J486+K486</f>
        <v>755.69</v>
      </c>
      <c r="M486" s="22"/>
      <c r="N486" s="7"/>
      <c r="O486" s="210">
        <f>L486+M486+N486</f>
        <v>755.69</v>
      </c>
      <c r="P486" s="220"/>
      <c r="Q486" s="221">
        <f>O486+P486</f>
        <v>755.69</v>
      </c>
    </row>
    <row r="487" spans="1:17" ht="12.75">
      <c r="A487" s="33" t="s">
        <v>126</v>
      </c>
      <c r="B487" s="80"/>
      <c r="C487" s="139">
        <v>20000</v>
      </c>
      <c r="D487" s="243">
        <f>6688.1</f>
        <v>6688.1</v>
      </c>
      <c r="E487" s="96"/>
      <c r="F487" s="190">
        <f t="shared" si="168"/>
        <v>26688.1</v>
      </c>
      <c r="G487" s="261"/>
      <c r="H487" s="7"/>
      <c r="I487" s="23">
        <f>F487+G487+H487</f>
        <v>26688.1</v>
      </c>
      <c r="J487" s="22"/>
      <c r="K487" s="7"/>
      <c r="L487" s="23">
        <f>I487+J487+K487</f>
        <v>26688.1</v>
      </c>
      <c r="M487" s="22"/>
      <c r="N487" s="7"/>
      <c r="O487" s="210">
        <f>L487+M487+N487</f>
        <v>26688.1</v>
      </c>
      <c r="P487" s="220"/>
      <c r="Q487" s="221">
        <f>O487+P487</f>
        <v>26688.1</v>
      </c>
    </row>
    <row r="488" spans="1:17" ht="12.75">
      <c r="A488" s="32" t="s">
        <v>101</v>
      </c>
      <c r="B488" s="80">
        <v>12</v>
      </c>
      <c r="C488" s="139">
        <f aca="true" t="shared" si="169" ref="C488:Q488">C489+C490+C491</f>
        <v>19000</v>
      </c>
      <c r="D488" s="128">
        <f t="shared" si="169"/>
        <v>36129</v>
      </c>
      <c r="E488" s="96">
        <f t="shared" si="169"/>
        <v>0</v>
      </c>
      <c r="F488" s="190">
        <f t="shared" si="169"/>
        <v>55129.00000000001</v>
      </c>
      <c r="G488" s="222">
        <f t="shared" si="169"/>
        <v>0</v>
      </c>
      <c r="H488" s="96">
        <f t="shared" si="169"/>
        <v>0</v>
      </c>
      <c r="I488" s="163">
        <f t="shared" si="169"/>
        <v>55129.00000000001</v>
      </c>
      <c r="J488" s="97">
        <f t="shared" si="169"/>
        <v>0</v>
      </c>
      <c r="K488" s="96">
        <f t="shared" si="169"/>
        <v>0</v>
      </c>
      <c r="L488" s="163">
        <f t="shared" si="169"/>
        <v>55129.00000000001</v>
      </c>
      <c r="M488" s="97">
        <f t="shared" si="169"/>
        <v>0</v>
      </c>
      <c r="N488" s="96">
        <f t="shared" si="169"/>
        <v>0</v>
      </c>
      <c r="O488" s="190">
        <f t="shared" si="169"/>
        <v>55129.00000000001</v>
      </c>
      <c r="P488" s="222">
        <f t="shared" si="169"/>
        <v>0</v>
      </c>
      <c r="Q488" s="190">
        <f t="shared" si="169"/>
        <v>55129.00000000001</v>
      </c>
    </row>
    <row r="489" spans="1:17" ht="12.75">
      <c r="A489" s="32" t="s">
        <v>102</v>
      </c>
      <c r="B489" s="80"/>
      <c r="C489" s="139">
        <v>5500</v>
      </c>
      <c r="D489" s="128">
        <f>24956.38</f>
        <v>24956.38</v>
      </c>
      <c r="E489" s="96"/>
      <c r="F489" s="190">
        <f t="shared" si="168"/>
        <v>30456.38</v>
      </c>
      <c r="G489" s="261"/>
      <c r="H489" s="7"/>
      <c r="I489" s="23">
        <f>F489+G489+H489</f>
        <v>30456.38</v>
      </c>
      <c r="J489" s="22"/>
      <c r="K489" s="7"/>
      <c r="L489" s="23">
        <f>I489+J489+K489</f>
        <v>30456.38</v>
      </c>
      <c r="M489" s="22"/>
      <c r="N489" s="7"/>
      <c r="O489" s="210">
        <f>L489+M489+N489</f>
        <v>30456.38</v>
      </c>
      <c r="P489" s="220"/>
      <c r="Q489" s="221">
        <f>O489+P489</f>
        <v>30456.38</v>
      </c>
    </row>
    <row r="490" spans="1:17" ht="12.75">
      <c r="A490" s="32" t="s">
        <v>100</v>
      </c>
      <c r="B490" s="80"/>
      <c r="C490" s="139">
        <v>13500</v>
      </c>
      <c r="D490" s="128">
        <f>10143.19</f>
        <v>10143.19</v>
      </c>
      <c r="E490" s="96"/>
      <c r="F490" s="190">
        <f t="shared" si="168"/>
        <v>23643.190000000002</v>
      </c>
      <c r="G490" s="261"/>
      <c r="H490" s="7"/>
      <c r="I490" s="23">
        <f>F490+G490+H490</f>
        <v>23643.190000000002</v>
      </c>
      <c r="J490" s="22"/>
      <c r="K490" s="7"/>
      <c r="L490" s="23">
        <f>I490+J490+K490</f>
        <v>23643.190000000002</v>
      </c>
      <c r="M490" s="22"/>
      <c r="N490" s="7"/>
      <c r="O490" s="210">
        <f>L490+M490+N490</f>
        <v>23643.190000000002</v>
      </c>
      <c r="P490" s="220"/>
      <c r="Q490" s="221">
        <f>O490+P490</f>
        <v>23643.190000000002</v>
      </c>
    </row>
    <row r="491" spans="1:17" ht="12.75" customHeight="1">
      <c r="A491" s="32" t="s">
        <v>97</v>
      </c>
      <c r="B491" s="80"/>
      <c r="C491" s="139"/>
      <c r="D491" s="128">
        <f>1029.43</f>
        <v>1029.43</v>
      </c>
      <c r="E491" s="96"/>
      <c r="F491" s="190">
        <f t="shared" si="168"/>
        <v>1029.43</v>
      </c>
      <c r="G491" s="261"/>
      <c r="H491" s="7"/>
      <c r="I491" s="23">
        <f>F491+G491+H491</f>
        <v>1029.43</v>
      </c>
      <c r="J491" s="22"/>
      <c r="K491" s="7"/>
      <c r="L491" s="23">
        <f>I491+J491+K491</f>
        <v>1029.43</v>
      </c>
      <c r="M491" s="22"/>
      <c r="N491" s="7"/>
      <c r="O491" s="210">
        <f>L491+M491+N491</f>
        <v>1029.43</v>
      </c>
      <c r="P491" s="220"/>
      <c r="Q491" s="221">
        <f>O491+P491</f>
        <v>1029.43</v>
      </c>
    </row>
    <row r="492" spans="1:17" ht="12.75">
      <c r="A492" s="32" t="s">
        <v>103</v>
      </c>
      <c r="B492" s="80">
        <v>14</v>
      </c>
      <c r="C492" s="139">
        <f>SUM(C493:C497)</f>
        <v>95000</v>
      </c>
      <c r="D492" s="128">
        <f aca="true" t="shared" si="170" ref="D492:Q492">SUM(D493:D497)</f>
        <v>152400</v>
      </c>
      <c r="E492" s="96">
        <f t="shared" si="170"/>
        <v>0</v>
      </c>
      <c r="F492" s="190">
        <f t="shared" si="170"/>
        <v>247400</v>
      </c>
      <c r="G492" s="222">
        <f t="shared" si="170"/>
        <v>0</v>
      </c>
      <c r="H492" s="96">
        <f t="shared" si="170"/>
        <v>0</v>
      </c>
      <c r="I492" s="163">
        <f t="shared" si="170"/>
        <v>247400</v>
      </c>
      <c r="J492" s="97">
        <f t="shared" si="170"/>
        <v>0</v>
      </c>
      <c r="K492" s="96">
        <f t="shared" si="170"/>
        <v>0</v>
      </c>
      <c r="L492" s="163">
        <f t="shared" si="170"/>
        <v>247400</v>
      </c>
      <c r="M492" s="97">
        <f t="shared" si="170"/>
        <v>0</v>
      </c>
      <c r="N492" s="96">
        <f t="shared" si="170"/>
        <v>0</v>
      </c>
      <c r="O492" s="190">
        <f t="shared" si="170"/>
        <v>247400</v>
      </c>
      <c r="P492" s="222">
        <f t="shared" si="170"/>
        <v>0</v>
      </c>
      <c r="Q492" s="190">
        <f t="shared" si="170"/>
        <v>247400</v>
      </c>
    </row>
    <row r="493" spans="1:17" ht="12.75">
      <c r="A493" s="32" t="s">
        <v>104</v>
      </c>
      <c r="B493" s="80"/>
      <c r="C493" s="139">
        <v>79500</v>
      </c>
      <c r="D493" s="180">
        <f>29774+700+3850+400+27800</f>
        <v>62524</v>
      </c>
      <c r="E493" s="107"/>
      <c r="F493" s="190">
        <f t="shared" si="168"/>
        <v>142024</v>
      </c>
      <c r="G493" s="261"/>
      <c r="H493" s="7"/>
      <c r="I493" s="23">
        <f>F493+G493+H493</f>
        <v>142024</v>
      </c>
      <c r="J493" s="22"/>
      <c r="K493" s="7"/>
      <c r="L493" s="23">
        <f>I493+J493+K493</f>
        <v>142024</v>
      </c>
      <c r="M493" s="22"/>
      <c r="N493" s="7"/>
      <c r="O493" s="210">
        <f>L493+M493+N493</f>
        <v>142024</v>
      </c>
      <c r="P493" s="220"/>
      <c r="Q493" s="221">
        <f aca="true" t="shared" si="171" ref="Q493:Q539">O493+P493</f>
        <v>142024</v>
      </c>
    </row>
    <row r="494" spans="1:17" ht="12.75">
      <c r="A494" s="32" t="s">
        <v>105</v>
      </c>
      <c r="B494" s="80"/>
      <c r="C494" s="139">
        <v>10500</v>
      </c>
      <c r="D494" s="128">
        <f>15699+1700</f>
        <v>17399</v>
      </c>
      <c r="E494" s="96"/>
      <c r="F494" s="190">
        <f t="shared" si="168"/>
        <v>27899</v>
      </c>
      <c r="G494" s="261"/>
      <c r="H494" s="7"/>
      <c r="I494" s="23">
        <f>F494+G494+H494</f>
        <v>27899</v>
      </c>
      <c r="J494" s="22"/>
      <c r="K494" s="7"/>
      <c r="L494" s="23">
        <f>I494+J494+K494</f>
        <v>27899</v>
      </c>
      <c r="M494" s="22"/>
      <c r="N494" s="7"/>
      <c r="O494" s="210">
        <f>L494+M494+N494</f>
        <v>27899</v>
      </c>
      <c r="P494" s="220"/>
      <c r="Q494" s="221">
        <f t="shared" si="171"/>
        <v>27899</v>
      </c>
    </row>
    <row r="495" spans="1:17" ht="13.5" customHeight="1">
      <c r="A495" s="32" t="s">
        <v>106</v>
      </c>
      <c r="B495" s="80"/>
      <c r="C495" s="139"/>
      <c r="D495" s="128">
        <f>53033+500+15000</f>
        <v>68533</v>
      </c>
      <c r="E495" s="96"/>
      <c r="F495" s="190">
        <f t="shared" si="168"/>
        <v>68533</v>
      </c>
      <c r="G495" s="261"/>
      <c r="H495" s="7"/>
      <c r="I495" s="23">
        <f>F495+G495+H495</f>
        <v>68533</v>
      </c>
      <c r="J495" s="22"/>
      <c r="K495" s="7"/>
      <c r="L495" s="23">
        <f>I495+J495+K495</f>
        <v>68533</v>
      </c>
      <c r="M495" s="22"/>
      <c r="N495" s="7"/>
      <c r="O495" s="210">
        <f>L495+M495+N495</f>
        <v>68533</v>
      </c>
      <c r="P495" s="220"/>
      <c r="Q495" s="221">
        <f t="shared" si="171"/>
        <v>68533</v>
      </c>
    </row>
    <row r="496" spans="1:17" ht="13.5" customHeight="1">
      <c r="A496" s="33" t="s">
        <v>126</v>
      </c>
      <c r="B496" s="80"/>
      <c r="C496" s="139"/>
      <c r="D496" s="128">
        <f>8944</f>
        <v>8944</v>
      </c>
      <c r="E496" s="96"/>
      <c r="F496" s="190">
        <f t="shared" si="168"/>
        <v>8944</v>
      </c>
      <c r="G496" s="261"/>
      <c r="H496" s="7"/>
      <c r="I496" s="23">
        <f>F496+G496+H496</f>
        <v>8944</v>
      </c>
      <c r="J496" s="22"/>
      <c r="K496" s="7"/>
      <c r="L496" s="23">
        <f>I496+J496+K496</f>
        <v>8944</v>
      </c>
      <c r="M496" s="22"/>
      <c r="N496" s="7"/>
      <c r="O496" s="210">
        <f>L496+M496+N496</f>
        <v>8944</v>
      </c>
      <c r="P496" s="220"/>
      <c r="Q496" s="221">
        <f t="shared" si="171"/>
        <v>8944</v>
      </c>
    </row>
    <row r="497" spans="1:17" ht="12.75">
      <c r="A497" s="32" t="s">
        <v>107</v>
      </c>
      <c r="B497" s="80"/>
      <c r="C497" s="139">
        <v>5000</v>
      </c>
      <c r="D497" s="128">
        <f>-5000</f>
        <v>-5000</v>
      </c>
      <c r="E497" s="96"/>
      <c r="F497" s="190">
        <f t="shared" si="168"/>
        <v>0</v>
      </c>
      <c r="G497" s="261"/>
      <c r="H497" s="7"/>
      <c r="I497" s="23">
        <f>F497+G497+H497</f>
        <v>0</v>
      </c>
      <c r="J497" s="22"/>
      <c r="K497" s="7"/>
      <c r="L497" s="23">
        <f>I497+J497+K497</f>
        <v>0</v>
      </c>
      <c r="M497" s="22"/>
      <c r="N497" s="7"/>
      <c r="O497" s="210">
        <f>L497+M497+N497</f>
        <v>0</v>
      </c>
      <c r="P497" s="220"/>
      <c r="Q497" s="221">
        <f t="shared" si="171"/>
        <v>0</v>
      </c>
    </row>
    <row r="498" spans="1:17" ht="12.75">
      <c r="A498" s="32" t="s">
        <v>108</v>
      </c>
      <c r="B498" s="80">
        <v>15</v>
      </c>
      <c r="C498" s="139">
        <f>SUM(C499:C505)</f>
        <v>50000</v>
      </c>
      <c r="D498" s="128">
        <f aca="true" t="shared" si="172" ref="D498:Q498">SUM(D499:D505)</f>
        <v>436122.12</v>
      </c>
      <c r="E498" s="96">
        <f t="shared" si="172"/>
        <v>0</v>
      </c>
      <c r="F498" s="190">
        <f t="shared" si="172"/>
        <v>486122.12</v>
      </c>
      <c r="G498" s="222">
        <f t="shared" si="172"/>
        <v>0</v>
      </c>
      <c r="H498" s="96">
        <f t="shared" si="172"/>
        <v>0</v>
      </c>
      <c r="I498" s="163">
        <f t="shared" si="172"/>
        <v>486122.12</v>
      </c>
      <c r="J498" s="97">
        <f t="shared" si="172"/>
        <v>0</v>
      </c>
      <c r="K498" s="96">
        <f t="shared" si="172"/>
        <v>0</v>
      </c>
      <c r="L498" s="163">
        <f t="shared" si="172"/>
        <v>486122.12</v>
      </c>
      <c r="M498" s="97">
        <f t="shared" si="172"/>
        <v>0</v>
      </c>
      <c r="N498" s="96">
        <f t="shared" si="172"/>
        <v>0</v>
      </c>
      <c r="O498" s="190">
        <f t="shared" si="172"/>
        <v>486122.12</v>
      </c>
      <c r="P498" s="222">
        <f t="shared" si="172"/>
        <v>0</v>
      </c>
      <c r="Q498" s="190">
        <f t="shared" si="172"/>
        <v>486122.12</v>
      </c>
    </row>
    <row r="499" spans="1:17" ht="12.75">
      <c r="A499" s="32" t="s">
        <v>109</v>
      </c>
      <c r="B499" s="80"/>
      <c r="C499" s="139">
        <v>16340</v>
      </c>
      <c r="D499" s="128">
        <f>51487.06+221833+70000-605+42427</f>
        <v>385142.06</v>
      </c>
      <c r="E499" s="96"/>
      <c r="F499" s="190">
        <f t="shared" si="168"/>
        <v>401482.06</v>
      </c>
      <c r="G499" s="261"/>
      <c r="H499" s="7"/>
      <c r="I499" s="23">
        <f aca="true" t="shared" si="173" ref="I499:I505">F499+G499+H499</f>
        <v>401482.06</v>
      </c>
      <c r="J499" s="22"/>
      <c r="K499" s="7"/>
      <c r="L499" s="23">
        <f aca="true" t="shared" si="174" ref="L499:L505">I499+J499+K499</f>
        <v>401482.06</v>
      </c>
      <c r="M499" s="22"/>
      <c r="N499" s="7"/>
      <c r="O499" s="210">
        <f aca="true" t="shared" si="175" ref="O499:O505">L499+M499+N499</f>
        <v>401482.06</v>
      </c>
      <c r="P499" s="220"/>
      <c r="Q499" s="221">
        <f t="shared" si="171"/>
        <v>401482.06</v>
      </c>
    </row>
    <row r="500" spans="1:17" ht="12.75" hidden="1">
      <c r="A500" s="32" t="s">
        <v>110</v>
      </c>
      <c r="B500" s="80"/>
      <c r="C500" s="139"/>
      <c r="D500" s="128"/>
      <c r="E500" s="96"/>
      <c r="F500" s="190">
        <f t="shared" si="168"/>
        <v>0</v>
      </c>
      <c r="G500" s="261"/>
      <c r="H500" s="7"/>
      <c r="I500" s="23">
        <f t="shared" si="173"/>
        <v>0</v>
      </c>
      <c r="J500" s="22"/>
      <c r="K500" s="7"/>
      <c r="L500" s="23">
        <f t="shared" si="174"/>
        <v>0</v>
      </c>
      <c r="M500" s="22"/>
      <c r="N500" s="7"/>
      <c r="O500" s="210">
        <f t="shared" si="175"/>
        <v>0</v>
      </c>
      <c r="P500" s="220"/>
      <c r="Q500" s="221">
        <f t="shared" si="171"/>
        <v>0</v>
      </c>
    </row>
    <row r="501" spans="1:17" ht="12.75" hidden="1">
      <c r="A501" s="32" t="s">
        <v>111</v>
      </c>
      <c r="B501" s="80"/>
      <c r="C501" s="139"/>
      <c r="D501" s="180"/>
      <c r="E501" s="107"/>
      <c r="F501" s="190">
        <f t="shared" si="168"/>
        <v>0</v>
      </c>
      <c r="G501" s="261"/>
      <c r="H501" s="7"/>
      <c r="I501" s="23">
        <f t="shared" si="173"/>
        <v>0</v>
      </c>
      <c r="J501" s="22"/>
      <c r="K501" s="7"/>
      <c r="L501" s="23">
        <f t="shared" si="174"/>
        <v>0</v>
      </c>
      <c r="M501" s="22"/>
      <c r="N501" s="7"/>
      <c r="O501" s="210">
        <f t="shared" si="175"/>
        <v>0</v>
      </c>
      <c r="P501" s="220"/>
      <c r="Q501" s="221">
        <f t="shared" si="171"/>
        <v>0</v>
      </c>
    </row>
    <row r="502" spans="1:17" ht="12.75">
      <c r="A502" s="32" t="s">
        <v>112</v>
      </c>
      <c r="B502" s="80"/>
      <c r="C502" s="139">
        <v>30396</v>
      </c>
      <c r="D502" s="128">
        <f>37957.66</f>
        <v>37957.66</v>
      </c>
      <c r="E502" s="96"/>
      <c r="F502" s="190">
        <f t="shared" si="168"/>
        <v>68353.66</v>
      </c>
      <c r="G502" s="261"/>
      <c r="H502" s="7"/>
      <c r="I502" s="23">
        <f t="shared" si="173"/>
        <v>68353.66</v>
      </c>
      <c r="J502" s="22"/>
      <c r="K502" s="7"/>
      <c r="L502" s="23">
        <f t="shared" si="174"/>
        <v>68353.66</v>
      </c>
      <c r="M502" s="22"/>
      <c r="N502" s="7"/>
      <c r="O502" s="210">
        <f t="shared" si="175"/>
        <v>68353.66</v>
      </c>
      <c r="P502" s="220"/>
      <c r="Q502" s="221">
        <f t="shared" si="171"/>
        <v>68353.66</v>
      </c>
    </row>
    <row r="503" spans="1:17" ht="12.75">
      <c r="A503" s="32" t="s">
        <v>113</v>
      </c>
      <c r="B503" s="80"/>
      <c r="C503" s="139">
        <v>1979</v>
      </c>
      <c r="D503" s="128">
        <f>401.5</f>
        <v>401.5</v>
      </c>
      <c r="E503" s="96"/>
      <c r="F503" s="190">
        <f t="shared" si="168"/>
        <v>2380.5</v>
      </c>
      <c r="G503" s="261"/>
      <c r="H503" s="7"/>
      <c r="I503" s="23">
        <f t="shared" si="173"/>
        <v>2380.5</v>
      </c>
      <c r="J503" s="29"/>
      <c r="K503" s="7"/>
      <c r="L503" s="23">
        <f t="shared" si="174"/>
        <v>2380.5</v>
      </c>
      <c r="M503" s="22"/>
      <c r="N503" s="7"/>
      <c r="O503" s="210">
        <f t="shared" si="175"/>
        <v>2380.5</v>
      </c>
      <c r="P503" s="220"/>
      <c r="Q503" s="221">
        <f t="shared" si="171"/>
        <v>2380.5</v>
      </c>
    </row>
    <row r="504" spans="1:17" ht="12.75">
      <c r="A504" s="32" t="s">
        <v>114</v>
      </c>
      <c r="B504" s="80"/>
      <c r="C504" s="139"/>
      <c r="D504" s="128">
        <f>4473.9+8167+605</f>
        <v>13245.9</v>
      </c>
      <c r="E504" s="96"/>
      <c r="F504" s="190">
        <f t="shared" si="168"/>
        <v>13245.9</v>
      </c>
      <c r="G504" s="261"/>
      <c r="H504" s="7"/>
      <c r="I504" s="23">
        <f t="shared" si="173"/>
        <v>13245.9</v>
      </c>
      <c r="J504" s="22"/>
      <c r="K504" s="7"/>
      <c r="L504" s="23">
        <f t="shared" si="174"/>
        <v>13245.9</v>
      </c>
      <c r="M504" s="22"/>
      <c r="N504" s="7"/>
      <c r="O504" s="210">
        <f t="shared" si="175"/>
        <v>13245.9</v>
      </c>
      <c r="P504" s="220"/>
      <c r="Q504" s="221">
        <f t="shared" si="171"/>
        <v>13245.9</v>
      </c>
    </row>
    <row r="505" spans="1:17" ht="12.75">
      <c r="A505" s="32" t="s">
        <v>107</v>
      </c>
      <c r="B505" s="80"/>
      <c r="C505" s="139">
        <v>1285</v>
      </c>
      <c r="D505" s="128">
        <f>-625</f>
        <v>-625</v>
      </c>
      <c r="E505" s="96"/>
      <c r="F505" s="190">
        <f t="shared" si="168"/>
        <v>660</v>
      </c>
      <c r="G505" s="261"/>
      <c r="H505" s="7"/>
      <c r="I505" s="23">
        <f t="shared" si="173"/>
        <v>660</v>
      </c>
      <c r="J505" s="22"/>
      <c r="K505" s="7"/>
      <c r="L505" s="23">
        <f t="shared" si="174"/>
        <v>660</v>
      </c>
      <c r="M505" s="22"/>
      <c r="N505" s="7"/>
      <c r="O505" s="210">
        <f t="shared" si="175"/>
        <v>660</v>
      </c>
      <c r="P505" s="220"/>
      <c r="Q505" s="221">
        <f t="shared" si="171"/>
        <v>660</v>
      </c>
    </row>
    <row r="506" spans="1:17" ht="12.75">
      <c r="A506" s="32" t="s">
        <v>115</v>
      </c>
      <c r="B506" s="80">
        <v>16</v>
      </c>
      <c r="C506" s="139">
        <f>SUM(C507:C510)</f>
        <v>5000</v>
      </c>
      <c r="D506" s="128">
        <f aca="true" t="shared" si="176" ref="D506:Q506">SUM(D507:D510)</f>
        <v>4013.59</v>
      </c>
      <c r="E506" s="96">
        <f t="shared" si="176"/>
        <v>0</v>
      </c>
      <c r="F506" s="190">
        <f t="shared" si="176"/>
        <v>9013.59</v>
      </c>
      <c r="G506" s="222">
        <f t="shared" si="176"/>
        <v>0</v>
      </c>
      <c r="H506" s="96">
        <f t="shared" si="176"/>
        <v>0</v>
      </c>
      <c r="I506" s="163">
        <f t="shared" si="176"/>
        <v>9013.59</v>
      </c>
      <c r="J506" s="97">
        <f t="shared" si="176"/>
        <v>0</v>
      </c>
      <c r="K506" s="96">
        <f t="shared" si="176"/>
        <v>0</v>
      </c>
      <c r="L506" s="163">
        <f t="shared" si="176"/>
        <v>9013.59</v>
      </c>
      <c r="M506" s="97">
        <f t="shared" si="176"/>
        <v>0</v>
      </c>
      <c r="N506" s="96">
        <f t="shared" si="176"/>
        <v>0</v>
      </c>
      <c r="O506" s="190">
        <f t="shared" si="176"/>
        <v>9013.59</v>
      </c>
      <c r="P506" s="222">
        <f t="shared" si="176"/>
        <v>0</v>
      </c>
      <c r="Q506" s="190">
        <f t="shared" si="176"/>
        <v>9013.59</v>
      </c>
    </row>
    <row r="507" spans="1:17" ht="12.75">
      <c r="A507" s="32" t="s">
        <v>104</v>
      </c>
      <c r="B507" s="80"/>
      <c r="C507" s="139">
        <v>4927</v>
      </c>
      <c r="D507" s="128">
        <f>60+350+900</f>
        <v>1310</v>
      </c>
      <c r="E507" s="96"/>
      <c r="F507" s="190">
        <f t="shared" si="168"/>
        <v>6237</v>
      </c>
      <c r="G507" s="261"/>
      <c r="H507" s="7"/>
      <c r="I507" s="23">
        <f>F507+G507+H507</f>
        <v>6237</v>
      </c>
      <c r="J507" s="22"/>
      <c r="K507" s="7"/>
      <c r="L507" s="23">
        <f>I507+J507+K507</f>
        <v>6237</v>
      </c>
      <c r="M507" s="22"/>
      <c r="N507" s="7"/>
      <c r="O507" s="210">
        <f>L507+M507+N507</f>
        <v>6237</v>
      </c>
      <c r="P507" s="220"/>
      <c r="Q507" s="221">
        <f t="shared" si="171"/>
        <v>6237</v>
      </c>
    </row>
    <row r="508" spans="1:17" ht="12.75">
      <c r="A508" s="32" t="s">
        <v>105</v>
      </c>
      <c r="B508" s="80"/>
      <c r="C508" s="139"/>
      <c r="D508" s="128">
        <f>200+350</f>
        <v>550</v>
      </c>
      <c r="E508" s="96"/>
      <c r="F508" s="190">
        <f t="shared" si="168"/>
        <v>550</v>
      </c>
      <c r="G508" s="261"/>
      <c r="H508" s="7"/>
      <c r="I508" s="23">
        <f>F508+G508+H508</f>
        <v>550</v>
      </c>
      <c r="J508" s="22"/>
      <c r="K508" s="7"/>
      <c r="L508" s="23">
        <f>I508+J508+K508</f>
        <v>550</v>
      </c>
      <c r="M508" s="22"/>
      <c r="N508" s="7"/>
      <c r="O508" s="210">
        <f>L508+M508+N508</f>
        <v>550</v>
      </c>
      <c r="P508" s="220"/>
      <c r="Q508" s="221">
        <f t="shared" si="171"/>
        <v>550</v>
      </c>
    </row>
    <row r="509" spans="1:17" ht="12.75">
      <c r="A509" s="32" t="s">
        <v>106</v>
      </c>
      <c r="B509" s="80"/>
      <c r="C509" s="139"/>
      <c r="D509" s="128">
        <f>1959.44+100</f>
        <v>2059.44</v>
      </c>
      <c r="E509" s="96"/>
      <c r="F509" s="190">
        <f t="shared" si="168"/>
        <v>2059.44</v>
      </c>
      <c r="G509" s="261"/>
      <c r="H509" s="7"/>
      <c r="I509" s="23">
        <f>F509+G509+H509</f>
        <v>2059.44</v>
      </c>
      <c r="J509" s="22"/>
      <c r="K509" s="7"/>
      <c r="L509" s="23">
        <f>I509+J509+K509</f>
        <v>2059.44</v>
      </c>
      <c r="M509" s="22"/>
      <c r="N509" s="7"/>
      <c r="O509" s="210">
        <f>L509+M509+N509</f>
        <v>2059.44</v>
      </c>
      <c r="P509" s="220"/>
      <c r="Q509" s="221">
        <f t="shared" si="171"/>
        <v>2059.44</v>
      </c>
    </row>
    <row r="510" spans="1:17" ht="12.75">
      <c r="A510" s="32" t="s">
        <v>107</v>
      </c>
      <c r="B510" s="80"/>
      <c r="C510" s="139">
        <v>73</v>
      </c>
      <c r="D510" s="128">
        <f>794.15-700</f>
        <v>94.14999999999998</v>
      </c>
      <c r="E510" s="96"/>
      <c r="F510" s="190">
        <f t="shared" si="168"/>
        <v>167.14999999999998</v>
      </c>
      <c r="G510" s="261"/>
      <c r="H510" s="7"/>
      <c r="I510" s="23">
        <f>F510+G510+H510</f>
        <v>167.14999999999998</v>
      </c>
      <c r="J510" s="22"/>
      <c r="K510" s="7"/>
      <c r="L510" s="23">
        <f>I510+J510+K510</f>
        <v>167.14999999999998</v>
      </c>
      <c r="M510" s="22"/>
      <c r="N510" s="7"/>
      <c r="O510" s="210">
        <f>L510+M510+N510</f>
        <v>167.14999999999998</v>
      </c>
      <c r="P510" s="220"/>
      <c r="Q510" s="221">
        <f t="shared" si="171"/>
        <v>167.14999999999998</v>
      </c>
    </row>
    <row r="511" spans="1:17" ht="12.75">
      <c r="A511" s="32" t="s">
        <v>95</v>
      </c>
      <c r="B511" s="80">
        <v>18</v>
      </c>
      <c r="C511" s="139">
        <f>C512+C513</f>
        <v>1670</v>
      </c>
      <c r="D511" s="128">
        <f aca="true" t="shared" si="177" ref="D511:Q511">D512+D513</f>
        <v>417.88</v>
      </c>
      <c r="E511" s="96">
        <f t="shared" si="177"/>
        <v>0</v>
      </c>
      <c r="F511" s="190">
        <f t="shared" si="177"/>
        <v>2087.88</v>
      </c>
      <c r="G511" s="222">
        <f t="shared" si="177"/>
        <v>0</v>
      </c>
      <c r="H511" s="96">
        <f t="shared" si="177"/>
        <v>0</v>
      </c>
      <c r="I511" s="163">
        <f t="shared" si="177"/>
        <v>2087.88</v>
      </c>
      <c r="J511" s="97">
        <f t="shared" si="177"/>
        <v>0</v>
      </c>
      <c r="K511" s="96">
        <f t="shared" si="177"/>
        <v>0</v>
      </c>
      <c r="L511" s="163">
        <f t="shared" si="177"/>
        <v>2087.88</v>
      </c>
      <c r="M511" s="97">
        <f t="shared" si="177"/>
        <v>0</v>
      </c>
      <c r="N511" s="96">
        <f t="shared" si="177"/>
        <v>0</v>
      </c>
      <c r="O511" s="190">
        <f t="shared" si="177"/>
        <v>2087.88</v>
      </c>
      <c r="P511" s="222">
        <f t="shared" si="177"/>
        <v>0</v>
      </c>
      <c r="Q511" s="190">
        <f t="shared" si="177"/>
        <v>2087.88</v>
      </c>
    </row>
    <row r="512" spans="1:17" ht="12.75">
      <c r="A512" s="32" t="s">
        <v>96</v>
      </c>
      <c r="B512" s="80"/>
      <c r="C512" s="139">
        <v>1670</v>
      </c>
      <c r="D512" s="128">
        <f>417.88</f>
        <v>417.88</v>
      </c>
      <c r="E512" s="96"/>
      <c r="F512" s="190">
        <f>C512+D512+E512</f>
        <v>2087.88</v>
      </c>
      <c r="G512" s="261"/>
      <c r="H512" s="7"/>
      <c r="I512" s="23">
        <f>F512+G512+H512</f>
        <v>2087.88</v>
      </c>
      <c r="J512" s="22"/>
      <c r="K512" s="7"/>
      <c r="L512" s="23">
        <f>I512+J512+K512</f>
        <v>2087.88</v>
      </c>
      <c r="M512" s="22"/>
      <c r="N512" s="7"/>
      <c r="O512" s="210">
        <f>L512+M512+N512</f>
        <v>2087.88</v>
      </c>
      <c r="P512" s="220"/>
      <c r="Q512" s="221">
        <f t="shared" si="171"/>
        <v>2087.88</v>
      </c>
    </row>
    <row r="513" spans="1:17" ht="12.75" hidden="1">
      <c r="A513" s="32" t="s">
        <v>97</v>
      </c>
      <c r="B513" s="80"/>
      <c r="C513" s="139">
        <v>0</v>
      </c>
      <c r="D513" s="128"/>
      <c r="E513" s="96"/>
      <c r="F513" s="190">
        <f>C513+D513+E513</f>
        <v>0</v>
      </c>
      <c r="G513" s="261"/>
      <c r="H513" s="7"/>
      <c r="I513" s="23">
        <f>F513+G513+H513</f>
        <v>0</v>
      </c>
      <c r="J513" s="22"/>
      <c r="K513" s="7"/>
      <c r="L513" s="23">
        <f>I513+J513+K513</f>
        <v>0</v>
      </c>
      <c r="M513" s="22"/>
      <c r="N513" s="7"/>
      <c r="O513" s="210">
        <f>L513+M513+N513</f>
        <v>0</v>
      </c>
      <c r="P513" s="220"/>
      <c r="Q513" s="221">
        <f t="shared" si="171"/>
        <v>0</v>
      </c>
    </row>
    <row r="514" spans="1:17" ht="12.75">
      <c r="A514" s="81" t="s">
        <v>235</v>
      </c>
      <c r="B514" s="80">
        <v>19</v>
      </c>
      <c r="C514" s="139">
        <f>C515+C516</f>
        <v>2000</v>
      </c>
      <c r="D514" s="128">
        <f aca="true" t="shared" si="178" ref="D514:Q514">D515+D516</f>
        <v>2274.74</v>
      </c>
      <c r="E514" s="96">
        <f t="shared" si="178"/>
        <v>0</v>
      </c>
      <c r="F514" s="190">
        <f t="shared" si="178"/>
        <v>4274.74</v>
      </c>
      <c r="G514" s="222">
        <f t="shared" si="178"/>
        <v>0</v>
      </c>
      <c r="H514" s="96">
        <f t="shared" si="178"/>
        <v>0</v>
      </c>
      <c r="I514" s="163">
        <f t="shared" si="178"/>
        <v>4274.74</v>
      </c>
      <c r="J514" s="97">
        <f t="shared" si="178"/>
        <v>0</v>
      </c>
      <c r="K514" s="96">
        <f t="shared" si="178"/>
        <v>0</v>
      </c>
      <c r="L514" s="163">
        <f t="shared" si="178"/>
        <v>4274.74</v>
      </c>
      <c r="M514" s="97">
        <f t="shared" si="178"/>
        <v>0</v>
      </c>
      <c r="N514" s="96">
        <f t="shared" si="178"/>
        <v>0</v>
      </c>
      <c r="O514" s="190">
        <f t="shared" si="178"/>
        <v>4274.74</v>
      </c>
      <c r="P514" s="222">
        <f t="shared" si="178"/>
        <v>0</v>
      </c>
      <c r="Q514" s="190">
        <f t="shared" si="178"/>
        <v>4274.74</v>
      </c>
    </row>
    <row r="515" spans="1:17" ht="12.75">
      <c r="A515" s="32" t="s">
        <v>96</v>
      </c>
      <c r="B515" s="80"/>
      <c r="C515" s="139">
        <v>2000</v>
      </c>
      <c r="D515" s="128">
        <f>2051.27</f>
        <v>2051.27</v>
      </c>
      <c r="E515" s="96"/>
      <c r="F515" s="190">
        <f>C515+D515+E515</f>
        <v>4051.27</v>
      </c>
      <c r="G515" s="261"/>
      <c r="H515" s="7"/>
      <c r="I515" s="23">
        <f>F515+G515+H515</f>
        <v>4051.27</v>
      </c>
      <c r="J515" s="22"/>
      <c r="K515" s="7"/>
      <c r="L515" s="23">
        <f>I515+J515+K515</f>
        <v>4051.27</v>
      </c>
      <c r="M515" s="22"/>
      <c r="N515" s="7"/>
      <c r="O515" s="210">
        <f>L515+M515+N515</f>
        <v>4051.27</v>
      </c>
      <c r="P515" s="220"/>
      <c r="Q515" s="221">
        <f t="shared" si="171"/>
        <v>4051.27</v>
      </c>
    </row>
    <row r="516" spans="1:17" ht="12.75">
      <c r="A516" s="32" t="s">
        <v>97</v>
      </c>
      <c r="B516" s="80"/>
      <c r="C516" s="139"/>
      <c r="D516" s="128">
        <f>223.47</f>
        <v>223.47</v>
      </c>
      <c r="E516" s="96"/>
      <c r="F516" s="190">
        <f>C516+D516+E516</f>
        <v>223.47</v>
      </c>
      <c r="G516" s="261"/>
      <c r="H516" s="7"/>
      <c r="I516" s="23">
        <f>F516+G516+H516</f>
        <v>223.47</v>
      </c>
      <c r="J516" s="22"/>
      <c r="K516" s="7"/>
      <c r="L516" s="23">
        <f>I516+J516+K516</f>
        <v>223.47</v>
      </c>
      <c r="M516" s="22"/>
      <c r="N516" s="7"/>
      <c r="O516" s="210">
        <f>L516+M516+N516</f>
        <v>223.47</v>
      </c>
      <c r="P516" s="220"/>
      <c r="Q516" s="221">
        <f t="shared" si="171"/>
        <v>223.47</v>
      </c>
    </row>
    <row r="517" spans="1:17" ht="12.75">
      <c r="A517" s="32" t="s">
        <v>116</v>
      </c>
      <c r="B517" s="80">
        <v>28</v>
      </c>
      <c r="C517" s="139">
        <f>SUM(C518:C522)</f>
        <v>30000</v>
      </c>
      <c r="D517" s="128">
        <f aca="true" t="shared" si="179" ref="D517:Q517">SUM(D518:D522)</f>
        <v>45846.26</v>
      </c>
      <c r="E517" s="96">
        <f t="shared" si="179"/>
        <v>0</v>
      </c>
      <c r="F517" s="190">
        <f t="shared" si="179"/>
        <v>75846.26000000001</v>
      </c>
      <c r="G517" s="222">
        <f t="shared" si="179"/>
        <v>0</v>
      </c>
      <c r="H517" s="96">
        <f t="shared" si="179"/>
        <v>0</v>
      </c>
      <c r="I517" s="163">
        <f t="shared" si="179"/>
        <v>75846.26000000001</v>
      </c>
      <c r="J517" s="97">
        <f t="shared" si="179"/>
        <v>0</v>
      </c>
      <c r="K517" s="96">
        <f t="shared" si="179"/>
        <v>0</v>
      </c>
      <c r="L517" s="163">
        <f t="shared" si="179"/>
        <v>75846.26000000001</v>
      </c>
      <c r="M517" s="97">
        <f t="shared" si="179"/>
        <v>0</v>
      </c>
      <c r="N517" s="96">
        <f t="shared" si="179"/>
        <v>0</v>
      </c>
      <c r="O517" s="190">
        <f t="shared" si="179"/>
        <v>75846.26000000001</v>
      </c>
      <c r="P517" s="222">
        <f t="shared" si="179"/>
        <v>0</v>
      </c>
      <c r="Q517" s="190">
        <f t="shared" si="179"/>
        <v>75846.26000000001</v>
      </c>
    </row>
    <row r="518" spans="1:18" ht="12.75">
      <c r="A518" s="32" t="s">
        <v>104</v>
      </c>
      <c r="B518" s="80"/>
      <c r="C518" s="139">
        <v>16800</v>
      </c>
      <c r="D518" s="180">
        <f>8596.79+3300-3800</f>
        <v>8096.790000000001</v>
      </c>
      <c r="E518" s="96"/>
      <c r="F518" s="190">
        <f t="shared" si="168"/>
        <v>24896.79</v>
      </c>
      <c r="G518" s="261"/>
      <c r="H518" s="7"/>
      <c r="I518" s="23">
        <f>F518+G518+H518</f>
        <v>24896.79</v>
      </c>
      <c r="J518" s="22"/>
      <c r="K518" s="7"/>
      <c r="L518" s="23">
        <f>I518+J518+K518</f>
        <v>24896.79</v>
      </c>
      <c r="M518" s="22"/>
      <c r="N518" s="7"/>
      <c r="O518" s="210">
        <f>L518+M518+N518</f>
        <v>24896.79</v>
      </c>
      <c r="P518" s="220"/>
      <c r="Q518" s="221">
        <f t="shared" si="171"/>
        <v>24896.79</v>
      </c>
      <c r="R518" s="156"/>
    </row>
    <row r="519" spans="1:17" ht="12.75">
      <c r="A519" s="32" t="s">
        <v>105</v>
      </c>
      <c r="B519" s="80"/>
      <c r="C519" s="139">
        <v>800</v>
      </c>
      <c r="D519" s="128">
        <f>850+1000</f>
        <v>1850</v>
      </c>
      <c r="E519" s="96"/>
      <c r="F519" s="190">
        <f t="shared" si="168"/>
        <v>2650</v>
      </c>
      <c r="G519" s="261"/>
      <c r="H519" s="7"/>
      <c r="I519" s="23">
        <f>F519+G519+H519</f>
        <v>2650</v>
      </c>
      <c r="J519" s="22"/>
      <c r="K519" s="7"/>
      <c r="L519" s="23">
        <f>I519+J519+K519</f>
        <v>2650</v>
      </c>
      <c r="M519" s="22"/>
      <c r="N519" s="7"/>
      <c r="O519" s="210">
        <f>L519+M519+N519</f>
        <v>2650</v>
      </c>
      <c r="P519" s="220"/>
      <c r="Q519" s="221">
        <f t="shared" si="171"/>
        <v>2650</v>
      </c>
    </row>
    <row r="520" spans="1:17" ht="12.75">
      <c r="A520" s="32" t="s">
        <v>117</v>
      </c>
      <c r="B520" s="80"/>
      <c r="C520" s="139">
        <v>12400</v>
      </c>
      <c r="D520" s="128">
        <f>31672.81+3000</f>
        <v>34672.81</v>
      </c>
      <c r="E520" s="96"/>
      <c r="F520" s="190">
        <f t="shared" si="168"/>
        <v>47072.81</v>
      </c>
      <c r="G520" s="261"/>
      <c r="H520" s="7"/>
      <c r="I520" s="23">
        <f>F520+G520+H520</f>
        <v>47072.81</v>
      </c>
      <c r="J520" s="22"/>
      <c r="K520" s="7"/>
      <c r="L520" s="23">
        <f>I520+J520+K520</f>
        <v>47072.81</v>
      </c>
      <c r="M520" s="22"/>
      <c r="N520" s="7"/>
      <c r="O520" s="210">
        <f>L520+M520+N520</f>
        <v>47072.81</v>
      </c>
      <c r="P520" s="220"/>
      <c r="Q520" s="221">
        <f t="shared" si="171"/>
        <v>47072.81</v>
      </c>
    </row>
    <row r="521" spans="1:17" ht="12.75" hidden="1">
      <c r="A521" s="32" t="s">
        <v>114</v>
      </c>
      <c r="B521" s="80"/>
      <c r="C521" s="139"/>
      <c r="D521" s="128"/>
      <c r="E521" s="96"/>
      <c r="F521" s="190">
        <f t="shared" si="168"/>
        <v>0</v>
      </c>
      <c r="G521" s="261"/>
      <c r="H521" s="7"/>
      <c r="I521" s="23">
        <f>F521+G521+H521</f>
        <v>0</v>
      </c>
      <c r="J521" s="22"/>
      <c r="K521" s="7"/>
      <c r="L521" s="23">
        <f>I521+J521+K521</f>
        <v>0</v>
      </c>
      <c r="M521" s="22"/>
      <c r="N521" s="7"/>
      <c r="O521" s="210">
        <f>L521+M521+N521</f>
        <v>0</v>
      </c>
      <c r="P521" s="220"/>
      <c r="Q521" s="221">
        <f t="shared" si="171"/>
        <v>0</v>
      </c>
    </row>
    <row r="522" spans="1:17" ht="12.75">
      <c r="A522" s="32" t="s">
        <v>107</v>
      </c>
      <c r="B522" s="80"/>
      <c r="C522" s="139"/>
      <c r="D522" s="180">
        <f>1426.66-200</f>
        <v>1226.66</v>
      </c>
      <c r="E522" s="96"/>
      <c r="F522" s="190">
        <f t="shared" si="168"/>
        <v>1226.66</v>
      </c>
      <c r="G522" s="261"/>
      <c r="H522" s="7"/>
      <c r="I522" s="23">
        <f>F522+G522+H522</f>
        <v>1226.66</v>
      </c>
      <c r="J522" s="22"/>
      <c r="K522" s="7"/>
      <c r="L522" s="23">
        <f>I522+J522+K522</f>
        <v>1226.66</v>
      </c>
      <c r="M522" s="22"/>
      <c r="N522" s="7"/>
      <c r="O522" s="210">
        <f>L522+M522+N522</f>
        <v>1226.66</v>
      </c>
      <c r="P522" s="220"/>
      <c r="Q522" s="221">
        <f t="shared" si="171"/>
        <v>1226.66</v>
      </c>
    </row>
    <row r="523" spans="1:17" ht="12.75">
      <c r="A523" s="33" t="s">
        <v>118</v>
      </c>
      <c r="B523" s="80"/>
      <c r="C523" s="139">
        <f>C524+C525</f>
        <v>330001</v>
      </c>
      <c r="D523" s="128">
        <f aca="true" t="shared" si="180" ref="D523:Q523">D524+D525</f>
        <v>-278827.25</v>
      </c>
      <c r="E523" s="96">
        <f t="shared" si="180"/>
        <v>0</v>
      </c>
      <c r="F523" s="190">
        <f t="shared" si="180"/>
        <v>51173.75</v>
      </c>
      <c r="G523" s="222">
        <f t="shared" si="180"/>
        <v>0</v>
      </c>
      <c r="H523" s="96">
        <f t="shared" si="180"/>
        <v>0</v>
      </c>
      <c r="I523" s="163">
        <f t="shared" si="180"/>
        <v>51173.75</v>
      </c>
      <c r="J523" s="97">
        <f t="shared" si="180"/>
        <v>0</v>
      </c>
      <c r="K523" s="96">
        <f t="shared" si="180"/>
        <v>0</v>
      </c>
      <c r="L523" s="163">
        <f t="shared" si="180"/>
        <v>51173.75</v>
      </c>
      <c r="M523" s="97">
        <f t="shared" si="180"/>
        <v>0</v>
      </c>
      <c r="N523" s="96">
        <f t="shared" si="180"/>
        <v>0</v>
      </c>
      <c r="O523" s="190">
        <f t="shared" si="180"/>
        <v>51173.75</v>
      </c>
      <c r="P523" s="222">
        <f t="shared" si="180"/>
        <v>0</v>
      </c>
      <c r="Q523" s="190">
        <f t="shared" si="180"/>
        <v>51173.75</v>
      </c>
    </row>
    <row r="524" spans="1:17" ht="12.75">
      <c r="A524" s="33" t="s">
        <v>220</v>
      </c>
      <c r="B524" s="80"/>
      <c r="C524" s="139">
        <v>330000</v>
      </c>
      <c r="D524" s="128">
        <f>-230000-70000+17500-1000</f>
        <v>-283500</v>
      </c>
      <c r="E524" s="96"/>
      <c r="F524" s="190">
        <f t="shared" si="168"/>
        <v>46500</v>
      </c>
      <c r="G524" s="261"/>
      <c r="H524" s="7"/>
      <c r="I524" s="23">
        <f>F524+G524+H524</f>
        <v>46500</v>
      </c>
      <c r="J524" s="22"/>
      <c r="K524" s="7"/>
      <c r="L524" s="23">
        <f>I524+J524+K524</f>
        <v>46500</v>
      </c>
      <c r="M524" s="22"/>
      <c r="N524" s="7"/>
      <c r="O524" s="210">
        <f>L524+M524+N524</f>
        <v>46500</v>
      </c>
      <c r="P524" s="220"/>
      <c r="Q524" s="221">
        <f t="shared" si="171"/>
        <v>46500</v>
      </c>
    </row>
    <row r="525" spans="1:17" ht="12.75">
      <c r="A525" s="36" t="s">
        <v>257</v>
      </c>
      <c r="B525" s="83"/>
      <c r="C525" s="253">
        <v>1</v>
      </c>
      <c r="D525" s="244">
        <f>4645.99+26.76</f>
        <v>4672.75</v>
      </c>
      <c r="E525" s="104"/>
      <c r="F525" s="195">
        <f t="shared" si="168"/>
        <v>4673.75</v>
      </c>
      <c r="G525" s="263"/>
      <c r="H525" s="10"/>
      <c r="I525" s="27">
        <f>F525+G525+H525</f>
        <v>4673.75</v>
      </c>
      <c r="J525" s="26"/>
      <c r="K525" s="10"/>
      <c r="L525" s="27">
        <f>I525+J525+K525</f>
        <v>4673.75</v>
      </c>
      <c r="M525" s="26"/>
      <c r="N525" s="10"/>
      <c r="O525" s="213">
        <f>L525+M525+N525</f>
        <v>4673.75</v>
      </c>
      <c r="P525" s="229"/>
      <c r="Q525" s="230">
        <f t="shared" si="171"/>
        <v>4673.75</v>
      </c>
    </row>
    <row r="526" spans="1:17" ht="13.5" thickBot="1">
      <c r="A526" s="45" t="s">
        <v>119</v>
      </c>
      <c r="B526" s="84"/>
      <c r="C526" s="141">
        <v>10846.36</v>
      </c>
      <c r="D526" s="128">
        <f>54.6</f>
        <v>54.6</v>
      </c>
      <c r="E526" s="99"/>
      <c r="F526" s="191">
        <f t="shared" si="168"/>
        <v>10900.960000000001</v>
      </c>
      <c r="G526" s="262"/>
      <c r="H526" s="8"/>
      <c r="I526" s="164">
        <f>F526+G526+H526</f>
        <v>10900.960000000001</v>
      </c>
      <c r="J526" s="24"/>
      <c r="K526" s="8"/>
      <c r="L526" s="164">
        <f>I526+J526+K526</f>
        <v>10900.960000000001</v>
      </c>
      <c r="M526" s="24"/>
      <c r="N526" s="8"/>
      <c r="O526" s="191">
        <f>L526+M526+N526</f>
        <v>10900.960000000001</v>
      </c>
      <c r="P526" s="232"/>
      <c r="Q526" s="212">
        <f>O526+P526</f>
        <v>10900.960000000001</v>
      </c>
    </row>
    <row r="527" spans="1:17" ht="15.75" thickBot="1">
      <c r="A527" s="46" t="s">
        <v>120</v>
      </c>
      <c r="B527" s="87"/>
      <c r="C527" s="146">
        <f aca="true" t="shared" si="181" ref="C527:Q527">+C80+C97+C106+C117+C135+C147+C175+C220+C240+C269+C290+C373+C410+C431+C438+C470+C474+C526+C446+C311+C262</f>
        <v>5982551.079999999</v>
      </c>
      <c r="D527" s="181">
        <f t="shared" si="181"/>
        <v>15027245.449999996</v>
      </c>
      <c r="E527" s="111">
        <f t="shared" si="181"/>
        <v>0</v>
      </c>
      <c r="F527" s="197">
        <f t="shared" si="181"/>
        <v>21009796.53</v>
      </c>
      <c r="G527" s="233">
        <f t="shared" si="181"/>
        <v>0</v>
      </c>
      <c r="H527" s="111">
        <f t="shared" si="181"/>
        <v>0</v>
      </c>
      <c r="I527" s="171">
        <f t="shared" si="181"/>
        <v>20623091.700000003</v>
      </c>
      <c r="J527" s="170">
        <f t="shared" si="181"/>
        <v>0</v>
      </c>
      <c r="K527" s="111">
        <f t="shared" si="181"/>
        <v>0</v>
      </c>
      <c r="L527" s="171">
        <f t="shared" si="181"/>
        <v>20623091.700000003</v>
      </c>
      <c r="M527" s="170">
        <f t="shared" si="181"/>
        <v>0</v>
      </c>
      <c r="N527" s="111">
        <f t="shared" si="181"/>
        <v>0</v>
      </c>
      <c r="O527" s="197">
        <f t="shared" si="181"/>
        <v>20623091.700000003</v>
      </c>
      <c r="P527" s="233">
        <f t="shared" si="181"/>
        <v>0</v>
      </c>
      <c r="Q527" s="197">
        <f t="shared" si="181"/>
        <v>20623091.700000003</v>
      </c>
    </row>
    <row r="528" spans="1:17" ht="13.5" thickBot="1">
      <c r="A528" s="47" t="s">
        <v>121</v>
      </c>
      <c r="B528" s="87"/>
      <c r="C528" s="147">
        <v>-10846.36</v>
      </c>
      <c r="D528" s="247">
        <f>-54.6</f>
        <v>-54.6</v>
      </c>
      <c r="E528" s="173"/>
      <c r="F528" s="198">
        <f t="shared" si="168"/>
        <v>-10900.960000000001</v>
      </c>
      <c r="G528" s="234"/>
      <c r="H528" s="173"/>
      <c r="I528" s="23">
        <f>F528+G528+H528</f>
        <v>-10900.960000000001</v>
      </c>
      <c r="J528" s="172"/>
      <c r="K528" s="173"/>
      <c r="L528" s="23">
        <f>I528+J528+K528</f>
        <v>-10900.960000000001</v>
      </c>
      <c r="M528" s="172"/>
      <c r="N528" s="173"/>
      <c r="O528" s="210">
        <f>L528+M528+N528</f>
        <v>-10900.960000000001</v>
      </c>
      <c r="P528" s="234"/>
      <c r="Q528" s="221"/>
    </row>
    <row r="529" spans="1:17" ht="16.5" thickBot="1">
      <c r="A529" s="48" t="s">
        <v>122</v>
      </c>
      <c r="B529" s="87"/>
      <c r="C529" s="148">
        <f>C527+C528</f>
        <v>5971704.719999999</v>
      </c>
      <c r="D529" s="182">
        <f aca="true" t="shared" si="182" ref="D529:Q529">D527+D528</f>
        <v>15027190.849999996</v>
      </c>
      <c r="E529" s="175">
        <f t="shared" si="182"/>
        <v>0</v>
      </c>
      <c r="F529" s="199">
        <f t="shared" si="182"/>
        <v>20998895.57</v>
      </c>
      <c r="G529" s="235">
        <f t="shared" si="182"/>
        <v>0</v>
      </c>
      <c r="H529" s="175">
        <f t="shared" si="182"/>
        <v>0</v>
      </c>
      <c r="I529" s="108">
        <f t="shared" si="182"/>
        <v>20612190.740000002</v>
      </c>
      <c r="J529" s="174">
        <f t="shared" si="182"/>
        <v>0</v>
      </c>
      <c r="K529" s="175">
        <f t="shared" si="182"/>
        <v>0</v>
      </c>
      <c r="L529" s="108">
        <f t="shared" si="182"/>
        <v>20612190.740000002</v>
      </c>
      <c r="M529" s="174">
        <f t="shared" si="182"/>
        <v>0</v>
      </c>
      <c r="N529" s="175">
        <f t="shared" si="182"/>
        <v>0</v>
      </c>
      <c r="O529" s="199">
        <f t="shared" si="182"/>
        <v>20612190.740000002</v>
      </c>
      <c r="P529" s="235">
        <f t="shared" si="182"/>
        <v>0</v>
      </c>
      <c r="Q529" s="199">
        <f t="shared" si="182"/>
        <v>20623091.700000003</v>
      </c>
    </row>
    <row r="530" spans="1:17" ht="15.75">
      <c r="A530" s="49" t="s">
        <v>26</v>
      </c>
      <c r="B530" s="88"/>
      <c r="C530" s="149"/>
      <c r="D530" s="183"/>
      <c r="E530" s="112"/>
      <c r="F530" s="200"/>
      <c r="G530" s="236"/>
      <c r="H530" s="112"/>
      <c r="I530" s="109"/>
      <c r="J530" s="176"/>
      <c r="K530" s="112"/>
      <c r="L530" s="109"/>
      <c r="M530" s="176"/>
      <c r="N530" s="112"/>
      <c r="O530" s="200"/>
      <c r="P530" s="236"/>
      <c r="Q530" s="200"/>
    </row>
    <row r="531" spans="1:17" ht="15.75">
      <c r="A531" s="50" t="s">
        <v>208</v>
      </c>
      <c r="B531" s="89"/>
      <c r="C531" s="150">
        <f aca="true" t="shared" si="183" ref="C531:Q531">+C81+C98+C107+C118+C136+C148+C176+C221+C241+C270+C291+C374+C411+C432+C439+C471+C476+C526+C528+C447+C312+C263</f>
        <v>4776778.8</v>
      </c>
      <c r="D531" s="184">
        <f t="shared" si="183"/>
        <v>12396087.07</v>
      </c>
      <c r="E531" s="158">
        <f t="shared" si="183"/>
        <v>0</v>
      </c>
      <c r="F531" s="201">
        <f t="shared" si="183"/>
        <v>17172865.869999997</v>
      </c>
      <c r="G531" s="237">
        <f t="shared" si="183"/>
        <v>0</v>
      </c>
      <c r="H531" s="158">
        <f t="shared" si="183"/>
        <v>0</v>
      </c>
      <c r="I531" s="160">
        <f t="shared" si="183"/>
        <v>16992726.010000005</v>
      </c>
      <c r="J531" s="177">
        <f t="shared" si="183"/>
        <v>0</v>
      </c>
      <c r="K531" s="158">
        <f t="shared" si="183"/>
        <v>0</v>
      </c>
      <c r="L531" s="160">
        <f t="shared" si="183"/>
        <v>16992726.010000005</v>
      </c>
      <c r="M531" s="177">
        <f t="shared" si="183"/>
        <v>0</v>
      </c>
      <c r="N531" s="158">
        <f t="shared" si="183"/>
        <v>0</v>
      </c>
      <c r="O531" s="201">
        <f t="shared" si="183"/>
        <v>16992726.010000005</v>
      </c>
      <c r="P531" s="237">
        <f t="shared" si="183"/>
        <v>0</v>
      </c>
      <c r="Q531" s="201">
        <f t="shared" si="183"/>
        <v>17003626.970000006</v>
      </c>
    </row>
    <row r="532" spans="1:17" ht="16.5" thickBot="1">
      <c r="A532" s="38" t="s">
        <v>209</v>
      </c>
      <c r="B532" s="90"/>
      <c r="C532" s="151">
        <f aca="true" t="shared" si="184" ref="C532:Q532">+C88+C102+C114+C130+C141+C165+C211+C233+C255+C283+C307+C405+C422+C435+C477+C460+C340+C266</f>
        <v>1194925.92</v>
      </c>
      <c r="D532" s="185">
        <f t="shared" si="184"/>
        <v>2631103.7800000003</v>
      </c>
      <c r="E532" s="159">
        <f t="shared" si="184"/>
        <v>0</v>
      </c>
      <c r="F532" s="202">
        <f t="shared" si="184"/>
        <v>3826029.6999999997</v>
      </c>
      <c r="G532" s="238">
        <f t="shared" si="184"/>
        <v>0</v>
      </c>
      <c r="H532" s="159">
        <f t="shared" si="184"/>
        <v>0</v>
      </c>
      <c r="I532" s="161">
        <f t="shared" si="184"/>
        <v>3619464.7299999995</v>
      </c>
      <c r="J532" s="178">
        <f t="shared" si="184"/>
        <v>0</v>
      </c>
      <c r="K532" s="159">
        <f t="shared" si="184"/>
        <v>0</v>
      </c>
      <c r="L532" s="161">
        <f t="shared" si="184"/>
        <v>3619464.7299999995</v>
      </c>
      <c r="M532" s="178">
        <f t="shared" si="184"/>
        <v>0</v>
      </c>
      <c r="N532" s="159">
        <f t="shared" si="184"/>
        <v>0</v>
      </c>
      <c r="O532" s="202">
        <f t="shared" si="184"/>
        <v>3619464.7299999995</v>
      </c>
      <c r="P532" s="238">
        <f t="shared" si="184"/>
        <v>0</v>
      </c>
      <c r="Q532" s="202">
        <f t="shared" si="184"/>
        <v>3619464.7299999995</v>
      </c>
    </row>
    <row r="533" spans="1:17" ht="16.5" thickBot="1">
      <c r="A533" s="50" t="s">
        <v>202</v>
      </c>
      <c r="B533" s="89"/>
      <c r="C533" s="146">
        <f aca="true" t="shared" si="185" ref="C533:Q533">C78-C529</f>
        <v>-219999.99999999907</v>
      </c>
      <c r="D533" s="181">
        <f t="shared" si="185"/>
        <v>-2849586.3399999924</v>
      </c>
      <c r="E533" s="111">
        <f t="shared" si="185"/>
        <v>0</v>
      </c>
      <c r="F533" s="197">
        <f t="shared" si="185"/>
        <v>-3069586.339999996</v>
      </c>
      <c r="G533" s="233">
        <f t="shared" si="185"/>
        <v>0</v>
      </c>
      <c r="H533" s="111">
        <f t="shared" si="185"/>
        <v>0</v>
      </c>
      <c r="I533" s="171">
        <f t="shared" si="185"/>
        <v>-2682891.25</v>
      </c>
      <c r="J533" s="170">
        <f t="shared" si="185"/>
        <v>0</v>
      </c>
      <c r="K533" s="111">
        <f t="shared" si="185"/>
        <v>0</v>
      </c>
      <c r="L533" s="171">
        <f t="shared" si="185"/>
        <v>-2682891.25</v>
      </c>
      <c r="M533" s="170">
        <f t="shared" si="185"/>
        <v>0</v>
      </c>
      <c r="N533" s="111">
        <f t="shared" si="185"/>
        <v>0</v>
      </c>
      <c r="O533" s="197">
        <f t="shared" si="185"/>
        <v>-2709377.969999999</v>
      </c>
      <c r="P533" s="233">
        <f t="shared" si="185"/>
        <v>0</v>
      </c>
      <c r="Q533" s="197">
        <f t="shared" si="185"/>
        <v>-2720278.9299999997</v>
      </c>
    </row>
    <row r="534" spans="1:17" ht="15.75">
      <c r="A534" s="49" t="s">
        <v>210</v>
      </c>
      <c r="B534" s="88"/>
      <c r="C534" s="152">
        <f>SUM(C536:C539)</f>
        <v>220000</v>
      </c>
      <c r="D534" s="133">
        <f aca="true" t="shared" si="186" ref="D534:Q534">SUM(D536:D539)</f>
        <v>2849586.3400000003</v>
      </c>
      <c r="E534" s="113">
        <f t="shared" si="186"/>
        <v>0</v>
      </c>
      <c r="F534" s="203">
        <f t="shared" si="186"/>
        <v>3069586.3400000003</v>
      </c>
      <c r="G534" s="239">
        <f t="shared" si="186"/>
        <v>0</v>
      </c>
      <c r="H534" s="113">
        <f t="shared" si="186"/>
        <v>0</v>
      </c>
      <c r="I534" s="179">
        <f t="shared" si="186"/>
        <v>3069586.3400000003</v>
      </c>
      <c r="J534" s="118">
        <f t="shared" si="186"/>
        <v>0</v>
      </c>
      <c r="K534" s="113">
        <f t="shared" si="186"/>
        <v>0</v>
      </c>
      <c r="L534" s="179">
        <f t="shared" si="186"/>
        <v>3069586.3400000003</v>
      </c>
      <c r="M534" s="118">
        <f t="shared" si="186"/>
        <v>0</v>
      </c>
      <c r="N534" s="113">
        <f t="shared" si="186"/>
        <v>0</v>
      </c>
      <c r="O534" s="203">
        <f t="shared" si="186"/>
        <v>3069586.3400000003</v>
      </c>
      <c r="P534" s="239">
        <f t="shared" si="186"/>
        <v>0</v>
      </c>
      <c r="Q534" s="203">
        <f t="shared" si="186"/>
        <v>3069586.3400000003</v>
      </c>
    </row>
    <row r="535" spans="1:17" ht="12.75" customHeight="1">
      <c r="A535" s="51" t="s">
        <v>26</v>
      </c>
      <c r="B535" s="91"/>
      <c r="C535" s="255"/>
      <c r="D535" s="248"/>
      <c r="E535" s="114"/>
      <c r="F535" s="204"/>
      <c r="G535" s="265"/>
      <c r="H535" s="12"/>
      <c r="I535" s="59"/>
      <c r="J535" s="15"/>
      <c r="K535" s="12"/>
      <c r="L535" s="59"/>
      <c r="M535" s="15"/>
      <c r="N535" s="12"/>
      <c r="O535" s="214"/>
      <c r="P535" s="220"/>
      <c r="Q535" s="221"/>
    </row>
    <row r="536" spans="1:17" ht="14.25">
      <c r="A536" s="51" t="s">
        <v>123</v>
      </c>
      <c r="B536" s="91"/>
      <c r="C536" s="256">
        <v>400000</v>
      </c>
      <c r="D536" s="249"/>
      <c r="E536" s="125"/>
      <c r="F536" s="205">
        <f>SUM(C536:E536)</f>
        <v>400000</v>
      </c>
      <c r="G536" s="266"/>
      <c r="H536" s="13"/>
      <c r="I536" s="59">
        <f>SUM(F536:H536)</f>
        <v>400000</v>
      </c>
      <c r="J536" s="16"/>
      <c r="K536" s="13"/>
      <c r="L536" s="59">
        <f>SUM(I536:K536)</f>
        <v>400000</v>
      </c>
      <c r="M536" s="16"/>
      <c r="N536" s="13"/>
      <c r="O536" s="214">
        <f>SUM(L536:N536)</f>
        <v>400000</v>
      </c>
      <c r="P536" s="220"/>
      <c r="Q536" s="221">
        <f t="shared" si="171"/>
        <v>400000</v>
      </c>
    </row>
    <row r="537" spans="1:17" ht="14.25">
      <c r="A537" s="52" t="s">
        <v>130</v>
      </c>
      <c r="B537" s="91"/>
      <c r="C537" s="256">
        <v>-180000</v>
      </c>
      <c r="D537" s="249"/>
      <c r="E537" s="125"/>
      <c r="F537" s="205">
        <f>SUM(C537:E537)</f>
        <v>-180000</v>
      </c>
      <c r="G537" s="266"/>
      <c r="H537" s="13"/>
      <c r="I537" s="59">
        <f>SUM(F537:H537)</f>
        <v>-180000</v>
      </c>
      <c r="J537" s="16"/>
      <c r="K537" s="13"/>
      <c r="L537" s="59">
        <f>SUM(I537:K537)</f>
        <v>-180000</v>
      </c>
      <c r="M537" s="16"/>
      <c r="N537" s="13"/>
      <c r="O537" s="214">
        <f>SUM(L537:N537)</f>
        <v>-180000</v>
      </c>
      <c r="P537" s="220"/>
      <c r="Q537" s="221">
        <f t="shared" si="171"/>
        <v>-180000</v>
      </c>
    </row>
    <row r="538" spans="1:17" ht="15" thickBot="1">
      <c r="A538" s="64" t="s">
        <v>124</v>
      </c>
      <c r="B538" s="92"/>
      <c r="C538" s="257"/>
      <c r="D538" s="153">
        <f>91326.3+9970+336371.11+1000+13200+340906.09+739837.14+27800.56+7633+10000+500+32215.72+26800+1123+69447.46+1230.07+11929.94+7126.31+12225.29+5820.76+77538.41+3604.16+2391.29+19020.5+75653.4+1044.1+25775.83+2458.05+34500+4309.47+6646+3300+4084.75+3850+8540.5+23530.38+1815.87+22172.75+782888.13</f>
        <v>2849586.3400000003</v>
      </c>
      <c r="E538" s="126"/>
      <c r="F538" s="206">
        <f>SUM(C538:E538)</f>
        <v>2849586.3400000003</v>
      </c>
      <c r="G538" s="267"/>
      <c r="H538" s="14"/>
      <c r="I538" s="61">
        <f>SUM(F538:H538)</f>
        <v>2849586.3400000003</v>
      </c>
      <c r="J538" s="63"/>
      <c r="K538" s="14"/>
      <c r="L538" s="61">
        <f>SUM(I538:K538)</f>
        <v>2849586.3400000003</v>
      </c>
      <c r="M538" s="63"/>
      <c r="N538" s="14"/>
      <c r="O538" s="215">
        <f>SUM(L538:N538)</f>
        <v>2849586.3400000003</v>
      </c>
      <c r="P538" s="240"/>
      <c r="Q538" s="241">
        <f t="shared" si="171"/>
        <v>2849586.3400000003</v>
      </c>
    </row>
    <row r="539" spans="1:17" ht="15" hidden="1" thickBot="1">
      <c r="A539" s="64" t="s">
        <v>142</v>
      </c>
      <c r="B539" s="92"/>
      <c r="C539" s="258"/>
      <c r="D539" s="153" t="s">
        <v>186</v>
      </c>
      <c r="E539" s="126"/>
      <c r="F539" s="206">
        <f>SUM(C539:E539)</f>
        <v>0</v>
      </c>
      <c r="G539" s="267"/>
      <c r="H539" s="14"/>
      <c r="I539" s="61">
        <f>SUM(F539:H539)</f>
        <v>0</v>
      </c>
      <c r="J539" s="63">
        <v>0</v>
      </c>
      <c r="K539" s="14">
        <v>0</v>
      </c>
      <c r="L539" s="61">
        <f>SUM(I539:K539)</f>
        <v>0</v>
      </c>
      <c r="M539" s="63"/>
      <c r="N539" s="14"/>
      <c r="O539" s="215">
        <f>SUM(L539:N539)</f>
        <v>0</v>
      </c>
      <c r="P539" s="240"/>
      <c r="Q539" s="241">
        <f t="shared" si="171"/>
        <v>0</v>
      </c>
    </row>
    <row r="540" spans="2:17" ht="12.75" hidden="1">
      <c r="B540" s="93"/>
      <c r="C540" s="110">
        <f aca="true" t="shared" si="187" ref="C540:Q540">C78+C534-C529</f>
        <v>0</v>
      </c>
      <c r="D540" s="110">
        <f t="shared" si="187"/>
        <v>0</v>
      </c>
      <c r="E540" s="110">
        <f t="shared" si="187"/>
        <v>0</v>
      </c>
      <c r="F540" s="110">
        <f t="shared" si="187"/>
        <v>0</v>
      </c>
      <c r="G540" s="62">
        <f t="shared" si="187"/>
        <v>0</v>
      </c>
      <c r="H540" s="62">
        <f t="shared" si="187"/>
        <v>0</v>
      </c>
      <c r="I540" s="62">
        <f t="shared" si="187"/>
        <v>386695.08999999985</v>
      </c>
      <c r="J540" s="62">
        <f t="shared" si="187"/>
        <v>0</v>
      </c>
      <c r="K540" s="62">
        <f t="shared" si="187"/>
        <v>0</v>
      </c>
      <c r="L540" s="62">
        <f t="shared" si="187"/>
        <v>386695.08999999985</v>
      </c>
      <c r="M540" s="62">
        <f t="shared" si="187"/>
        <v>0</v>
      </c>
      <c r="N540" s="62">
        <f t="shared" si="187"/>
        <v>0</v>
      </c>
      <c r="O540" s="62">
        <f t="shared" si="187"/>
        <v>360208.37000000104</v>
      </c>
      <c r="P540" s="62">
        <f t="shared" si="187"/>
        <v>0</v>
      </c>
      <c r="Q540" s="62">
        <f t="shared" si="187"/>
        <v>349307.41000000015</v>
      </c>
    </row>
    <row r="541" spans="2:16" ht="12.75">
      <c r="B541" s="93"/>
      <c r="P541" s="62"/>
    </row>
    <row r="542" spans="2:16" ht="12.75">
      <c r="B542" s="93"/>
      <c r="D542" s="120"/>
      <c r="P542" s="62"/>
    </row>
    <row r="543" spans="2:16" ht="12.75">
      <c r="B543" s="93"/>
      <c r="P543" s="62"/>
    </row>
    <row r="544" spans="2:16" ht="12.75">
      <c r="B544" s="93"/>
      <c r="P544" s="62"/>
    </row>
    <row r="545" spans="2:16" ht="12.75">
      <c r="B545" s="93"/>
      <c r="P545" s="62"/>
    </row>
    <row r="546" spans="2:16" ht="12.75">
      <c r="B546" s="93"/>
      <c r="P546" s="62"/>
    </row>
    <row r="547" spans="2:16" ht="12.75">
      <c r="B547" s="93"/>
      <c r="P547" s="62"/>
    </row>
    <row r="548" spans="2:16" ht="12.75">
      <c r="B548" s="93"/>
      <c r="P548" s="62"/>
    </row>
    <row r="549" spans="2:16" ht="12.75">
      <c r="B549" s="93"/>
      <c r="P549" s="62"/>
    </row>
    <row r="550" spans="2:16" ht="12.75">
      <c r="B550" s="93"/>
      <c r="P550" s="62"/>
    </row>
    <row r="551" spans="2:16" ht="12.75">
      <c r="B551" s="93"/>
      <c r="P551" s="62"/>
    </row>
    <row r="552" spans="2:16" ht="12.75">
      <c r="B552" s="93"/>
      <c r="P552" s="62"/>
    </row>
    <row r="553" spans="2:16" ht="12.75">
      <c r="B553" s="93"/>
      <c r="P553" s="62"/>
    </row>
    <row r="554" spans="2:16" ht="12.75">
      <c r="B554" s="93"/>
      <c r="P554" s="62"/>
    </row>
    <row r="555" spans="2:16" ht="12.75">
      <c r="B555" s="93"/>
      <c r="P555" s="62"/>
    </row>
    <row r="556" spans="2:16" ht="12.75">
      <c r="B556" s="93"/>
      <c r="P556" s="62"/>
    </row>
    <row r="557" spans="2:16" ht="12.75">
      <c r="B557" s="93"/>
      <c r="P557" s="62"/>
    </row>
    <row r="558" spans="2:16" ht="12.75">
      <c r="B558" s="93"/>
      <c r="P558" s="62"/>
    </row>
    <row r="559" spans="2:16" ht="12.75">
      <c r="B559" s="93"/>
      <c r="P559" s="62"/>
    </row>
    <row r="560" ht="12.75">
      <c r="P560" s="62"/>
    </row>
    <row r="561" ht="12.75">
      <c r="P561" s="62"/>
    </row>
    <row r="562" ht="12.75">
      <c r="P562" s="62"/>
    </row>
    <row r="563" ht="12.75">
      <c r="P563" s="62"/>
    </row>
    <row r="564" ht="12.75">
      <c r="P564" s="62"/>
    </row>
    <row r="565" ht="12.75">
      <c r="P565" s="62"/>
    </row>
    <row r="566" ht="12.75">
      <c r="P566" s="62"/>
    </row>
    <row r="567" ht="12.75">
      <c r="P567" s="62"/>
    </row>
    <row r="568" ht="12.75">
      <c r="P568" s="62"/>
    </row>
    <row r="569" ht="12.75">
      <c r="P569" s="62"/>
    </row>
    <row r="570" ht="12.75">
      <c r="P570" s="62"/>
    </row>
    <row r="571" ht="12.75">
      <c r="P571" s="62"/>
    </row>
    <row r="572" ht="12.75">
      <c r="P572" s="62"/>
    </row>
  </sheetData>
  <sheetProtection/>
  <mergeCells count="5">
    <mergeCell ref="A8:A9"/>
    <mergeCell ref="A3:Q3"/>
    <mergeCell ref="A4:Q4"/>
    <mergeCell ref="A5:Q5"/>
    <mergeCell ref="A6:Q6"/>
  </mergeCells>
  <printOptions horizontalCentered="1"/>
  <pageMargins left="0.3937007874015748" right="0.3937007874015748" top="0.9055118110236221" bottom="0.5905511811023623" header="0.5118110236220472" footer="0.3937007874015748"/>
  <pageSetup horizontalDpi="600" verticalDpi="600" orientation="portrait" paperSize="9" scale="93" r:id="rId1"/>
  <headerFooter alignWithMargins="0">
    <oddFooter>&amp;CStránka &amp;P</oddFooter>
  </headerFooter>
  <rowBreaks count="6" manualBreakCount="6">
    <brk id="90" max="5" man="1"/>
    <brk id="200" max="5" man="1"/>
    <brk id="286" max="5" man="1"/>
    <brk id="376" max="5" man="1"/>
    <brk id="473" max="5" man="1"/>
    <brk id="5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72"/>
  <sheetViews>
    <sheetView tabSelected="1" zoomScale="110" zoomScaleNormal="110" zoomScaleSheetLayoutView="69" zoomScalePageLayoutView="0" workbookViewId="0" topLeftCell="A1">
      <pane xSplit="1" ySplit="9" topLeftCell="C52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Z131" sqref="Z131"/>
    </sheetView>
  </sheetViews>
  <sheetFormatPr defaultColWidth="9.00390625" defaultRowHeight="12.75"/>
  <cols>
    <col min="1" max="1" width="53.625" style="0" customWidth="1"/>
    <col min="2" max="2" width="8.625" style="0" hidden="1" customWidth="1"/>
    <col min="3" max="3" width="15.25390625" style="0" customWidth="1"/>
    <col min="4" max="4" width="16.75390625" style="0" customWidth="1"/>
    <col min="5" max="5" width="12.875" style="0" customWidth="1"/>
    <col min="6" max="6" width="17.75390625" style="0" customWidth="1"/>
    <col min="7" max="7" width="12.625" style="0" hidden="1" customWidth="1"/>
    <col min="8" max="8" width="12.75390625" style="0" hidden="1" customWidth="1"/>
    <col min="9" max="9" width="14.125" style="0" hidden="1" customWidth="1"/>
    <col min="10" max="11" width="13.75390625" style="0" hidden="1" customWidth="1"/>
    <col min="12" max="12" width="14.25390625" style="0" hidden="1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15.125" style="0" hidden="1" customWidth="1"/>
  </cols>
  <sheetData>
    <row r="1" spans="3:17" ht="12.75">
      <c r="C1" s="1"/>
      <c r="D1" s="1"/>
      <c r="E1" s="1"/>
      <c r="F1" s="2" t="s">
        <v>127</v>
      </c>
      <c r="I1" s="2"/>
      <c r="L1" s="2"/>
      <c r="O1" s="2"/>
      <c r="Q1" s="2" t="s">
        <v>127</v>
      </c>
    </row>
    <row r="2" spans="3:6" ht="9.75" customHeight="1">
      <c r="C2" s="1"/>
      <c r="D2" s="1"/>
      <c r="E2" s="1"/>
      <c r="F2" s="2"/>
    </row>
    <row r="3" spans="1:17" ht="15.75">
      <c r="A3" s="284" t="s">
        <v>227</v>
      </c>
      <c r="B3" s="284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</row>
    <row r="4" spans="1:17" ht="15.75">
      <c r="A4" s="286" t="s">
        <v>312</v>
      </c>
      <c r="B4" s="286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</row>
    <row r="5" spans="1:17" ht="15">
      <c r="A5" s="287" t="s">
        <v>0</v>
      </c>
      <c r="B5" s="287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</row>
    <row r="6" spans="1:17" ht="12.75">
      <c r="A6" s="288" t="s">
        <v>1</v>
      </c>
      <c r="B6" s="288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</row>
    <row r="7" spans="1:13" ht="18" customHeight="1" thickBot="1">
      <c r="A7" s="3"/>
      <c r="B7" s="3"/>
      <c r="C7" s="157"/>
      <c r="D7" s="119"/>
      <c r="E7" s="4"/>
      <c r="F7" s="4"/>
      <c r="J7" s="66"/>
      <c r="M7" s="60"/>
    </row>
    <row r="8" spans="1:17" ht="12.75">
      <c r="A8" s="282" t="s">
        <v>2</v>
      </c>
      <c r="B8" s="70" t="s">
        <v>214</v>
      </c>
      <c r="C8" s="250" t="s">
        <v>3</v>
      </c>
      <c r="D8" s="207" t="s">
        <v>4</v>
      </c>
      <c r="E8" s="18" t="s">
        <v>5</v>
      </c>
      <c r="F8" s="186" t="s">
        <v>6</v>
      </c>
      <c r="G8" s="216" t="s">
        <v>7</v>
      </c>
      <c r="H8" s="18" t="s">
        <v>5</v>
      </c>
      <c r="I8" s="19" t="s">
        <v>6</v>
      </c>
      <c r="J8" s="17" t="s">
        <v>8</v>
      </c>
      <c r="K8" s="18" t="s">
        <v>5</v>
      </c>
      <c r="L8" s="19" t="s">
        <v>6</v>
      </c>
      <c r="M8" s="17" t="s">
        <v>9</v>
      </c>
      <c r="N8" s="18" t="s">
        <v>5</v>
      </c>
      <c r="O8" s="186" t="s">
        <v>6</v>
      </c>
      <c r="P8" s="216" t="s">
        <v>151</v>
      </c>
      <c r="Q8" s="186" t="s">
        <v>6</v>
      </c>
    </row>
    <row r="9" spans="1:17" ht="13.5" thickBot="1">
      <c r="A9" s="283"/>
      <c r="B9" s="123" t="s">
        <v>165</v>
      </c>
      <c r="C9" s="251" t="s">
        <v>10</v>
      </c>
      <c r="D9" s="208" t="s">
        <v>11</v>
      </c>
      <c r="E9" s="57" t="s">
        <v>12</v>
      </c>
      <c r="F9" s="187" t="s">
        <v>13</v>
      </c>
      <c r="G9" s="217" t="s">
        <v>11</v>
      </c>
      <c r="H9" s="57" t="s">
        <v>12</v>
      </c>
      <c r="I9" s="58" t="s">
        <v>14</v>
      </c>
      <c r="J9" s="56" t="s">
        <v>11</v>
      </c>
      <c r="K9" s="57" t="s">
        <v>12</v>
      </c>
      <c r="L9" s="58" t="s">
        <v>15</v>
      </c>
      <c r="M9" s="56" t="s">
        <v>11</v>
      </c>
      <c r="N9" s="57" t="s">
        <v>12</v>
      </c>
      <c r="O9" s="187" t="s">
        <v>16</v>
      </c>
      <c r="P9" s="217" t="s">
        <v>11</v>
      </c>
      <c r="Q9" s="187" t="s">
        <v>152</v>
      </c>
    </row>
    <row r="10" spans="1:17" ht="15.75" customHeight="1">
      <c r="A10" s="54" t="s">
        <v>17</v>
      </c>
      <c r="B10" s="71"/>
      <c r="C10" s="252"/>
      <c r="D10" s="242"/>
      <c r="E10" s="5"/>
      <c r="F10" s="188"/>
      <c r="G10" s="259"/>
      <c r="H10" s="5"/>
      <c r="I10" s="55"/>
      <c r="J10" s="28"/>
      <c r="K10" s="5"/>
      <c r="L10" s="55"/>
      <c r="M10" s="28"/>
      <c r="N10" s="5"/>
      <c r="O10" s="188"/>
      <c r="P10" s="218"/>
      <c r="Q10" s="211"/>
    </row>
    <row r="11" spans="1:17" ht="12.75">
      <c r="A11" s="30" t="s">
        <v>204</v>
      </c>
      <c r="B11" s="72"/>
      <c r="C11" s="138">
        <f>C13+C14+C15+C16</f>
        <v>5350000</v>
      </c>
      <c r="D11" s="117">
        <f>D13+D14+D15+D16</f>
        <v>45003.16</v>
      </c>
      <c r="E11" s="95">
        <f>E13+E14+E15</f>
        <v>0</v>
      </c>
      <c r="F11" s="189">
        <f>F13+F14+F15+F16</f>
        <v>5395003.16</v>
      </c>
      <c r="G11" s="219">
        <f aca="true" t="shared" si="0" ref="G11:Q11">G13+G14+G15+G16</f>
        <v>0</v>
      </c>
      <c r="H11" s="95">
        <f t="shared" si="0"/>
        <v>0</v>
      </c>
      <c r="I11" s="162">
        <f t="shared" si="0"/>
        <v>5395003.16</v>
      </c>
      <c r="J11" s="94">
        <f t="shared" si="0"/>
        <v>0</v>
      </c>
      <c r="K11" s="95">
        <f t="shared" si="0"/>
        <v>0</v>
      </c>
      <c r="L11" s="162">
        <f t="shared" si="0"/>
        <v>5395003.16</v>
      </c>
      <c r="M11" s="94">
        <f t="shared" si="0"/>
        <v>0</v>
      </c>
      <c r="N11" s="95">
        <f t="shared" si="0"/>
        <v>0</v>
      </c>
      <c r="O11" s="189">
        <f t="shared" si="0"/>
        <v>5395003.16</v>
      </c>
      <c r="P11" s="219">
        <f t="shared" si="0"/>
        <v>0</v>
      </c>
      <c r="Q11" s="189">
        <f t="shared" si="0"/>
        <v>5395003.16</v>
      </c>
    </row>
    <row r="12" spans="1:17" ht="12.75">
      <c r="A12" s="31" t="s">
        <v>18</v>
      </c>
      <c r="B12" s="73"/>
      <c r="C12" s="138"/>
      <c r="D12" s="117"/>
      <c r="E12" s="95"/>
      <c r="F12" s="189"/>
      <c r="G12" s="260"/>
      <c r="H12" s="6"/>
      <c r="I12" s="21"/>
      <c r="J12" s="20"/>
      <c r="K12" s="6"/>
      <c r="L12" s="21"/>
      <c r="M12" s="20"/>
      <c r="N12" s="6"/>
      <c r="O12" s="209"/>
      <c r="P12" s="220"/>
      <c r="Q12" s="221"/>
    </row>
    <row r="13" spans="1:17" ht="12.75">
      <c r="A13" s="81" t="s">
        <v>211</v>
      </c>
      <c r="B13" s="73"/>
      <c r="C13" s="139">
        <v>5316580</v>
      </c>
      <c r="D13" s="128"/>
      <c r="E13" s="95"/>
      <c r="F13" s="190">
        <f>C13+D13+E13</f>
        <v>5316580</v>
      </c>
      <c r="G13" s="260"/>
      <c r="H13" s="6"/>
      <c r="I13" s="23">
        <f>F13+G13+H13</f>
        <v>5316580</v>
      </c>
      <c r="J13" s="20"/>
      <c r="K13" s="6"/>
      <c r="L13" s="23">
        <f>I13+J13+K13</f>
        <v>5316580</v>
      </c>
      <c r="M13" s="20"/>
      <c r="N13" s="6"/>
      <c r="O13" s="210">
        <f>L13+M13+N13</f>
        <v>5316580</v>
      </c>
      <c r="P13" s="220"/>
      <c r="Q13" s="221">
        <f aca="true" t="shared" si="1" ref="Q13:Q77">O13+P13</f>
        <v>5316580</v>
      </c>
    </row>
    <row r="14" spans="1:17" ht="12.75">
      <c r="A14" s="32" t="s">
        <v>19</v>
      </c>
      <c r="B14" s="74"/>
      <c r="C14" s="139"/>
      <c r="D14" s="180">
        <f>45003.16</f>
        <v>45003.16</v>
      </c>
      <c r="E14" s="96"/>
      <c r="F14" s="190">
        <f>C14+D14+E14</f>
        <v>45003.16</v>
      </c>
      <c r="G14" s="261"/>
      <c r="H14" s="6"/>
      <c r="I14" s="23">
        <f>F14+G14+H14</f>
        <v>45003.16</v>
      </c>
      <c r="J14" s="22"/>
      <c r="K14" s="6"/>
      <c r="L14" s="23">
        <f>I14+J14+K14</f>
        <v>45003.16</v>
      </c>
      <c r="M14" s="22"/>
      <c r="N14" s="6"/>
      <c r="O14" s="210">
        <f>L14+M14+N14</f>
        <v>45003.16</v>
      </c>
      <c r="P14" s="220"/>
      <c r="Q14" s="221">
        <f t="shared" si="1"/>
        <v>45003.16</v>
      </c>
    </row>
    <row r="15" spans="1:17" ht="12.75">
      <c r="A15" s="81" t="s">
        <v>212</v>
      </c>
      <c r="B15" s="74"/>
      <c r="C15" s="139">
        <v>3420</v>
      </c>
      <c r="D15" s="180"/>
      <c r="E15" s="96"/>
      <c r="F15" s="190">
        <f>C15+D15+E15</f>
        <v>3420</v>
      </c>
      <c r="G15" s="261"/>
      <c r="H15" s="6"/>
      <c r="I15" s="23">
        <f>F15+G15+H15</f>
        <v>3420</v>
      </c>
      <c r="J15" s="22"/>
      <c r="K15" s="6"/>
      <c r="L15" s="23">
        <f>I15+J15+K15</f>
        <v>3420</v>
      </c>
      <c r="M15" s="22"/>
      <c r="N15" s="6"/>
      <c r="O15" s="210">
        <f>L15+M15+N15</f>
        <v>3420</v>
      </c>
      <c r="P15" s="220"/>
      <c r="Q15" s="221">
        <f t="shared" si="1"/>
        <v>3420</v>
      </c>
    </row>
    <row r="16" spans="1:17" ht="12.75">
      <c r="A16" s="81" t="s">
        <v>266</v>
      </c>
      <c r="B16" s="74"/>
      <c r="C16" s="139">
        <v>30000</v>
      </c>
      <c r="D16" s="180"/>
      <c r="E16" s="96"/>
      <c r="F16" s="190">
        <f>C16+D16+E16</f>
        <v>30000</v>
      </c>
      <c r="G16" s="261"/>
      <c r="H16" s="6"/>
      <c r="I16" s="23">
        <f>F16+G16+H16</f>
        <v>30000</v>
      </c>
      <c r="J16" s="22"/>
      <c r="K16" s="6"/>
      <c r="L16" s="23">
        <f>I16+J16+K16</f>
        <v>30000</v>
      </c>
      <c r="M16" s="22"/>
      <c r="N16" s="6"/>
      <c r="O16" s="210">
        <f>L16+M16+N16</f>
        <v>30000</v>
      </c>
      <c r="P16" s="220"/>
      <c r="Q16" s="221">
        <f t="shared" si="1"/>
        <v>30000</v>
      </c>
    </row>
    <row r="17" spans="1:17" ht="12.75">
      <c r="A17" s="30" t="s">
        <v>205</v>
      </c>
      <c r="B17" s="72"/>
      <c r="C17" s="138">
        <f aca="true" t="shared" si="2" ref="C17:Q17">SUM(C19:C23)+C30</f>
        <v>266948.12</v>
      </c>
      <c r="D17" s="117">
        <f t="shared" si="2"/>
        <v>31733.940000000002</v>
      </c>
      <c r="E17" s="95">
        <f t="shared" si="2"/>
        <v>0</v>
      </c>
      <c r="F17" s="189">
        <f t="shared" si="2"/>
        <v>298682.05999999994</v>
      </c>
      <c r="G17" s="219">
        <f t="shared" si="2"/>
        <v>0</v>
      </c>
      <c r="H17" s="95">
        <f t="shared" si="2"/>
        <v>0</v>
      </c>
      <c r="I17" s="162">
        <f t="shared" si="2"/>
        <v>298682.05999999994</v>
      </c>
      <c r="J17" s="94">
        <f t="shared" si="2"/>
        <v>0</v>
      </c>
      <c r="K17" s="95">
        <f t="shared" si="2"/>
        <v>0</v>
      </c>
      <c r="L17" s="162">
        <f t="shared" si="2"/>
        <v>298682.05999999994</v>
      </c>
      <c r="M17" s="94">
        <f t="shared" si="2"/>
        <v>0</v>
      </c>
      <c r="N17" s="95">
        <f t="shared" si="2"/>
        <v>0</v>
      </c>
      <c r="O17" s="189">
        <f t="shared" si="2"/>
        <v>272195.33999999997</v>
      </c>
      <c r="P17" s="219">
        <f t="shared" si="2"/>
        <v>0</v>
      </c>
      <c r="Q17" s="189">
        <f t="shared" si="2"/>
        <v>272195.33999999997</v>
      </c>
    </row>
    <row r="18" spans="1:17" ht="10.5" customHeight="1">
      <c r="A18" s="31" t="s">
        <v>20</v>
      </c>
      <c r="B18" s="73"/>
      <c r="C18" s="138"/>
      <c r="D18" s="117"/>
      <c r="E18" s="95"/>
      <c r="F18" s="189"/>
      <c r="G18" s="260"/>
      <c r="H18" s="6"/>
      <c r="I18" s="21"/>
      <c r="J18" s="20"/>
      <c r="K18" s="6"/>
      <c r="L18" s="21"/>
      <c r="M18" s="20"/>
      <c r="N18" s="6"/>
      <c r="O18" s="209"/>
      <c r="P18" s="220"/>
      <c r="Q18" s="221"/>
    </row>
    <row r="19" spans="1:17" ht="12.75">
      <c r="A19" s="32" t="s">
        <v>21</v>
      </c>
      <c r="B19" s="74"/>
      <c r="C19" s="139">
        <v>10000</v>
      </c>
      <c r="D19" s="128"/>
      <c r="E19" s="96"/>
      <c r="F19" s="190">
        <f>C19+D19+E19</f>
        <v>10000</v>
      </c>
      <c r="G19" s="261"/>
      <c r="H19" s="7"/>
      <c r="I19" s="23">
        <f>F19+G19+H19</f>
        <v>10000</v>
      </c>
      <c r="J19" s="22"/>
      <c r="K19" s="7"/>
      <c r="L19" s="23">
        <f>I19+J19+K19</f>
        <v>10000</v>
      </c>
      <c r="M19" s="22"/>
      <c r="N19" s="7"/>
      <c r="O19" s="210">
        <f>L19+M19+N19</f>
        <v>10000</v>
      </c>
      <c r="P19" s="220"/>
      <c r="Q19" s="221">
        <f t="shared" si="1"/>
        <v>10000</v>
      </c>
    </row>
    <row r="20" spans="1:17" ht="12.75">
      <c r="A20" s="81" t="s">
        <v>241</v>
      </c>
      <c r="B20" s="74"/>
      <c r="C20" s="139"/>
      <c r="D20" s="128">
        <f>3000</f>
        <v>3000</v>
      </c>
      <c r="E20" s="96"/>
      <c r="F20" s="190">
        <f aca="true" t="shared" si="3" ref="F20:F30">C20+D20+E20</f>
        <v>3000</v>
      </c>
      <c r="G20" s="261"/>
      <c r="H20" s="7"/>
      <c r="I20" s="23">
        <f>F20+G20+H20</f>
        <v>3000</v>
      </c>
      <c r="J20" s="22"/>
      <c r="K20" s="7"/>
      <c r="L20" s="23">
        <f>I20+J20+K20</f>
        <v>3000</v>
      </c>
      <c r="M20" s="22"/>
      <c r="N20" s="7"/>
      <c r="O20" s="210">
        <f>L20+M20+N20</f>
        <v>3000</v>
      </c>
      <c r="P20" s="220"/>
      <c r="Q20" s="221">
        <f t="shared" si="1"/>
        <v>3000</v>
      </c>
    </row>
    <row r="21" spans="1:17" ht="12.75">
      <c r="A21" s="33" t="s">
        <v>242</v>
      </c>
      <c r="B21" s="75"/>
      <c r="C21" s="139">
        <v>130895.91</v>
      </c>
      <c r="D21" s="128">
        <f>534.21</f>
        <v>534.21</v>
      </c>
      <c r="E21" s="96"/>
      <c r="F21" s="190">
        <f t="shared" si="3"/>
        <v>131430.12</v>
      </c>
      <c r="G21" s="261"/>
      <c r="H21" s="7"/>
      <c r="I21" s="23">
        <f>F21+G21+H21</f>
        <v>131430.12</v>
      </c>
      <c r="J21" s="22"/>
      <c r="K21" s="7"/>
      <c r="L21" s="23">
        <f>I21+J21+K21</f>
        <v>131430.12</v>
      </c>
      <c r="M21" s="22"/>
      <c r="N21" s="7"/>
      <c r="O21" s="210">
        <f>L21+M21+N21</f>
        <v>131430.12</v>
      </c>
      <c r="P21" s="220"/>
      <c r="Q21" s="221">
        <f t="shared" si="1"/>
        <v>131430.12</v>
      </c>
    </row>
    <row r="22" spans="1:17" ht="12.75" hidden="1">
      <c r="A22" s="33" t="s">
        <v>243</v>
      </c>
      <c r="B22" s="75"/>
      <c r="C22" s="139"/>
      <c r="D22" s="128"/>
      <c r="E22" s="96"/>
      <c r="F22" s="190">
        <f t="shared" si="3"/>
        <v>0</v>
      </c>
      <c r="G22" s="261"/>
      <c r="H22" s="7"/>
      <c r="I22" s="23">
        <f>F22+G22+H22</f>
        <v>0</v>
      </c>
      <c r="J22" s="22"/>
      <c r="K22" s="7"/>
      <c r="L22" s="23">
        <f>I22+J22+K22</f>
        <v>0</v>
      </c>
      <c r="M22" s="22"/>
      <c r="N22" s="7"/>
      <c r="O22" s="210">
        <f>L22+M22+N22</f>
        <v>0</v>
      </c>
      <c r="P22" s="220"/>
      <c r="Q22" s="221">
        <f t="shared" si="1"/>
        <v>0</v>
      </c>
    </row>
    <row r="23" spans="1:17" ht="12.75">
      <c r="A23" s="32" t="s">
        <v>22</v>
      </c>
      <c r="B23" s="74"/>
      <c r="C23" s="139">
        <f>SUM(C24:C29)</f>
        <v>126052.21</v>
      </c>
      <c r="D23" s="128">
        <f>SUM(D24:D29)</f>
        <v>1713.01</v>
      </c>
      <c r="E23" s="96">
        <f aca="true" t="shared" si="4" ref="E23:Q23">SUM(E24:E29)</f>
        <v>0</v>
      </c>
      <c r="F23" s="190">
        <f t="shared" si="4"/>
        <v>127765.22</v>
      </c>
      <c r="G23" s="222">
        <f t="shared" si="4"/>
        <v>0</v>
      </c>
      <c r="H23" s="96">
        <f t="shared" si="4"/>
        <v>0</v>
      </c>
      <c r="I23" s="163">
        <f t="shared" si="4"/>
        <v>127765.22</v>
      </c>
      <c r="J23" s="97">
        <f t="shared" si="4"/>
        <v>0</v>
      </c>
      <c r="K23" s="96">
        <f t="shared" si="4"/>
        <v>0</v>
      </c>
      <c r="L23" s="163">
        <f t="shared" si="4"/>
        <v>127765.22</v>
      </c>
      <c r="M23" s="97">
        <f t="shared" si="4"/>
        <v>0</v>
      </c>
      <c r="N23" s="96">
        <f t="shared" si="4"/>
        <v>0</v>
      </c>
      <c r="O23" s="190">
        <f t="shared" si="4"/>
        <v>127765.22</v>
      </c>
      <c r="P23" s="222">
        <f t="shared" si="4"/>
        <v>0</v>
      </c>
      <c r="Q23" s="190">
        <f t="shared" si="4"/>
        <v>127765.22</v>
      </c>
    </row>
    <row r="24" spans="1:17" ht="12.75">
      <c r="A24" s="32" t="s">
        <v>23</v>
      </c>
      <c r="B24" s="74"/>
      <c r="C24" s="139">
        <v>52501.31</v>
      </c>
      <c r="D24" s="128">
        <f>1713.01</f>
        <v>1713.01</v>
      </c>
      <c r="E24" s="96"/>
      <c r="F24" s="190">
        <f t="shared" si="3"/>
        <v>54214.32</v>
      </c>
      <c r="G24" s="261"/>
      <c r="H24" s="7"/>
      <c r="I24" s="23">
        <f aca="true" t="shared" si="5" ref="I24:I30">F24+G24+H24</f>
        <v>54214.32</v>
      </c>
      <c r="J24" s="22"/>
      <c r="K24" s="7"/>
      <c r="L24" s="23">
        <f aca="true" t="shared" si="6" ref="L24:L30">I24+J24+K24</f>
        <v>54214.32</v>
      </c>
      <c r="M24" s="22"/>
      <c r="N24" s="7"/>
      <c r="O24" s="210">
        <f aca="true" t="shared" si="7" ref="O24:O29">L24+M24+N24</f>
        <v>54214.32</v>
      </c>
      <c r="P24" s="220"/>
      <c r="Q24" s="221">
        <f t="shared" si="1"/>
        <v>54214.32</v>
      </c>
    </row>
    <row r="25" spans="1:17" ht="12.75">
      <c r="A25" s="33" t="s">
        <v>139</v>
      </c>
      <c r="B25" s="75"/>
      <c r="C25" s="139">
        <v>880.6</v>
      </c>
      <c r="D25" s="128"/>
      <c r="E25" s="96"/>
      <c r="F25" s="190">
        <f t="shared" si="3"/>
        <v>880.6</v>
      </c>
      <c r="G25" s="261"/>
      <c r="H25" s="7"/>
      <c r="I25" s="23">
        <f t="shared" si="5"/>
        <v>880.6</v>
      </c>
      <c r="J25" s="22"/>
      <c r="K25" s="7"/>
      <c r="L25" s="23">
        <f t="shared" si="6"/>
        <v>880.6</v>
      </c>
      <c r="M25" s="22"/>
      <c r="N25" s="7"/>
      <c r="O25" s="210">
        <f t="shared" si="7"/>
        <v>880.6</v>
      </c>
      <c r="P25" s="220"/>
      <c r="Q25" s="221">
        <f t="shared" si="1"/>
        <v>880.6</v>
      </c>
    </row>
    <row r="26" spans="1:17" ht="12.75">
      <c r="A26" s="32" t="s">
        <v>24</v>
      </c>
      <c r="B26" s="74"/>
      <c r="C26" s="139">
        <v>29804.7</v>
      </c>
      <c r="D26" s="128"/>
      <c r="E26" s="96"/>
      <c r="F26" s="190">
        <f t="shared" si="3"/>
        <v>29804.7</v>
      </c>
      <c r="G26" s="261"/>
      <c r="H26" s="7"/>
      <c r="I26" s="23">
        <f t="shared" si="5"/>
        <v>29804.7</v>
      </c>
      <c r="J26" s="22"/>
      <c r="K26" s="7"/>
      <c r="L26" s="23">
        <f t="shared" si="6"/>
        <v>29804.7</v>
      </c>
      <c r="M26" s="22"/>
      <c r="N26" s="7"/>
      <c r="O26" s="210">
        <f t="shared" si="7"/>
        <v>29804.7</v>
      </c>
      <c r="P26" s="220"/>
      <c r="Q26" s="221">
        <f t="shared" si="1"/>
        <v>29804.7</v>
      </c>
    </row>
    <row r="27" spans="1:17" ht="12.75">
      <c r="A27" s="33" t="s">
        <v>140</v>
      </c>
      <c r="B27" s="75"/>
      <c r="C27" s="139">
        <v>12585.8</v>
      </c>
      <c r="D27" s="128"/>
      <c r="E27" s="96"/>
      <c r="F27" s="190">
        <f t="shared" si="3"/>
        <v>12585.8</v>
      </c>
      <c r="G27" s="261"/>
      <c r="H27" s="7"/>
      <c r="I27" s="23">
        <f t="shared" si="5"/>
        <v>12585.8</v>
      </c>
      <c r="J27" s="22"/>
      <c r="K27" s="7"/>
      <c r="L27" s="23">
        <f t="shared" si="6"/>
        <v>12585.8</v>
      </c>
      <c r="M27" s="22"/>
      <c r="N27" s="7"/>
      <c r="O27" s="210">
        <f t="shared" si="7"/>
        <v>12585.8</v>
      </c>
      <c r="P27" s="220"/>
      <c r="Q27" s="221">
        <f t="shared" si="1"/>
        <v>12585.8</v>
      </c>
    </row>
    <row r="28" spans="1:17" ht="12.75">
      <c r="A28" s="33" t="s">
        <v>228</v>
      </c>
      <c r="B28" s="75"/>
      <c r="C28" s="139">
        <v>340.8</v>
      </c>
      <c r="D28" s="128"/>
      <c r="E28" s="96"/>
      <c r="F28" s="190">
        <f t="shared" si="3"/>
        <v>340.8</v>
      </c>
      <c r="G28" s="261"/>
      <c r="H28" s="7"/>
      <c r="I28" s="23">
        <f t="shared" si="5"/>
        <v>340.8</v>
      </c>
      <c r="J28" s="22"/>
      <c r="K28" s="7"/>
      <c r="L28" s="23">
        <f t="shared" si="6"/>
        <v>340.8</v>
      </c>
      <c r="M28" s="22"/>
      <c r="N28" s="7"/>
      <c r="O28" s="210">
        <f t="shared" si="7"/>
        <v>340.8</v>
      </c>
      <c r="P28" s="220"/>
      <c r="Q28" s="221">
        <f t="shared" si="1"/>
        <v>340.8</v>
      </c>
    </row>
    <row r="29" spans="1:17" ht="12.75">
      <c r="A29" s="33" t="s">
        <v>141</v>
      </c>
      <c r="B29" s="75"/>
      <c r="C29" s="139">
        <v>29939</v>
      </c>
      <c r="D29" s="128"/>
      <c r="E29" s="96"/>
      <c r="F29" s="190">
        <f t="shared" si="3"/>
        <v>29939</v>
      </c>
      <c r="G29" s="261"/>
      <c r="H29" s="7"/>
      <c r="I29" s="23">
        <f t="shared" si="5"/>
        <v>29939</v>
      </c>
      <c r="J29" s="22"/>
      <c r="K29" s="7"/>
      <c r="L29" s="23">
        <f t="shared" si="6"/>
        <v>29939</v>
      </c>
      <c r="M29" s="22"/>
      <c r="N29" s="7"/>
      <c r="O29" s="210">
        <f t="shared" si="7"/>
        <v>29939</v>
      </c>
      <c r="P29" s="220"/>
      <c r="Q29" s="221">
        <f>O29+P29</f>
        <v>29939</v>
      </c>
    </row>
    <row r="30" spans="1:17" ht="12.75">
      <c r="A30" s="33" t="s">
        <v>297</v>
      </c>
      <c r="B30" s="75"/>
      <c r="C30" s="139"/>
      <c r="D30" s="243">
        <f>2421+1769.02+100+968.95+492.63+100+1177.09+9000+27.05+478.8+8512.54+36.94+155.2+247.5+1000</f>
        <v>26486.72</v>
      </c>
      <c r="E30" s="96"/>
      <c r="F30" s="190">
        <f t="shared" si="3"/>
        <v>26486.72</v>
      </c>
      <c r="G30" s="218"/>
      <c r="H30" s="134"/>
      <c r="I30" s="23">
        <f t="shared" si="5"/>
        <v>26486.72</v>
      </c>
      <c r="J30" s="69"/>
      <c r="K30" s="134"/>
      <c r="L30" s="23">
        <f t="shared" si="6"/>
        <v>26486.72</v>
      </c>
      <c r="M30" s="69"/>
      <c r="N30" s="134"/>
      <c r="O30" s="211"/>
      <c r="P30" s="218"/>
      <c r="Q30" s="211"/>
    </row>
    <row r="31" spans="1:17" ht="12.75">
      <c r="A31" s="34" t="s">
        <v>206</v>
      </c>
      <c r="B31" s="76"/>
      <c r="C31" s="141">
        <f>SUM(C33:C37)</f>
        <v>5000</v>
      </c>
      <c r="D31" s="129">
        <f aca="true" t="shared" si="8" ref="D31:Q31">SUM(D33:D37)</f>
        <v>0</v>
      </c>
      <c r="E31" s="99">
        <f t="shared" si="8"/>
        <v>0</v>
      </c>
      <c r="F31" s="191">
        <f t="shared" si="8"/>
        <v>5000</v>
      </c>
      <c r="G31" s="223">
        <f t="shared" si="8"/>
        <v>0</v>
      </c>
      <c r="H31" s="99">
        <f t="shared" si="8"/>
        <v>0</v>
      </c>
      <c r="I31" s="164">
        <f t="shared" si="8"/>
        <v>5000</v>
      </c>
      <c r="J31" s="98">
        <f t="shared" si="8"/>
        <v>0</v>
      </c>
      <c r="K31" s="99">
        <f t="shared" si="8"/>
        <v>0</v>
      </c>
      <c r="L31" s="164">
        <f t="shared" si="8"/>
        <v>5000</v>
      </c>
      <c r="M31" s="98">
        <f t="shared" si="8"/>
        <v>0</v>
      </c>
      <c r="N31" s="99">
        <f t="shared" si="8"/>
        <v>0</v>
      </c>
      <c r="O31" s="191">
        <f t="shared" si="8"/>
        <v>5000</v>
      </c>
      <c r="P31" s="223">
        <f t="shared" si="8"/>
        <v>0</v>
      </c>
      <c r="Q31" s="191">
        <f t="shared" si="8"/>
        <v>5000</v>
      </c>
    </row>
    <row r="32" spans="1:17" ht="11.25" customHeight="1">
      <c r="A32" s="31" t="s">
        <v>20</v>
      </c>
      <c r="B32" s="73"/>
      <c r="C32" s="139"/>
      <c r="D32" s="128"/>
      <c r="E32" s="96"/>
      <c r="F32" s="190"/>
      <c r="G32" s="261"/>
      <c r="H32" s="7"/>
      <c r="I32" s="23"/>
      <c r="J32" s="22"/>
      <c r="K32" s="7"/>
      <c r="L32" s="23"/>
      <c r="M32" s="22"/>
      <c r="N32" s="7"/>
      <c r="O32" s="210"/>
      <c r="P32" s="220"/>
      <c r="Q32" s="221"/>
    </row>
    <row r="33" spans="1:17" ht="12.75" hidden="1">
      <c r="A33" s="81" t="s">
        <v>103</v>
      </c>
      <c r="B33" s="74"/>
      <c r="C33" s="139"/>
      <c r="D33" s="128"/>
      <c r="E33" s="96"/>
      <c r="F33" s="190">
        <f>C33+D33+E33</f>
        <v>0</v>
      </c>
      <c r="G33" s="261"/>
      <c r="H33" s="7"/>
      <c r="I33" s="23">
        <f>F33+G33+H33</f>
        <v>0</v>
      </c>
      <c r="J33" s="22"/>
      <c r="K33" s="7"/>
      <c r="L33" s="23">
        <f>I33+J33+K33</f>
        <v>0</v>
      </c>
      <c r="M33" s="22"/>
      <c r="N33" s="7"/>
      <c r="O33" s="210">
        <f>L33+M33+N33</f>
        <v>0</v>
      </c>
      <c r="P33" s="220"/>
      <c r="Q33" s="221">
        <f t="shared" si="1"/>
        <v>0</v>
      </c>
    </row>
    <row r="34" spans="1:17" ht="12.75" hidden="1">
      <c r="A34" s="33" t="s">
        <v>98</v>
      </c>
      <c r="B34" s="75"/>
      <c r="C34" s="139"/>
      <c r="D34" s="128"/>
      <c r="E34" s="96"/>
      <c r="F34" s="190">
        <f>C34+D34+E34</f>
        <v>0</v>
      </c>
      <c r="G34" s="261"/>
      <c r="H34" s="7"/>
      <c r="I34" s="23">
        <f>F34+G34+H34</f>
        <v>0</v>
      </c>
      <c r="J34" s="29"/>
      <c r="K34" s="7"/>
      <c r="L34" s="23">
        <f>I34+J34+K34</f>
        <v>0</v>
      </c>
      <c r="M34" s="29"/>
      <c r="N34" s="7"/>
      <c r="O34" s="210">
        <f>L34+M34+N34</f>
        <v>0</v>
      </c>
      <c r="P34" s="220"/>
      <c r="Q34" s="221">
        <f t="shared" si="1"/>
        <v>0</v>
      </c>
    </row>
    <row r="35" spans="1:17" ht="12.75" hidden="1">
      <c r="A35" s="33" t="s">
        <v>101</v>
      </c>
      <c r="B35" s="75"/>
      <c r="C35" s="139"/>
      <c r="D35" s="128"/>
      <c r="E35" s="96"/>
      <c r="F35" s="190">
        <f>C35+D35+E35</f>
        <v>0</v>
      </c>
      <c r="G35" s="261"/>
      <c r="H35" s="7"/>
      <c r="I35" s="23">
        <f>F35+G35+H35</f>
        <v>0</v>
      </c>
      <c r="J35" s="29"/>
      <c r="K35" s="7"/>
      <c r="L35" s="23">
        <f>I35+J35+K35</f>
        <v>0</v>
      </c>
      <c r="M35" s="29"/>
      <c r="N35" s="7"/>
      <c r="O35" s="210">
        <f>L35+M35+N35</f>
        <v>0</v>
      </c>
      <c r="P35" s="220"/>
      <c r="Q35" s="221">
        <f t="shared" si="1"/>
        <v>0</v>
      </c>
    </row>
    <row r="36" spans="1:17" ht="12.75" hidden="1">
      <c r="A36" s="33" t="s">
        <v>108</v>
      </c>
      <c r="B36" s="75"/>
      <c r="C36" s="139"/>
      <c r="D36" s="128"/>
      <c r="E36" s="96"/>
      <c r="F36" s="190">
        <f>C36+D36+E36</f>
        <v>0</v>
      </c>
      <c r="G36" s="261"/>
      <c r="H36" s="7"/>
      <c r="I36" s="23">
        <f>F36+G36+H36</f>
        <v>0</v>
      </c>
      <c r="J36" s="29"/>
      <c r="K36" s="7"/>
      <c r="L36" s="23">
        <f>I36+J36+K36</f>
        <v>0</v>
      </c>
      <c r="M36" s="29"/>
      <c r="N36" s="7"/>
      <c r="O36" s="210">
        <f>L36+M36+N36</f>
        <v>0</v>
      </c>
      <c r="P36" s="220"/>
      <c r="Q36" s="221">
        <f t="shared" si="1"/>
        <v>0</v>
      </c>
    </row>
    <row r="37" spans="1:17" ht="12.75">
      <c r="A37" s="81" t="s">
        <v>229</v>
      </c>
      <c r="B37" s="74"/>
      <c r="C37" s="139">
        <v>5000</v>
      </c>
      <c r="D37" s="128"/>
      <c r="E37" s="96"/>
      <c r="F37" s="190">
        <f>C37+D37+E37</f>
        <v>5000</v>
      </c>
      <c r="G37" s="261"/>
      <c r="H37" s="7"/>
      <c r="I37" s="23">
        <f>F37+G37+H37</f>
        <v>5000</v>
      </c>
      <c r="J37" s="22"/>
      <c r="K37" s="7"/>
      <c r="L37" s="23">
        <f>I37+J37+K37</f>
        <v>5000</v>
      </c>
      <c r="M37" s="22"/>
      <c r="N37" s="7"/>
      <c r="O37" s="210">
        <f>L37+M37+N37</f>
        <v>5000</v>
      </c>
      <c r="P37" s="220"/>
      <c r="Q37" s="221">
        <f t="shared" si="1"/>
        <v>5000</v>
      </c>
    </row>
    <row r="38" spans="1:17" ht="12.75">
      <c r="A38" s="34" t="s">
        <v>207</v>
      </c>
      <c r="B38" s="74"/>
      <c r="C38" s="139"/>
      <c r="D38" s="128"/>
      <c r="E38" s="96"/>
      <c r="F38" s="190"/>
      <c r="G38" s="261"/>
      <c r="H38" s="7"/>
      <c r="I38" s="23"/>
      <c r="J38" s="22"/>
      <c r="K38" s="7"/>
      <c r="L38" s="23"/>
      <c r="M38" s="22"/>
      <c r="N38" s="7"/>
      <c r="O38" s="210"/>
      <c r="P38" s="220"/>
      <c r="Q38" s="221"/>
    </row>
    <row r="39" spans="1:17" ht="12.75">
      <c r="A39" s="30" t="s">
        <v>25</v>
      </c>
      <c r="B39" s="72"/>
      <c r="C39" s="138">
        <f>SUM(C41:C61)</f>
        <v>129756.6</v>
      </c>
      <c r="D39" s="117">
        <f aca="true" t="shared" si="9" ref="D39:Q39">SUM(D41:D61)</f>
        <v>11594528.180000003</v>
      </c>
      <c r="E39" s="95">
        <f t="shared" si="9"/>
        <v>0</v>
      </c>
      <c r="F39" s="189">
        <f t="shared" si="9"/>
        <v>11724284.780000003</v>
      </c>
      <c r="G39" s="219">
        <f t="shared" si="9"/>
        <v>0</v>
      </c>
      <c r="H39" s="95">
        <f t="shared" si="9"/>
        <v>0</v>
      </c>
      <c r="I39" s="162">
        <f t="shared" si="9"/>
        <v>11724275.040000003</v>
      </c>
      <c r="J39" s="94">
        <f t="shared" si="9"/>
        <v>0</v>
      </c>
      <c r="K39" s="95">
        <f t="shared" si="9"/>
        <v>0</v>
      </c>
      <c r="L39" s="162">
        <f t="shared" si="9"/>
        <v>11724275.040000003</v>
      </c>
      <c r="M39" s="94">
        <f t="shared" si="9"/>
        <v>0</v>
      </c>
      <c r="N39" s="95">
        <f t="shared" si="9"/>
        <v>0</v>
      </c>
      <c r="O39" s="189">
        <f t="shared" si="9"/>
        <v>11724275.040000003</v>
      </c>
      <c r="P39" s="219">
        <f t="shared" si="9"/>
        <v>0</v>
      </c>
      <c r="Q39" s="189">
        <f t="shared" si="9"/>
        <v>11724275.040000003</v>
      </c>
    </row>
    <row r="40" spans="1:17" ht="10.5" customHeight="1">
      <c r="A40" s="35" t="s">
        <v>26</v>
      </c>
      <c r="B40" s="77"/>
      <c r="C40" s="139"/>
      <c r="D40" s="128"/>
      <c r="E40" s="96"/>
      <c r="F40" s="190"/>
      <c r="G40" s="261"/>
      <c r="H40" s="7"/>
      <c r="I40" s="23"/>
      <c r="J40" s="22"/>
      <c r="K40" s="7"/>
      <c r="L40" s="23"/>
      <c r="M40" s="22"/>
      <c r="N40" s="7"/>
      <c r="O40" s="210"/>
      <c r="P40" s="220"/>
      <c r="Q40" s="221"/>
    </row>
    <row r="41" spans="1:17" ht="12.75">
      <c r="A41" s="33" t="s">
        <v>27</v>
      </c>
      <c r="B41" s="75"/>
      <c r="C41" s="139">
        <v>129506.6</v>
      </c>
      <c r="D41" s="128"/>
      <c r="E41" s="96"/>
      <c r="F41" s="190">
        <f aca="true" t="shared" si="10" ref="F41:F61">C41+D41+E41</f>
        <v>129506.6</v>
      </c>
      <c r="G41" s="261"/>
      <c r="H41" s="7"/>
      <c r="I41" s="23">
        <f>F41+G41+H41</f>
        <v>129506.6</v>
      </c>
      <c r="J41" s="22"/>
      <c r="K41" s="7"/>
      <c r="L41" s="23">
        <f>I41+J41+K41</f>
        <v>129506.6</v>
      </c>
      <c r="M41" s="22"/>
      <c r="N41" s="7"/>
      <c r="O41" s="210">
        <f>L41+M41+N41</f>
        <v>129506.6</v>
      </c>
      <c r="P41" s="220"/>
      <c r="Q41" s="221">
        <f t="shared" si="1"/>
        <v>129506.6</v>
      </c>
    </row>
    <row r="42" spans="1:17" ht="12.75">
      <c r="A42" s="33" t="s">
        <v>28</v>
      </c>
      <c r="B42" s="75"/>
      <c r="C42" s="139"/>
      <c r="D42" s="128">
        <f>800+15+32053.4</f>
        <v>32868.4</v>
      </c>
      <c r="E42" s="96"/>
      <c r="F42" s="190">
        <f t="shared" si="10"/>
        <v>32868.4</v>
      </c>
      <c r="G42" s="261"/>
      <c r="H42" s="7"/>
      <c r="I42" s="23">
        <f aca="true" t="shared" si="11" ref="I42:I61">F42+G42+H42</f>
        <v>32868.4</v>
      </c>
      <c r="J42" s="22"/>
      <c r="K42" s="7"/>
      <c r="L42" s="23">
        <f aca="true" t="shared" si="12" ref="L42:L61">I42+J42+K42</f>
        <v>32868.4</v>
      </c>
      <c r="M42" s="22"/>
      <c r="N42" s="7"/>
      <c r="O42" s="210">
        <f aca="true" t="shared" si="13" ref="O42:O61">L42+M42+N42</f>
        <v>32868.4</v>
      </c>
      <c r="P42" s="220"/>
      <c r="Q42" s="221">
        <f t="shared" si="1"/>
        <v>32868.4</v>
      </c>
    </row>
    <row r="43" spans="1:17" ht="12.75">
      <c r="A43" s="33" t="s">
        <v>321</v>
      </c>
      <c r="B43" s="75">
        <v>12002</v>
      </c>
      <c r="C43" s="139"/>
      <c r="D43" s="128">
        <f>9.74</f>
        <v>9.74</v>
      </c>
      <c r="E43" s="96"/>
      <c r="F43" s="190">
        <f t="shared" si="10"/>
        <v>9.74</v>
      </c>
      <c r="G43" s="261"/>
      <c r="H43" s="7"/>
      <c r="I43" s="23"/>
      <c r="J43" s="22"/>
      <c r="K43" s="7"/>
      <c r="L43" s="23"/>
      <c r="M43" s="22"/>
      <c r="N43" s="7"/>
      <c r="O43" s="210"/>
      <c r="P43" s="220"/>
      <c r="Q43" s="221"/>
    </row>
    <row r="44" spans="1:17" ht="12.75">
      <c r="A44" s="33" t="s">
        <v>29</v>
      </c>
      <c r="B44" s="75"/>
      <c r="C44" s="139"/>
      <c r="D44" s="128">
        <f>148284.67+12646.55+9933653.38+15000+13643.49</f>
        <v>10123228.090000002</v>
      </c>
      <c r="E44" s="96"/>
      <c r="F44" s="190">
        <f t="shared" si="10"/>
        <v>10123228.090000002</v>
      </c>
      <c r="G44" s="261"/>
      <c r="H44" s="7"/>
      <c r="I44" s="23">
        <f t="shared" si="11"/>
        <v>10123228.090000002</v>
      </c>
      <c r="J44" s="22"/>
      <c r="K44" s="7"/>
      <c r="L44" s="23">
        <f t="shared" si="12"/>
        <v>10123228.090000002</v>
      </c>
      <c r="M44" s="22"/>
      <c r="N44" s="7"/>
      <c r="O44" s="210">
        <f t="shared" si="13"/>
        <v>10123228.090000002</v>
      </c>
      <c r="P44" s="220"/>
      <c r="Q44" s="221">
        <f t="shared" si="1"/>
        <v>10123228.090000002</v>
      </c>
    </row>
    <row r="45" spans="1:17" ht="12.75">
      <c r="A45" s="33" t="s">
        <v>30</v>
      </c>
      <c r="B45" s="75"/>
      <c r="C45" s="139"/>
      <c r="D45" s="128">
        <f>1355855.4+47237.11+5532.56+13300</f>
        <v>1421925.07</v>
      </c>
      <c r="E45" s="96"/>
      <c r="F45" s="190">
        <f t="shared" si="10"/>
        <v>1421925.07</v>
      </c>
      <c r="G45" s="261"/>
      <c r="H45" s="7"/>
      <c r="I45" s="23">
        <f t="shared" si="11"/>
        <v>1421925.07</v>
      </c>
      <c r="J45" s="22"/>
      <c r="K45" s="7"/>
      <c r="L45" s="23">
        <f t="shared" si="12"/>
        <v>1421925.07</v>
      </c>
      <c r="M45" s="22"/>
      <c r="N45" s="7"/>
      <c r="O45" s="210">
        <f t="shared" si="13"/>
        <v>1421925.07</v>
      </c>
      <c r="P45" s="220"/>
      <c r="Q45" s="221">
        <f t="shared" si="1"/>
        <v>1421925.07</v>
      </c>
    </row>
    <row r="46" spans="1:17" ht="12.75">
      <c r="A46" s="33" t="s">
        <v>31</v>
      </c>
      <c r="B46" s="75"/>
      <c r="C46" s="139"/>
      <c r="D46" s="128">
        <f>81.23+316.82</f>
        <v>398.05</v>
      </c>
      <c r="E46" s="96"/>
      <c r="F46" s="190">
        <f t="shared" si="10"/>
        <v>398.05</v>
      </c>
      <c r="G46" s="261"/>
      <c r="H46" s="7"/>
      <c r="I46" s="23">
        <f t="shared" si="11"/>
        <v>398.05</v>
      </c>
      <c r="J46" s="22"/>
      <c r="K46" s="7"/>
      <c r="L46" s="23">
        <f t="shared" si="12"/>
        <v>398.05</v>
      </c>
      <c r="M46" s="22"/>
      <c r="N46" s="7"/>
      <c r="O46" s="210">
        <f t="shared" si="13"/>
        <v>398.05</v>
      </c>
      <c r="P46" s="220"/>
      <c r="Q46" s="221">
        <f t="shared" si="1"/>
        <v>398.05</v>
      </c>
    </row>
    <row r="47" spans="1:17" ht="12.75">
      <c r="A47" s="33" t="s">
        <v>32</v>
      </c>
      <c r="B47" s="75"/>
      <c r="C47" s="139"/>
      <c r="D47" s="128">
        <f>451.07</f>
        <v>451.07</v>
      </c>
      <c r="E47" s="96"/>
      <c r="F47" s="190">
        <f t="shared" si="10"/>
        <v>451.07</v>
      </c>
      <c r="G47" s="261"/>
      <c r="H47" s="7"/>
      <c r="I47" s="23">
        <f t="shared" si="11"/>
        <v>451.07</v>
      </c>
      <c r="J47" s="22"/>
      <c r="K47" s="7"/>
      <c r="L47" s="23">
        <f t="shared" si="12"/>
        <v>451.07</v>
      </c>
      <c r="M47" s="22"/>
      <c r="N47" s="7"/>
      <c r="O47" s="210">
        <f t="shared" si="13"/>
        <v>451.07</v>
      </c>
      <c r="P47" s="220"/>
      <c r="Q47" s="221">
        <f t="shared" si="1"/>
        <v>451.07</v>
      </c>
    </row>
    <row r="48" spans="1:17" ht="12.75">
      <c r="A48" s="33" t="s">
        <v>33</v>
      </c>
      <c r="B48" s="75"/>
      <c r="C48" s="139"/>
      <c r="D48" s="128">
        <f>1900+1096+224</f>
        <v>3220</v>
      </c>
      <c r="E48" s="96"/>
      <c r="F48" s="190">
        <f t="shared" si="10"/>
        <v>3220</v>
      </c>
      <c r="G48" s="261"/>
      <c r="H48" s="7"/>
      <c r="I48" s="23">
        <f t="shared" si="11"/>
        <v>3220</v>
      </c>
      <c r="J48" s="22"/>
      <c r="K48" s="7"/>
      <c r="L48" s="23">
        <f t="shared" si="12"/>
        <v>3220</v>
      </c>
      <c r="M48" s="22"/>
      <c r="N48" s="7"/>
      <c r="O48" s="210">
        <f t="shared" si="13"/>
        <v>3220</v>
      </c>
      <c r="P48" s="220"/>
      <c r="Q48" s="221">
        <f t="shared" si="1"/>
        <v>3220</v>
      </c>
    </row>
    <row r="49" spans="1:17" ht="12.75" hidden="1">
      <c r="A49" s="33" t="s">
        <v>34</v>
      </c>
      <c r="B49" s="75"/>
      <c r="C49" s="139"/>
      <c r="D49" s="128"/>
      <c r="E49" s="96"/>
      <c r="F49" s="190">
        <f t="shared" si="10"/>
        <v>0</v>
      </c>
      <c r="G49" s="261"/>
      <c r="H49" s="7"/>
      <c r="I49" s="23">
        <f t="shared" si="11"/>
        <v>0</v>
      </c>
      <c r="J49" s="22"/>
      <c r="K49" s="7"/>
      <c r="L49" s="23">
        <f t="shared" si="12"/>
        <v>0</v>
      </c>
      <c r="M49" s="22"/>
      <c r="N49" s="7"/>
      <c r="O49" s="210">
        <f t="shared" si="13"/>
        <v>0</v>
      </c>
      <c r="P49" s="220"/>
      <c r="Q49" s="221">
        <f t="shared" si="1"/>
        <v>0</v>
      </c>
    </row>
    <row r="50" spans="1:17" ht="12.75" hidden="1">
      <c r="A50" s="33" t="s">
        <v>132</v>
      </c>
      <c r="B50" s="75"/>
      <c r="C50" s="139"/>
      <c r="D50" s="128"/>
      <c r="E50" s="96"/>
      <c r="F50" s="190">
        <f t="shared" si="10"/>
        <v>0</v>
      </c>
      <c r="G50" s="261"/>
      <c r="H50" s="7"/>
      <c r="I50" s="23">
        <f t="shared" si="11"/>
        <v>0</v>
      </c>
      <c r="J50" s="22"/>
      <c r="K50" s="7"/>
      <c r="L50" s="23">
        <f t="shared" si="12"/>
        <v>0</v>
      </c>
      <c r="M50" s="22"/>
      <c r="N50" s="7"/>
      <c r="O50" s="210">
        <f t="shared" si="13"/>
        <v>0</v>
      </c>
      <c r="P50" s="220"/>
      <c r="Q50" s="221">
        <f t="shared" si="1"/>
        <v>0</v>
      </c>
    </row>
    <row r="51" spans="1:17" ht="12.75">
      <c r="A51" s="33" t="s">
        <v>145</v>
      </c>
      <c r="B51" s="75"/>
      <c r="C51" s="139"/>
      <c r="D51" s="128">
        <f>10748.16</f>
        <v>10748.16</v>
      </c>
      <c r="E51" s="96"/>
      <c r="F51" s="190">
        <f t="shared" si="10"/>
        <v>10748.16</v>
      </c>
      <c r="G51" s="261"/>
      <c r="H51" s="7"/>
      <c r="I51" s="23">
        <f t="shared" si="11"/>
        <v>10748.16</v>
      </c>
      <c r="J51" s="22"/>
      <c r="K51" s="7"/>
      <c r="L51" s="23">
        <f t="shared" si="12"/>
        <v>10748.16</v>
      </c>
      <c r="M51" s="22"/>
      <c r="N51" s="7"/>
      <c r="O51" s="210">
        <f t="shared" si="13"/>
        <v>10748.16</v>
      </c>
      <c r="P51" s="220"/>
      <c r="Q51" s="221">
        <f t="shared" si="1"/>
        <v>10748.16</v>
      </c>
    </row>
    <row r="52" spans="1:17" ht="12.75">
      <c r="A52" s="33" t="s">
        <v>35</v>
      </c>
      <c r="B52" s="75"/>
      <c r="C52" s="139"/>
      <c r="D52" s="128">
        <f>55.21+754.79</f>
        <v>810</v>
      </c>
      <c r="E52" s="96"/>
      <c r="F52" s="190">
        <f t="shared" si="10"/>
        <v>810</v>
      </c>
      <c r="G52" s="261"/>
      <c r="H52" s="7"/>
      <c r="I52" s="23">
        <f t="shared" si="11"/>
        <v>810</v>
      </c>
      <c r="J52" s="22"/>
      <c r="K52" s="7"/>
      <c r="L52" s="23">
        <f t="shared" si="12"/>
        <v>810</v>
      </c>
      <c r="M52" s="22"/>
      <c r="N52" s="7"/>
      <c r="O52" s="210">
        <f t="shared" si="13"/>
        <v>810</v>
      </c>
      <c r="P52" s="224"/>
      <c r="Q52" s="221">
        <f t="shared" si="1"/>
        <v>810</v>
      </c>
    </row>
    <row r="53" spans="1:17" ht="12.75" hidden="1">
      <c r="A53" s="33" t="s">
        <v>36</v>
      </c>
      <c r="B53" s="75"/>
      <c r="C53" s="139"/>
      <c r="D53" s="128"/>
      <c r="E53" s="96"/>
      <c r="F53" s="190">
        <f t="shared" si="10"/>
        <v>0</v>
      </c>
      <c r="G53" s="261"/>
      <c r="H53" s="7"/>
      <c r="I53" s="23">
        <f t="shared" si="11"/>
        <v>0</v>
      </c>
      <c r="J53" s="29"/>
      <c r="K53" s="7"/>
      <c r="L53" s="23">
        <f t="shared" si="12"/>
        <v>0</v>
      </c>
      <c r="M53" s="22"/>
      <c r="N53" s="7"/>
      <c r="O53" s="210">
        <f t="shared" si="13"/>
        <v>0</v>
      </c>
      <c r="P53" s="220"/>
      <c r="Q53" s="221">
        <f t="shared" si="1"/>
        <v>0</v>
      </c>
    </row>
    <row r="54" spans="1:17" ht="12.75" hidden="1">
      <c r="A54" s="33" t="s">
        <v>187</v>
      </c>
      <c r="B54" s="75"/>
      <c r="C54" s="139"/>
      <c r="D54" s="128"/>
      <c r="E54" s="96"/>
      <c r="F54" s="190">
        <f t="shared" si="10"/>
        <v>0</v>
      </c>
      <c r="G54" s="261"/>
      <c r="H54" s="7"/>
      <c r="I54" s="23">
        <f t="shared" si="11"/>
        <v>0</v>
      </c>
      <c r="J54" s="29"/>
      <c r="K54" s="7"/>
      <c r="L54" s="23">
        <f t="shared" si="12"/>
        <v>0</v>
      </c>
      <c r="M54" s="22"/>
      <c r="N54" s="7"/>
      <c r="O54" s="210">
        <f t="shared" si="13"/>
        <v>0</v>
      </c>
      <c r="P54" s="220"/>
      <c r="Q54" s="221">
        <f t="shared" si="1"/>
        <v>0</v>
      </c>
    </row>
    <row r="55" spans="1:17" ht="12.75" hidden="1">
      <c r="A55" s="33" t="s">
        <v>146</v>
      </c>
      <c r="B55" s="75"/>
      <c r="C55" s="139"/>
      <c r="D55" s="128"/>
      <c r="E55" s="96"/>
      <c r="F55" s="190">
        <f t="shared" si="10"/>
        <v>0</v>
      </c>
      <c r="G55" s="261"/>
      <c r="H55" s="7"/>
      <c r="I55" s="23">
        <f t="shared" si="11"/>
        <v>0</v>
      </c>
      <c r="J55" s="29"/>
      <c r="K55" s="7"/>
      <c r="L55" s="23">
        <f t="shared" si="12"/>
        <v>0</v>
      </c>
      <c r="M55" s="22"/>
      <c r="N55" s="7"/>
      <c r="O55" s="210">
        <f t="shared" si="13"/>
        <v>0</v>
      </c>
      <c r="P55" s="220"/>
      <c r="Q55" s="221">
        <f t="shared" si="1"/>
        <v>0</v>
      </c>
    </row>
    <row r="56" spans="1:17" ht="12.75" hidden="1">
      <c r="A56" s="33" t="s">
        <v>37</v>
      </c>
      <c r="B56" s="75"/>
      <c r="C56" s="139"/>
      <c r="D56" s="128"/>
      <c r="E56" s="96"/>
      <c r="F56" s="190">
        <f t="shared" si="10"/>
        <v>0</v>
      </c>
      <c r="G56" s="261"/>
      <c r="H56" s="7"/>
      <c r="I56" s="23">
        <f t="shared" si="11"/>
        <v>0</v>
      </c>
      <c r="J56" s="22"/>
      <c r="K56" s="7"/>
      <c r="L56" s="23">
        <f t="shared" si="12"/>
        <v>0</v>
      </c>
      <c r="M56" s="22"/>
      <c r="N56" s="7"/>
      <c r="O56" s="210">
        <f t="shared" si="13"/>
        <v>0</v>
      </c>
      <c r="P56" s="220"/>
      <c r="Q56" s="221">
        <f t="shared" si="1"/>
        <v>0</v>
      </c>
    </row>
    <row r="57" spans="1:17" ht="12.75" hidden="1">
      <c r="A57" s="33" t="s">
        <v>44</v>
      </c>
      <c r="B57" s="75"/>
      <c r="C57" s="139"/>
      <c r="D57" s="128"/>
      <c r="E57" s="96"/>
      <c r="F57" s="190">
        <f t="shared" si="10"/>
        <v>0</v>
      </c>
      <c r="G57" s="261"/>
      <c r="H57" s="7"/>
      <c r="I57" s="23">
        <f t="shared" si="11"/>
        <v>0</v>
      </c>
      <c r="J57" s="22"/>
      <c r="K57" s="7"/>
      <c r="L57" s="23">
        <f t="shared" si="12"/>
        <v>0</v>
      </c>
      <c r="M57" s="22"/>
      <c r="N57" s="7"/>
      <c r="O57" s="210">
        <f t="shared" si="13"/>
        <v>0</v>
      </c>
      <c r="P57" s="220"/>
      <c r="Q57" s="221">
        <f t="shared" si="1"/>
        <v>0</v>
      </c>
    </row>
    <row r="58" spans="1:17" ht="12.75" hidden="1">
      <c r="A58" s="33" t="s">
        <v>38</v>
      </c>
      <c r="B58" s="75"/>
      <c r="C58" s="139"/>
      <c r="D58" s="128"/>
      <c r="E58" s="96"/>
      <c r="F58" s="190">
        <f t="shared" si="10"/>
        <v>0</v>
      </c>
      <c r="G58" s="261"/>
      <c r="H58" s="7"/>
      <c r="I58" s="23">
        <f t="shared" si="11"/>
        <v>0</v>
      </c>
      <c r="J58" s="22"/>
      <c r="K58" s="7"/>
      <c r="L58" s="23">
        <f t="shared" si="12"/>
        <v>0</v>
      </c>
      <c r="M58" s="22"/>
      <c r="N58" s="7"/>
      <c r="O58" s="210">
        <f t="shared" si="13"/>
        <v>0</v>
      </c>
      <c r="P58" s="220"/>
      <c r="Q58" s="221">
        <f t="shared" si="1"/>
        <v>0</v>
      </c>
    </row>
    <row r="59" spans="1:17" ht="12.75" hidden="1">
      <c r="A59" s="33" t="s">
        <v>39</v>
      </c>
      <c r="B59" s="75"/>
      <c r="C59" s="139"/>
      <c r="D59" s="128"/>
      <c r="E59" s="96"/>
      <c r="F59" s="190">
        <f t="shared" si="10"/>
        <v>0</v>
      </c>
      <c r="G59" s="261"/>
      <c r="H59" s="7"/>
      <c r="I59" s="23">
        <f t="shared" si="11"/>
        <v>0</v>
      </c>
      <c r="J59" s="22"/>
      <c r="K59" s="7"/>
      <c r="L59" s="23">
        <f t="shared" si="12"/>
        <v>0</v>
      </c>
      <c r="M59" s="22"/>
      <c r="N59" s="7"/>
      <c r="O59" s="210">
        <f t="shared" si="13"/>
        <v>0</v>
      </c>
      <c r="P59" s="220"/>
      <c r="Q59" s="221">
        <f t="shared" si="1"/>
        <v>0</v>
      </c>
    </row>
    <row r="60" spans="1:17" ht="12.75">
      <c r="A60" s="33" t="s">
        <v>40</v>
      </c>
      <c r="B60" s="75"/>
      <c r="C60" s="139">
        <v>250</v>
      </c>
      <c r="D60" s="128">
        <f>5.96+863.64</f>
        <v>869.6</v>
      </c>
      <c r="E60" s="96"/>
      <c r="F60" s="190">
        <f t="shared" si="10"/>
        <v>1119.6</v>
      </c>
      <c r="G60" s="261"/>
      <c r="H60" s="7"/>
      <c r="I60" s="23">
        <f t="shared" si="11"/>
        <v>1119.6</v>
      </c>
      <c r="J60" s="22"/>
      <c r="K60" s="7"/>
      <c r="L60" s="23">
        <f t="shared" si="12"/>
        <v>1119.6</v>
      </c>
      <c r="M60" s="22"/>
      <c r="N60" s="7"/>
      <c r="O60" s="210">
        <f t="shared" si="13"/>
        <v>1119.6</v>
      </c>
      <c r="P60" s="220"/>
      <c r="Q60" s="221">
        <f t="shared" si="1"/>
        <v>1119.6</v>
      </c>
    </row>
    <row r="61" spans="1:17" ht="12.75" hidden="1">
      <c r="A61" s="33" t="s">
        <v>149</v>
      </c>
      <c r="B61" s="75"/>
      <c r="C61" s="139"/>
      <c r="D61" s="128"/>
      <c r="E61" s="96"/>
      <c r="F61" s="190">
        <f t="shared" si="10"/>
        <v>0</v>
      </c>
      <c r="G61" s="261"/>
      <c r="H61" s="7"/>
      <c r="I61" s="23">
        <f t="shared" si="11"/>
        <v>0</v>
      </c>
      <c r="J61" s="22"/>
      <c r="K61" s="7"/>
      <c r="L61" s="23">
        <f t="shared" si="12"/>
        <v>0</v>
      </c>
      <c r="M61" s="22"/>
      <c r="N61" s="7"/>
      <c r="O61" s="210">
        <f t="shared" si="13"/>
        <v>0</v>
      </c>
      <c r="P61" s="220"/>
      <c r="Q61" s="221">
        <f t="shared" si="1"/>
        <v>0</v>
      </c>
    </row>
    <row r="62" spans="1:17" ht="12.75">
      <c r="A62" s="30" t="s">
        <v>41</v>
      </c>
      <c r="B62" s="72"/>
      <c r="C62" s="138">
        <f>SUM(C64:C77)</f>
        <v>0</v>
      </c>
      <c r="D62" s="117">
        <f aca="true" t="shared" si="14" ref="D62:Q62">SUM(D64:D77)</f>
        <v>506339.23</v>
      </c>
      <c r="E62" s="95">
        <f t="shared" si="14"/>
        <v>0</v>
      </c>
      <c r="F62" s="189">
        <f t="shared" si="14"/>
        <v>506339.23</v>
      </c>
      <c r="G62" s="219">
        <f t="shared" si="14"/>
        <v>0</v>
      </c>
      <c r="H62" s="95">
        <f t="shared" si="14"/>
        <v>0</v>
      </c>
      <c r="I62" s="162">
        <f t="shared" si="14"/>
        <v>506339.23</v>
      </c>
      <c r="J62" s="94">
        <f t="shared" si="14"/>
        <v>0</v>
      </c>
      <c r="K62" s="95">
        <f t="shared" si="14"/>
        <v>0</v>
      </c>
      <c r="L62" s="162">
        <f t="shared" si="14"/>
        <v>506339.23</v>
      </c>
      <c r="M62" s="94">
        <f t="shared" si="14"/>
        <v>0</v>
      </c>
      <c r="N62" s="95">
        <f t="shared" si="14"/>
        <v>0</v>
      </c>
      <c r="O62" s="189">
        <f t="shared" si="14"/>
        <v>506339.23</v>
      </c>
      <c r="P62" s="219">
        <f t="shared" si="14"/>
        <v>0</v>
      </c>
      <c r="Q62" s="189">
        <f t="shared" si="14"/>
        <v>506339.23</v>
      </c>
    </row>
    <row r="63" spans="1:17" ht="12.75">
      <c r="A63" s="35" t="s">
        <v>26</v>
      </c>
      <c r="B63" s="77"/>
      <c r="C63" s="139"/>
      <c r="D63" s="128"/>
      <c r="E63" s="96"/>
      <c r="F63" s="190"/>
      <c r="G63" s="261"/>
      <c r="H63" s="7"/>
      <c r="I63" s="23"/>
      <c r="J63" s="22"/>
      <c r="K63" s="7"/>
      <c r="L63" s="23"/>
      <c r="M63" s="22"/>
      <c r="N63" s="7"/>
      <c r="O63" s="210"/>
      <c r="P63" s="220"/>
      <c r="Q63" s="221"/>
    </row>
    <row r="64" spans="1:17" ht="12.75" hidden="1">
      <c r="A64" s="33" t="s">
        <v>29</v>
      </c>
      <c r="B64" s="75"/>
      <c r="C64" s="139"/>
      <c r="D64" s="128"/>
      <c r="E64" s="96"/>
      <c r="F64" s="190">
        <f aca="true" t="shared" si="15" ref="F64:F77">C64+D64+E64</f>
        <v>0</v>
      </c>
      <c r="G64" s="261"/>
      <c r="H64" s="7"/>
      <c r="I64" s="23">
        <f>F64+G64+H64</f>
        <v>0</v>
      </c>
      <c r="J64" s="22"/>
      <c r="K64" s="7"/>
      <c r="L64" s="23">
        <f>I64+J64+K64</f>
        <v>0</v>
      </c>
      <c r="M64" s="22"/>
      <c r="N64" s="7"/>
      <c r="O64" s="210">
        <f>L64+M64+N64</f>
        <v>0</v>
      </c>
      <c r="P64" s="220"/>
      <c r="Q64" s="221">
        <f t="shared" si="1"/>
        <v>0</v>
      </c>
    </row>
    <row r="65" spans="1:17" ht="12.75" hidden="1">
      <c r="A65" s="37" t="s">
        <v>30</v>
      </c>
      <c r="B65" s="78"/>
      <c r="C65" s="139"/>
      <c r="D65" s="128"/>
      <c r="E65" s="96"/>
      <c r="F65" s="190">
        <f t="shared" si="15"/>
        <v>0</v>
      </c>
      <c r="G65" s="261"/>
      <c r="H65" s="7"/>
      <c r="I65" s="23">
        <f aca="true" t="shared" si="16" ref="I65:I77">F65+G65+H65</f>
        <v>0</v>
      </c>
      <c r="J65" s="22"/>
      <c r="K65" s="7"/>
      <c r="L65" s="23">
        <f aca="true" t="shared" si="17" ref="L65:L77">I65+J65+K65</f>
        <v>0</v>
      </c>
      <c r="M65" s="22"/>
      <c r="N65" s="7"/>
      <c r="O65" s="210">
        <f aca="true" t="shared" si="18" ref="O65:O77">L65+M65+N65</f>
        <v>0</v>
      </c>
      <c r="P65" s="220"/>
      <c r="Q65" s="221">
        <f t="shared" si="1"/>
        <v>0</v>
      </c>
    </row>
    <row r="66" spans="1:17" ht="12.75" hidden="1">
      <c r="A66" s="37" t="s">
        <v>28</v>
      </c>
      <c r="B66" s="78"/>
      <c r="C66" s="139"/>
      <c r="D66" s="128"/>
      <c r="E66" s="96"/>
      <c r="F66" s="190">
        <f t="shared" si="15"/>
        <v>0</v>
      </c>
      <c r="G66" s="261"/>
      <c r="H66" s="7"/>
      <c r="I66" s="23">
        <f t="shared" si="16"/>
        <v>0</v>
      </c>
      <c r="J66" s="22"/>
      <c r="K66" s="7"/>
      <c r="L66" s="23">
        <f t="shared" si="17"/>
        <v>0</v>
      </c>
      <c r="M66" s="22"/>
      <c r="N66" s="7"/>
      <c r="O66" s="210">
        <f t="shared" si="18"/>
        <v>0</v>
      </c>
      <c r="P66" s="220"/>
      <c r="Q66" s="221">
        <f t="shared" si="1"/>
        <v>0</v>
      </c>
    </row>
    <row r="67" spans="1:17" ht="12.75" hidden="1">
      <c r="A67" s="37" t="s">
        <v>42</v>
      </c>
      <c r="B67" s="78"/>
      <c r="C67" s="139"/>
      <c r="D67" s="128"/>
      <c r="E67" s="96"/>
      <c r="F67" s="190">
        <f t="shared" si="15"/>
        <v>0</v>
      </c>
      <c r="G67" s="261"/>
      <c r="H67" s="7"/>
      <c r="I67" s="23">
        <f t="shared" si="16"/>
        <v>0</v>
      </c>
      <c r="J67" s="22"/>
      <c r="K67" s="7"/>
      <c r="L67" s="23">
        <f t="shared" si="17"/>
        <v>0</v>
      </c>
      <c r="M67" s="22"/>
      <c r="N67" s="7"/>
      <c r="O67" s="210">
        <f t="shared" si="18"/>
        <v>0</v>
      </c>
      <c r="P67" s="220"/>
      <c r="Q67" s="221">
        <f t="shared" si="1"/>
        <v>0</v>
      </c>
    </row>
    <row r="68" spans="1:17" ht="12.75">
      <c r="A68" s="33" t="s">
        <v>31</v>
      </c>
      <c r="B68" s="75"/>
      <c r="C68" s="139"/>
      <c r="D68" s="128">
        <f>1620.82+1409.62</f>
        <v>3030.4399999999996</v>
      </c>
      <c r="E68" s="96"/>
      <c r="F68" s="190">
        <f t="shared" si="15"/>
        <v>3030.4399999999996</v>
      </c>
      <c r="G68" s="261"/>
      <c r="H68" s="7"/>
      <c r="I68" s="23">
        <f t="shared" si="16"/>
        <v>3030.4399999999996</v>
      </c>
      <c r="J68" s="22"/>
      <c r="K68" s="7"/>
      <c r="L68" s="23">
        <f t="shared" si="17"/>
        <v>3030.4399999999996</v>
      </c>
      <c r="M68" s="22"/>
      <c r="N68" s="7"/>
      <c r="O68" s="210">
        <f t="shared" si="18"/>
        <v>3030.4399999999996</v>
      </c>
      <c r="P68" s="220"/>
      <c r="Q68" s="221">
        <f t="shared" si="1"/>
        <v>3030.4399999999996</v>
      </c>
    </row>
    <row r="69" spans="1:17" ht="12.75" hidden="1">
      <c r="A69" s="33" t="s">
        <v>199</v>
      </c>
      <c r="B69" s="75"/>
      <c r="C69" s="139"/>
      <c r="D69" s="128"/>
      <c r="E69" s="96"/>
      <c r="F69" s="190">
        <f t="shared" si="15"/>
        <v>0</v>
      </c>
      <c r="G69" s="261"/>
      <c r="H69" s="7"/>
      <c r="I69" s="23">
        <f t="shared" si="16"/>
        <v>0</v>
      </c>
      <c r="J69" s="22"/>
      <c r="K69" s="7"/>
      <c r="L69" s="23">
        <f t="shared" si="17"/>
        <v>0</v>
      </c>
      <c r="M69" s="22"/>
      <c r="N69" s="7"/>
      <c r="O69" s="210">
        <f t="shared" si="18"/>
        <v>0</v>
      </c>
      <c r="P69" s="220"/>
      <c r="Q69" s="221">
        <f t="shared" si="1"/>
        <v>0</v>
      </c>
    </row>
    <row r="70" spans="1:17" ht="12.75">
      <c r="A70" s="33" t="s">
        <v>145</v>
      </c>
      <c r="B70" s="75"/>
      <c r="C70" s="139"/>
      <c r="D70" s="128">
        <f>143308.79</f>
        <v>143308.79</v>
      </c>
      <c r="E70" s="96"/>
      <c r="F70" s="190">
        <f t="shared" si="15"/>
        <v>143308.79</v>
      </c>
      <c r="G70" s="261"/>
      <c r="H70" s="7"/>
      <c r="I70" s="23">
        <f t="shared" si="16"/>
        <v>143308.79</v>
      </c>
      <c r="J70" s="22"/>
      <c r="K70" s="7"/>
      <c r="L70" s="23">
        <f t="shared" si="17"/>
        <v>143308.79</v>
      </c>
      <c r="M70" s="22"/>
      <c r="N70" s="7"/>
      <c r="O70" s="210">
        <f t="shared" si="18"/>
        <v>143308.79</v>
      </c>
      <c r="P70" s="220"/>
      <c r="Q70" s="221">
        <f t="shared" si="1"/>
        <v>143308.79</v>
      </c>
    </row>
    <row r="71" spans="1:17" ht="12.75" hidden="1">
      <c r="A71" s="33" t="s">
        <v>146</v>
      </c>
      <c r="B71" s="75"/>
      <c r="C71" s="139"/>
      <c r="D71" s="128"/>
      <c r="E71" s="96"/>
      <c r="F71" s="190">
        <f t="shared" si="15"/>
        <v>0</v>
      </c>
      <c r="G71" s="261"/>
      <c r="H71" s="7"/>
      <c r="I71" s="23">
        <f t="shared" si="16"/>
        <v>0</v>
      </c>
      <c r="J71" s="22"/>
      <c r="K71" s="7"/>
      <c r="L71" s="23">
        <f t="shared" si="17"/>
        <v>0</v>
      </c>
      <c r="M71" s="22"/>
      <c r="N71" s="7"/>
      <c r="O71" s="210">
        <f t="shared" si="18"/>
        <v>0</v>
      </c>
      <c r="P71" s="220"/>
      <c r="Q71" s="221">
        <f t="shared" si="1"/>
        <v>0</v>
      </c>
    </row>
    <row r="72" spans="1:17" ht="12.75">
      <c r="A72" s="33" t="s">
        <v>43</v>
      </c>
      <c r="B72" s="75"/>
      <c r="C72" s="139"/>
      <c r="D72" s="128">
        <f>360000</f>
        <v>360000</v>
      </c>
      <c r="E72" s="96"/>
      <c r="F72" s="190">
        <f t="shared" si="15"/>
        <v>360000</v>
      </c>
      <c r="G72" s="261"/>
      <c r="H72" s="7"/>
      <c r="I72" s="23">
        <f t="shared" si="16"/>
        <v>360000</v>
      </c>
      <c r="J72" s="22"/>
      <c r="K72" s="7"/>
      <c r="L72" s="23">
        <f t="shared" si="17"/>
        <v>360000</v>
      </c>
      <c r="M72" s="22"/>
      <c r="N72" s="7"/>
      <c r="O72" s="210">
        <f t="shared" si="18"/>
        <v>360000</v>
      </c>
      <c r="P72" s="220"/>
      <c r="Q72" s="221">
        <f t="shared" si="1"/>
        <v>360000</v>
      </c>
    </row>
    <row r="73" spans="1:17" ht="12.75" hidden="1">
      <c r="A73" s="33" t="s">
        <v>44</v>
      </c>
      <c r="B73" s="75"/>
      <c r="C73" s="139"/>
      <c r="D73" s="128"/>
      <c r="E73" s="96"/>
      <c r="F73" s="190">
        <f t="shared" si="15"/>
        <v>0</v>
      </c>
      <c r="G73" s="261"/>
      <c r="H73" s="7"/>
      <c r="I73" s="23">
        <f t="shared" si="16"/>
        <v>0</v>
      </c>
      <c r="J73" s="22"/>
      <c r="K73" s="7"/>
      <c r="L73" s="23">
        <f t="shared" si="17"/>
        <v>0</v>
      </c>
      <c r="M73" s="22"/>
      <c r="N73" s="7"/>
      <c r="O73" s="210">
        <f t="shared" si="18"/>
        <v>0</v>
      </c>
      <c r="P73" s="220"/>
      <c r="Q73" s="221">
        <f t="shared" si="1"/>
        <v>0</v>
      </c>
    </row>
    <row r="74" spans="1:17" ht="12.75" hidden="1">
      <c r="A74" s="33" t="s">
        <v>45</v>
      </c>
      <c r="B74" s="75"/>
      <c r="C74" s="139"/>
      <c r="D74" s="128"/>
      <c r="E74" s="96"/>
      <c r="F74" s="190">
        <f t="shared" si="15"/>
        <v>0</v>
      </c>
      <c r="G74" s="261"/>
      <c r="H74" s="7"/>
      <c r="I74" s="23">
        <f t="shared" si="16"/>
        <v>0</v>
      </c>
      <c r="J74" s="22"/>
      <c r="K74" s="7"/>
      <c r="L74" s="23">
        <f t="shared" si="17"/>
        <v>0</v>
      </c>
      <c r="M74" s="22"/>
      <c r="N74" s="7"/>
      <c r="O74" s="210">
        <f t="shared" si="18"/>
        <v>0</v>
      </c>
      <c r="P74" s="220"/>
      <c r="Q74" s="221">
        <f t="shared" si="1"/>
        <v>0</v>
      </c>
    </row>
    <row r="75" spans="1:17" ht="12.75" hidden="1">
      <c r="A75" s="33" t="s">
        <v>35</v>
      </c>
      <c r="B75" s="75"/>
      <c r="C75" s="139"/>
      <c r="D75" s="128"/>
      <c r="E75" s="96"/>
      <c r="F75" s="190">
        <f t="shared" si="15"/>
        <v>0</v>
      </c>
      <c r="G75" s="261"/>
      <c r="H75" s="7"/>
      <c r="I75" s="23">
        <f t="shared" si="16"/>
        <v>0</v>
      </c>
      <c r="J75" s="22"/>
      <c r="K75" s="7"/>
      <c r="L75" s="23">
        <f t="shared" si="17"/>
        <v>0</v>
      </c>
      <c r="M75" s="22"/>
      <c r="N75" s="7"/>
      <c r="O75" s="210">
        <f t="shared" si="18"/>
        <v>0</v>
      </c>
      <c r="P75" s="225"/>
      <c r="Q75" s="221">
        <f t="shared" si="1"/>
        <v>0</v>
      </c>
    </row>
    <row r="76" spans="1:17" ht="12.75" hidden="1">
      <c r="A76" s="33" t="s">
        <v>39</v>
      </c>
      <c r="B76" s="75"/>
      <c r="C76" s="139"/>
      <c r="D76" s="128"/>
      <c r="E76" s="96"/>
      <c r="F76" s="190">
        <f t="shared" si="15"/>
        <v>0</v>
      </c>
      <c r="G76" s="261"/>
      <c r="H76" s="7"/>
      <c r="I76" s="23">
        <f t="shared" si="16"/>
        <v>0</v>
      </c>
      <c r="J76" s="22"/>
      <c r="K76" s="7"/>
      <c r="L76" s="23">
        <f t="shared" si="17"/>
        <v>0</v>
      </c>
      <c r="M76" s="22"/>
      <c r="N76" s="7"/>
      <c r="O76" s="210">
        <f t="shared" si="18"/>
        <v>0</v>
      </c>
      <c r="P76" s="225"/>
      <c r="Q76" s="221">
        <f t="shared" si="1"/>
        <v>0</v>
      </c>
    </row>
    <row r="77" spans="1:17" ht="12.75" hidden="1">
      <c r="A77" s="33" t="s">
        <v>149</v>
      </c>
      <c r="B77" s="75"/>
      <c r="C77" s="139"/>
      <c r="D77" s="128"/>
      <c r="E77" s="96"/>
      <c r="F77" s="190">
        <f t="shared" si="15"/>
        <v>0</v>
      </c>
      <c r="G77" s="261"/>
      <c r="H77" s="7"/>
      <c r="I77" s="23">
        <f t="shared" si="16"/>
        <v>0</v>
      </c>
      <c r="J77" s="22"/>
      <c r="K77" s="7"/>
      <c r="L77" s="23">
        <f t="shared" si="17"/>
        <v>0</v>
      </c>
      <c r="M77" s="22"/>
      <c r="N77" s="7"/>
      <c r="O77" s="210">
        <f t="shared" si="18"/>
        <v>0</v>
      </c>
      <c r="P77" s="220"/>
      <c r="Q77" s="221">
        <f t="shared" si="1"/>
        <v>0</v>
      </c>
    </row>
    <row r="78" spans="1:17" ht="16.5" thickBot="1">
      <c r="A78" s="38" t="s">
        <v>46</v>
      </c>
      <c r="B78" s="79"/>
      <c r="C78" s="142">
        <f>C11+C17+C39+C62+C31</f>
        <v>5751704.72</v>
      </c>
      <c r="D78" s="130">
        <f aca="true" t="shared" si="19" ref="D78:Q78">D11+D17+D39+D62+D31</f>
        <v>12177604.510000004</v>
      </c>
      <c r="E78" s="101">
        <f t="shared" si="19"/>
        <v>0</v>
      </c>
      <c r="F78" s="192">
        <f t="shared" si="19"/>
        <v>17929309.230000004</v>
      </c>
      <c r="G78" s="226">
        <f t="shared" si="19"/>
        <v>0</v>
      </c>
      <c r="H78" s="101">
        <f t="shared" si="19"/>
        <v>0</v>
      </c>
      <c r="I78" s="165">
        <f t="shared" si="19"/>
        <v>17929299.490000002</v>
      </c>
      <c r="J78" s="100">
        <f t="shared" si="19"/>
        <v>0</v>
      </c>
      <c r="K78" s="101">
        <f t="shared" si="19"/>
        <v>0</v>
      </c>
      <c r="L78" s="165">
        <f t="shared" si="19"/>
        <v>17929299.490000002</v>
      </c>
      <c r="M78" s="100">
        <f t="shared" si="19"/>
        <v>0</v>
      </c>
      <c r="N78" s="101">
        <f t="shared" si="19"/>
        <v>0</v>
      </c>
      <c r="O78" s="192">
        <f t="shared" si="19"/>
        <v>17902812.770000003</v>
      </c>
      <c r="P78" s="226">
        <f t="shared" si="19"/>
        <v>0</v>
      </c>
      <c r="Q78" s="192">
        <f t="shared" si="19"/>
        <v>17902812.770000003</v>
      </c>
    </row>
    <row r="79" spans="1:17" ht="12.75">
      <c r="A79" s="30" t="s">
        <v>47</v>
      </c>
      <c r="B79" s="72"/>
      <c r="C79" s="138"/>
      <c r="D79" s="128"/>
      <c r="E79" s="96"/>
      <c r="F79" s="190"/>
      <c r="G79" s="261"/>
      <c r="H79" s="7"/>
      <c r="I79" s="23"/>
      <c r="J79" s="22"/>
      <c r="K79" s="7"/>
      <c r="L79" s="23"/>
      <c r="M79" s="22"/>
      <c r="N79" s="7"/>
      <c r="O79" s="210"/>
      <c r="P79" s="220"/>
      <c r="Q79" s="221"/>
    </row>
    <row r="80" spans="1:17" ht="12.75">
      <c r="A80" s="30" t="s">
        <v>61</v>
      </c>
      <c r="B80" s="84"/>
      <c r="C80" s="138">
        <f aca="true" t="shared" si="20" ref="C80:Q80">C81+C88</f>
        <v>112277</v>
      </c>
      <c r="D80" s="117">
        <f t="shared" si="20"/>
        <v>46800.56</v>
      </c>
      <c r="E80" s="95">
        <f t="shared" si="20"/>
        <v>0</v>
      </c>
      <c r="F80" s="189">
        <f t="shared" si="20"/>
        <v>159077.56</v>
      </c>
      <c r="G80" s="219">
        <f t="shared" si="20"/>
        <v>0</v>
      </c>
      <c r="H80" s="95">
        <f t="shared" si="20"/>
        <v>0</v>
      </c>
      <c r="I80" s="162">
        <f t="shared" si="20"/>
        <v>159077.56</v>
      </c>
      <c r="J80" s="94">
        <f t="shared" si="20"/>
        <v>0</v>
      </c>
      <c r="K80" s="95">
        <f t="shared" si="20"/>
        <v>0</v>
      </c>
      <c r="L80" s="162">
        <f t="shared" si="20"/>
        <v>159077.56</v>
      </c>
      <c r="M80" s="94">
        <f t="shared" si="20"/>
        <v>0</v>
      </c>
      <c r="N80" s="95">
        <f t="shared" si="20"/>
        <v>0</v>
      </c>
      <c r="O80" s="189">
        <f t="shared" si="20"/>
        <v>159077.56</v>
      </c>
      <c r="P80" s="219">
        <f t="shared" si="20"/>
        <v>0</v>
      </c>
      <c r="Q80" s="189">
        <f t="shared" si="20"/>
        <v>159077.56</v>
      </c>
    </row>
    <row r="81" spans="1:17" ht="12.75">
      <c r="A81" s="39" t="s">
        <v>49</v>
      </c>
      <c r="B81" s="84"/>
      <c r="C81" s="143">
        <f>SUM(C83:C87)</f>
        <v>69277</v>
      </c>
      <c r="D81" s="131">
        <f aca="true" t="shared" si="21" ref="D81:Q81">SUM(D83:D87)</f>
        <v>2652.21</v>
      </c>
      <c r="E81" s="103">
        <f t="shared" si="21"/>
        <v>0</v>
      </c>
      <c r="F81" s="193">
        <f t="shared" si="21"/>
        <v>71929.21</v>
      </c>
      <c r="G81" s="227">
        <f t="shared" si="21"/>
        <v>0</v>
      </c>
      <c r="H81" s="103">
        <f t="shared" si="21"/>
        <v>0</v>
      </c>
      <c r="I81" s="166">
        <f t="shared" si="21"/>
        <v>71929.21</v>
      </c>
      <c r="J81" s="102">
        <f t="shared" si="21"/>
        <v>0</v>
      </c>
      <c r="K81" s="103">
        <f t="shared" si="21"/>
        <v>0</v>
      </c>
      <c r="L81" s="166">
        <f t="shared" si="21"/>
        <v>71929.21</v>
      </c>
      <c r="M81" s="102">
        <f t="shared" si="21"/>
        <v>0</v>
      </c>
      <c r="N81" s="103">
        <f t="shared" si="21"/>
        <v>0</v>
      </c>
      <c r="O81" s="193">
        <f t="shared" si="21"/>
        <v>71929.21</v>
      </c>
      <c r="P81" s="227">
        <f t="shared" si="21"/>
        <v>0</v>
      </c>
      <c r="Q81" s="193">
        <f t="shared" si="21"/>
        <v>71929.21</v>
      </c>
    </row>
    <row r="82" spans="1:17" ht="12.75">
      <c r="A82" s="35" t="s">
        <v>26</v>
      </c>
      <c r="B82" s="80"/>
      <c r="C82" s="139"/>
      <c r="D82" s="128"/>
      <c r="E82" s="96"/>
      <c r="F82" s="189"/>
      <c r="G82" s="261"/>
      <c r="H82" s="7"/>
      <c r="I82" s="21"/>
      <c r="J82" s="22"/>
      <c r="K82" s="7"/>
      <c r="L82" s="21"/>
      <c r="M82" s="22"/>
      <c r="N82" s="7"/>
      <c r="O82" s="209"/>
      <c r="P82" s="220"/>
      <c r="Q82" s="221"/>
    </row>
    <row r="83" spans="1:17" ht="12.75">
      <c r="A83" s="33" t="s">
        <v>51</v>
      </c>
      <c r="B83" s="80"/>
      <c r="C83" s="139">
        <v>7889</v>
      </c>
      <c r="D83" s="128"/>
      <c r="E83" s="96"/>
      <c r="F83" s="190">
        <f>C83+D83+E83</f>
        <v>7889</v>
      </c>
      <c r="G83" s="261"/>
      <c r="H83" s="7"/>
      <c r="I83" s="23">
        <f>F83+G83+H83</f>
        <v>7889</v>
      </c>
      <c r="J83" s="22"/>
      <c r="K83" s="7"/>
      <c r="L83" s="23">
        <f>I83+J83+K83</f>
        <v>7889</v>
      </c>
      <c r="M83" s="22"/>
      <c r="N83" s="7"/>
      <c r="O83" s="210">
        <f>L83+M83+N83</f>
        <v>7889</v>
      </c>
      <c r="P83" s="220"/>
      <c r="Q83" s="221">
        <f>O83+P83</f>
        <v>7889</v>
      </c>
    </row>
    <row r="84" spans="1:17" ht="12.75" hidden="1">
      <c r="A84" s="33" t="s">
        <v>63</v>
      </c>
      <c r="B84" s="80"/>
      <c r="C84" s="139"/>
      <c r="D84" s="128"/>
      <c r="E84" s="96"/>
      <c r="F84" s="190">
        <f>C84+D84+E84</f>
        <v>0</v>
      </c>
      <c r="G84" s="261"/>
      <c r="H84" s="7"/>
      <c r="I84" s="23">
        <f>F84+G84+H84</f>
        <v>0</v>
      </c>
      <c r="J84" s="22"/>
      <c r="K84" s="7"/>
      <c r="L84" s="23">
        <f>I84+J84+K84</f>
        <v>0</v>
      </c>
      <c r="M84" s="22"/>
      <c r="N84" s="7"/>
      <c r="O84" s="210">
        <f>L84+M84+N84</f>
        <v>0</v>
      </c>
      <c r="P84" s="220"/>
      <c r="Q84" s="221">
        <f>O84+P84</f>
        <v>0</v>
      </c>
    </row>
    <row r="85" spans="1:17" ht="12.75">
      <c r="A85" s="37" t="s">
        <v>193</v>
      </c>
      <c r="B85" s="80"/>
      <c r="C85" s="139">
        <v>61388</v>
      </c>
      <c r="D85" s="128"/>
      <c r="E85" s="96"/>
      <c r="F85" s="190">
        <f>C85+D85+E85</f>
        <v>61388</v>
      </c>
      <c r="G85" s="261"/>
      <c r="H85" s="7"/>
      <c r="I85" s="23">
        <f>F85+G85+H85</f>
        <v>61388</v>
      </c>
      <c r="J85" s="22"/>
      <c r="K85" s="7"/>
      <c r="L85" s="23">
        <f>I85+J85+K85</f>
        <v>61388</v>
      </c>
      <c r="M85" s="22"/>
      <c r="N85" s="7"/>
      <c r="O85" s="210">
        <f>L85+M85+N85</f>
        <v>61388</v>
      </c>
      <c r="P85" s="220"/>
      <c r="Q85" s="221">
        <f>O85+P85</f>
        <v>61388</v>
      </c>
    </row>
    <row r="86" spans="1:17" ht="12.75" hidden="1">
      <c r="A86" s="33" t="s">
        <v>72</v>
      </c>
      <c r="B86" s="80"/>
      <c r="C86" s="139"/>
      <c r="D86" s="128"/>
      <c r="E86" s="96"/>
      <c r="F86" s="190">
        <f>C86+D86+E86</f>
        <v>0</v>
      </c>
      <c r="G86" s="261"/>
      <c r="H86" s="7"/>
      <c r="I86" s="23">
        <f>F86+G86+H86</f>
        <v>0</v>
      </c>
      <c r="J86" s="22"/>
      <c r="K86" s="7"/>
      <c r="L86" s="23">
        <f>I86+J86+K86</f>
        <v>0</v>
      </c>
      <c r="M86" s="22"/>
      <c r="N86" s="7"/>
      <c r="O86" s="210">
        <f>L86+M86+N86</f>
        <v>0</v>
      </c>
      <c r="P86" s="220"/>
      <c r="Q86" s="221">
        <f>O86+P86</f>
        <v>0</v>
      </c>
    </row>
    <row r="87" spans="1:17" ht="12.75">
      <c r="A87" s="32" t="s">
        <v>64</v>
      </c>
      <c r="B87" s="80"/>
      <c r="C87" s="139"/>
      <c r="D87" s="128">
        <f>2652.21</f>
        <v>2652.21</v>
      </c>
      <c r="E87" s="96"/>
      <c r="F87" s="190">
        <f>C87+D87+E87</f>
        <v>2652.21</v>
      </c>
      <c r="G87" s="261"/>
      <c r="H87" s="7"/>
      <c r="I87" s="23">
        <f>F87+G87+H87</f>
        <v>2652.21</v>
      </c>
      <c r="J87" s="22"/>
      <c r="K87" s="7"/>
      <c r="L87" s="23">
        <f>I87+J87+K87</f>
        <v>2652.21</v>
      </c>
      <c r="M87" s="22"/>
      <c r="N87" s="7"/>
      <c r="O87" s="210">
        <f>L87+M87+N87</f>
        <v>2652.21</v>
      </c>
      <c r="P87" s="220"/>
      <c r="Q87" s="221">
        <f>O87+P87</f>
        <v>2652.21</v>
      </c>
    </row>
    <row r="88" spans="1:17" ht="12.75">
      <c r="A88" s="40" t="s">
        <v>53</v>
      </c>
      <c r="B88" s="84"/>
      <c r="C88" s="144">
        <f>SUM(C90:C96)</f>
        <v>43000</v>
      </c>
      <c r="D88" s="132">
        <f aca="true" t="shared" si="22" ref="D88:Q88">SUM(D90:D96)</f>
        <v>44148.35</v>
      </c>
      <c r="E88" s="106">
        <f t="shared" si="22"/>
        <v>0</v>
      </c>
      <c r="F88" s="194">
        <f t="shared" si="22"/>
        <v>87148.35</v>
      </c>
      <c r="G88" s="228">
        <f t="shared" si="22"/>
        <v>0</v>
      </c>
      <c r="H88" s="106">
        <f t="shared" si="22"/>
        <v>0</v>
      </c>
      <c r="I88" s="167">
        <f t="shared" si="22"/>
        <v>87148.35</v>
      </c>
      <c r="J88" s="105">
        <f t="shared" si="22"/>
        <v>0</v>
      </c>
      <c r="K88" s="106">
        <f t="shared" si="22"/>
        <v>0</v>
      </c>
      <c r="L88" s="167">
        <f t="shared" si="22"/>
        <v>87148.35</v>
      </c>
      <c r="M88" s="105">
        <f t="shared" si="22"/>
        <v>0</v>
      </c>
      <c r="N88" s="106">
        <f t="shared" si="22"/>
        <v>0</v>
      </c>
      <c r="O88" s="194">
        <f t="shared" si="22"/>
        <v>87148.35</v>
      </c>
      <c r="P88" s="228">
        <f t="shared" si="22"/>
        <v>0</v>
      </c>
      <c r="Q88" s="194">
        <f t="shared" si="22"/>
        <v>87148.35</v>
      </c>
    </row>
    <row r="89" spans="1:17" ht="12.75">
      <c r="A89" s="31" t="s">
        <v>26</v>
      </c>
      <c r="B89" s="80"/>
      <c r="C89" s="141"/>
      <c r="D89" s="129"/>
      <c r="E89" s="99"/>
      <c r="F89" s="191"/>
      <c r="G89" s="262"/>
      <c r="H89" s="8"/>
      <c r="I89" s="25"/>
      <c r="J89" s="24"/>
      <c r="K89" s="8"/>
      <c r="L89" s="25"/>
      <c r="M89" s="24"/>
      <c r="N89" s="8"/>
      <c r="O89" s="212"/>
      <c r="P89" s="220"/>
      <c r="Q89" s="221"/>
    </row>
    <row r="90" spans="1:17" ht="13.5" thickBot="1">
      <c r="A90" s="270" t="s">
        <v>267</v>
      </c>
      <c r="B90" s="271"/>
      <c r="C90" s="272"/>
      <c r="D90" s="273">
        <f>1838.82</f>
        <v>1838.82</v>
      </c>
      <c r="E90" s="274"/>
      <c r="F90" s="275">
        <f aca="true" t="shared" si="23" ref="F90:F96">C90+D90+E90</f>
        <v>1838.82</v>
      </c>
      <c r="G90" s="261"/>
      <c r="H90" s="7"/>
      <c r="I90" s="23">
        <f>F90+G90+H90</f>
        <v>1838.82</v>
      </c>
      <c r="J90" s="22"/>
      <c r="K90" s="7"/>
      <c r="L90" s="23">
        <f aca="true" t="shared" si="24" ref="L90:L96">I90+J90+K90</f>
        <v>1838.82</v>
      </c>
      <c r="M90" s="22"/>
      <c r="N90" s="7"/>
      <c r="O90" s="210">
        <f>L90+M90+N90</f>
        <v>1838.82</v>
      </c>
      <c r="P90" s="220"/>
      <c r="Q90" s="221">
        <f aca="true" t="shared" si="25" ref="Q90:Q96">O90+P90</f>
        <v>1838.82</v>
      </c>
    </row>
    <row r="91" spans="1:17" ht="12.75">
      <c r="A91" s="37" t="s">
        <v>225</v>
      </c>
      <c r="B91" s="80"/>
      <c r="C91" s="139">
        <v>10000</v>
      </c>
      <c r="D91" s="128">
        <f>19000</f>
        <v>19000</v>
      </c>
      <c r="E91" s="96"/>
      <c r="F91" s="190">
        <f t="shared" si="23"/>
        <v>29000</v>
      </c>
      <c r="G91" s="261"/>
      <c r="H91" s="7"/>
      <c r="I91" s="23">
        <f aca="true" t="shared" si="26" ref="I91:I96">F91+G91+H91</f>
        <v>29000</v>
      </c>
      <c r="J91" s="22"/>
      <c r="K91" s="7"/>
      <c r="L91" s="23">
        <f t="shared" si="24"/>
        <v>29000</v>
      </c>
      <c r="M91" s="22"/>
      <c r="N91" s="7"/>
      <c r="O91" s="210">
        <f aca="true" t="shared" si="27" ref="O91:O96">L91+M91+N91</f>
        <v>29000</v>
      </c>
      <c r="P91" s="220"/>
      <c r="Q91" s="221">
        <f t="shared" si="25"/>
        <v>29000</v>
      </c>
    </row>
    <row r="92" spans="1:17" ht="12.75" hidden="1">
      <c r="A92" s="32" t="s">
        <v>54</v>
      </c>
      <c r="B92" s="80"/>
      <c r="C92" s="139"/>
      <c r="D92" s="128"/>
      <c r="E92" s="96"/>
      <c r="F92" s="190">
        <f t="shared" si="23"/>
        <v>0</v>
      </c>
      <c r="G92" s="261"/>
      <c r="H92" s="7"/>
      <c r="I92" s="23">
        <f t="shared" si="26"/>
        <v>0</v>
      </c>
      <c r="J92" s="22"/>
      <c r="K92" s="7"/>
      <c r="L92" s="23">
        <f t="shared" si="24"/>
        <v>0</v>
      </c>
      <c r="M92" s="22"/>
      <c r="N92" s="7"/>
      <c r="O92" s="210">
        <f t="shared" si="27"/>
        <v>0</v>
      </c>
      <c r="P92" s="220"/>
      <c r="Q92" s="221">
        <f t="shared" si="25"/>
        <v>0</v>
      </c>
    </row>
    <row r="93" spans="1:17" ht="12.75" hidden="1">
      <c r="A93" s="33" t="s">
        <v>192</v>
      </c>
      <c r="B93" s="80"/>
      <c r="C93" s="139"/>
      <c r="D93" s="128"/>
      <c r="E93" s="96"/>
      <c r="F93" s="190">
        <f t="shared" si="23"/>
        <v>0</v>
      </c>
      <c r="G93" s="261"/>
      <c r="H93" s="7"/>
      <c r="I93" s="23">
        <f t="shared" si="26"/>
        <v>0</v>
      </c>
      <c r="J93" s="22"/>
      <c r="K93" s="7"/>
      <c r="L93" s="23">
        <f t="shared" si="24"/>
        <v>0</v>
      </c>
      <c r="M93" s="22"/>
      <c r="N93" s="7"/>
      <c r="O93" s="210">
        <f t="shared" si="27"/>
        <v>0</v>
      </c>
      <c r="P93" s="220"/>
      <c r="Q93" s="221">
        <f t="shared" si="25"/>
        <v>0</v>
      </c>
    </row>
    <row r="94" spans="1:17" ht="12.75" hidden="1">
      <c r="A94" s="33" t="s">
        <v>72</v>
      </c>
      <c r="B94" s="80"/>
      <c r="C94" s="139"/>
      <c r="D94" s="128"/>
      <c r="E94" s="96"/>
      <c r="F94" s="190">
        <f t="shared" si="23"/>
        <v>0</v>
      </c>
      <c r="G94" s="261"/>
      <c r="H94" s="7"/>
      <c r="I94" s="23">
        <f t="shared" si="26"/>
        <v>0</v>
      </c>
      <c r="J94" s="22"/>
      <c r="K94" s="7"/>
      <c r="L94" s="23">
        <f t="shared" si="24"/>
        <v>0</v>
      </c>
      <c r="M94" s="22"/>
      <c r="N94" s="7"/>
      <c r="O94" s="210">
        <f t="shared" si="27"/>
        <v>0</v>
      </c>
      <c r="P94" s="220"/>
      <c r="Q94" s="221">
        <f t="shared" si="25"/>
        <v>0</v>
      </c>
    </row>
    <row r="95" spans="1:17" ht="12.75">
      <c r="A95" s="33" t="s">
        <v>230</v>
      </c>
      <c r="B95" s="80"/>
      <c r="C95" s="139">
        <v>3000</v>
      </c>
      <c r="D95" s="128"/>
      <c r="E95" s="96"/>
      <c r="F95" s="190">
        <f t="shared" si="23"/>
        <v>3000</v>
      </c>
      <c r="G95" s="261"/>
      <c r="H95" s="7"/>
      <c r="I95" s="23">
        <f t="shared" si="26"/>
        <v>3000</v>
      </c>
      <c r="J95" s="22"/>
      <c r="K95" s="7"/>
      <c r="L95" s="23">
        <f t="shared" si="24"/>
        <v>3000</v>
      </c>
      <c r="M95" s="22"/>
      <c r="N95" s="7"/>
      <c r="O95" s="210">
        <f t="shared" si="27"/>
        <v>3000</v>
      </c>
      <c r="P95" s="220"/>
      <c r="Q95" s="221">
        <f t="shared" si="25"/>
        <v>3000</v>
      </c>
    </row>
    <row r="96" spans="1:17" ht="12.75">
      <c r="A96" s="41" t="s">
        <v>64</v>
      </c>
      <c r="B96" s="83"/>
      <c r="C96" s="253">
        <v>30000</v>
      </c>
      <c r="D96" s="244">
        <f>23309.53</f>
        <v>23309.53</v>
      </c>
      <c r="E96" s="104"/>
      <c r="F96" s="195">
        <f t="shared" si="23"/>
        <v>53309.53</v>
      </c>
      <c r="G96" s="263"/>
      <c r="H96" s="10"/>
      <c r="I96" s="27">
        <f t="shared" si="26"/>
        <v>53309.53</v>
      </c>
      <c r="J96" s="26"/>
      <c r="K96" s="10"/>
      <c r="L96" s="27">
        <f t="shared" si="24"/>
        <v>53309.53</v>
      </c>
      <c r="M96" s="26"/>
      <c r="N96" s="10"/>
      <c r="O96" s="213">
        <f t="shared" si="27"/>
        <v>53309.53</v>
      </c>
      <c r="P96" s="229"/>
      <c r="Q96" s="230">
        <f t="shared" si="25"/>
        <v>53309.53</v>
      </c>
    </row>
    <row r="97" spans="1:17" ht="12.75">
      <c r="A97" s="30" t="s">
        <v>294</v>
      </c>
      <c r="B97" s="84"/>
      <c r="C97" s="138">
        <f>C98+C102</f>
        <v>29374.5</v>
      </c>
      <c r="D97" s="117">
        <f aca="true" t="shared" si="28" ref="D97:Q97">D98+D102</f>
        <v>31250.47</v>
      </c>
      <c r="E97" s="95">
        <f t="shared" si="28"/>
        <v>0</v>
      </c>
      <c r="F97" s="189">
        <f t="shared" si="28"/>
        <v>60624.97</v>
      </c>
      <c r="G97" s="219">
        <f t="shared" si="28"/>
        <v>0</v>
      </c>
      <c r="H97" s="95">
        <f t="shared" si="28"/>
        <v>0</v>
      </c>
      <c r="I97" s="162">
        <f t="shared" si="28"/>
        <v>60074.43000000001</v>
      </c>
      <c r="J97" s="94">
        <f t="shared" si="28"/>
        <v>0</v>
      </c>
      <c r="K97" s="95">
        <f t="shared" si="28"/>
        <v>0</v>
      </c>
      <c r="L97" s="162">
        <f t="shared" si="28"/>
        <v>60074.43000000001</v>
      </c>
      <c r="M97" s="94">
        <f t="shared" si="28"/>
        <v>0</v>
      </c>
      <c r="N97" s="95">
        <f t="shared" si="28"/>
        <v>0</v>
      </c>
      <c r="O97" s="189">
        <f t="shared" si="28"/>
        <v>60074.43000000001</v>
      </c>
      <c r="P97" s="219">
        <f t="shared" si="28"/>
        <v>0</v>
      </c>
      <c r="Q97" s="189">
        <f t="shared" si="28"/>
        <v>60074.43000000001</v>
      </c>
    </row>
    <row r="98" spans="1:17" ht="12.75">
      <c r="A98" s="39" t="s">
        <v>49</v>
      </c>
      <c r="B98" s="84"/>
      <c r="C98" s="143">
        <f>SUM(C100:C101)</f>
        <v>29374.5</v>
      </c>
      <c r="D98" s="131">
        <f>SUM(D100:D101)</f>
        <v>10212.91</v>
      </c>
      <c r="E98" s="103">
        <f aca="true" t="shared" si="29" ref="E98:Q98">SUM(E100:E100)</f>
        <v>0</v>
      </c>
      <c r="F98" s="193">
        <f>SUM(F100:F101)</f>
        <v>39587.41</v>
      </c>
      <c r="G98" s="227">
        <f t="shared" si="29"/>
        <v>0</v>
      </c>
      <c r="H98" s="103">
        <f t="shared" si="29"/>
        <v>0</v>
      </c>
      <c r="I98" s="166">
        <f t="shared" si="29"/>
        <v>39036.87</v>
      </c>
      <c r="J98" s="102">
        <f t="shared" si="29"/>
        <v>0</v>
      </c>
      <c r="K98" s="103">
        <f t="shared" si="29"/>
        <v>0</v>
      </c>
      <c r="L98" s="166">
        <f t="shared" si="29"/>
        <v>39036.87</v>
      </c>
      <c r="M98" s="102">
        <f t="shared" si="29"/>
        <v>0</v>
      </c>
      <c r="N98" s="103">
        <f t="shared" si="29"/>
        <v>0</v>
      </c>
      <c r="O98" s="193">
        <f t="shared" si="29"/>
        <v>39036.87</v>
      </c>
      <c r="P98" s="227">
        <f t="shared" si="29"/>
        <v>0</v>
      </c>
      <c r="Q98" s="193">
        <f t="shared" si="29"/>
        <v>39036.87</v>
      </c>
    </row>
    <row r="99" spans="1:17" ht="12.75">
      <c r="A99" s="35" t="s">
        <v>26</v>
      </c>
      <c r="B99" s="80"/>
      <c r="C99" s="139"/>
      <c r="D99" s="128"/>
      <c r="E99" s="96"/>
      <c r="F99" s="190"/>
      <c r="G99" s="261"/>
      <c r="H99" s="7"/>
      <c r="I99" s="23"/>
      <c r="J99" s="22"/>
      <c r="K99" s="7"/>
      <c r="L99" s="23"/>
      <c r="M99" s="22"/>
      <c r="N99" s="7"/>
      <c r="O99" s="210"/>
      <c r="P99" s="220"/>
      <c r="Q99" s="221"/>
    </row>
    <row r="100" spans="1:17" ht="12.75">
      <c r="A100" s="33" t="s">
        <v>51</v>
      </c>
      <c r="B100" s="80"/>
      <c r="C100" s="139">
        <v>29374.5</v>
      </c>
      <c r="D100" s="128">
        <f>9662.37</f>
        <v>9662.37</v>
      </c>
      <c r="E100" s="96"/>
      <c r="F100" s="190">
        <f>C100+D100+E100</f>
        <v>39036.87</v>
      </c>
      <c r="G100" s="261"/>
      <c r="H100" s="7"/>
      <c r="I100" s="23">
        <f>F100+G100+H100</f>
        <v>39036.87</v>
      </c>
      <c r="J100" s="22"/>
      <c r="K100" s="7"/>
      <c r="L100" s="23">
        <f>I100+J100+K100</f>
        <v>39036.87</v>
      </c>
      <c r="M100" s="22"/>
      <c r="N100" s="7"/>
      <c r="O100" s="210">
        <f>L100+M100+N100</f>
        <v>39036.87</v>
      </c>
      <c r="P100" s="220"/>
      <c r="Q100" s="221">
        <f>O100+P100</f>
        <v>39036.87</v>
      </c>
    </row>
    <row r="101" spans="1:17" ht="12.75">
      <c r="A101" s="33" t="s">
        <v>72</v>
      </c>
      <c r="B101" s="80"/>
      <c r="C101" s="139"/>
      <c r="D101" s="128">
        <f>307.63+242.91</f>
        <v>550.54</v>
      </c>
      <c r="E101" s="96"/>
      <c r="F101" s="190">
        <f>C101+D101+E101</f>
        <v>550.54</v>
      </c>
      <c r="G101" s="261"/>
      <c r="H101" s="7"/>
      <c r="I101" s="23"/>
      <c r="J101" s="22"/>
      <c r="K101" s="7"/>
      <c r="L101" s="23"/>
      <c r="M101" s="22"/>
      <c r="N101" s="7"/>
      <c r="O101" s="210"/>
      <c r="P101" s="220"/>
      <c r="Q101" s="221"/>
    </row>
    <row r="102" spans="1:17" ht="12.75">
      <c r="A102" s="39" t="s">
        <v>53</v>
      </c>
      <c r="B102" s="84"/>
      <c r="C102" s="143">
        <f>C104+C105</f>
        <v>0</v>
      </c>
      <c r="D102" s="131">
        <f>D104+D105</f>
        <v>21037.56</v>
      </c>
      <c r="E102" s="103">
        <f aca="true" t="shared" si="30" ref="E102:Q102">E105</f>
        <v>0</v>
      </c>
      <c r="F102" s="193">
        <f>F104+F105</f>
        <v>21037.56</v>
      </c>
      <c r="G102" s="227">
        <f t="shared" si="30"/>
        <v>0</v>
      </c>
      <c r="H102" s="103">
        <f t="shared" si="30"/>
        <v>0</v>
      </c>
      <c r="I102" s="166">
        <f t="shared" si="30"/>
        <v>21037.56</v>
      </c>
      <c r="J102" s="102">
        <f t="shared" si="30"/>
        <v>0</v>
      </c>
      <c r="K102" s="103">
        <f t="shared" si="30"/>
        <v>0</v>
      </c>
      <c r="L102" s="166">
        <f t="shared" si="30"/>
        <v>21037.56</v>
      </c>
      <c r="M102" s="102">
        <f t="shared" si="30"/>
        <v>0</v>
      </c>
      <c r="N102" s="103">
        <f t="shared" si="30"/>
        <v>0</v>
      </c>
      <c r="O102" s="193">
        <f t="shared" si="30"/>
        <v>21037.56</v>
      </c>
      <c r="P102" s="227">
        <f t="shared" si="30"/>
        <v>0</v>
      </c>
      <c r="Q102" s="193">
        <f t="shared" si="30"/>
        <v>21037.56</v>
      </c>
    </row>
    <row r="103" spans="1:17" ht="12.75">
      <c r="A103" s="35" t="s">
        <v>26</v>
      </c>
      <c r="B103" s="80"/>
      <c r="C103" s="139"/>
      <c r="D103" s="128"/>
      <c r="E103" s="96"/>
      <c r="F103" s="190"/>
      <c r="G103" s="261"/>
      <c r="H103" s="7"/>
      <c r="I103" s="23"/>
      <c r="J103" s="22"/>
      <c r="K103" s="7"/>
      <c r="L103" s="23"/>
      <c r="M103" s="22"/>
      <c r="N103" s="7"/>
      <c r="O103" s="210"/>
      <c r="P103" s="220"/>
      <c r="Q103" s="221"/>
    </row>
    <row r="104" spans="1:17" ht="12.75" hidden="1">
      <c r="A104" s="78" t="s">
        <v>54</v>
      </c>
      <c r="B104" s="80"/>
      <c r="C104" s="139"/>
      <c r="D104" s="128"/>
      <c r="E104" s="96"/>
      <c r="F104" s="190">
        <f>C104+D104+E104</f>
        <v>0</v>
      </c>
      <c r="G104" s="261"/>
      <c r="H104" s="7"/>
      <c r="I104" s="23"/>
      <c r="J104" s="22"/>
      <c r="K104" s="7"/>
      <c r="L104" s="23"/>
      <c r="M104" s="22"/>
      <c r="N104" s="7"/>
      <c r="O104" s="210"/>
      <c r="P104" s="220"/>
      <c r="Q104" s="221"/>
    </row>
    <row r="105" spans="1:17" ht="12.75">
      <c r="A105" s="137" t="s">
        <v>73</v>
      </c>
      <c r="B105" s="83"/>
      <c r="C105" s="253"/>
      <c r="D105" s="244">
        <f>17763.45+3274.11</f>
        <v>21037.56</v>
      </c>
      <c r="E105" s="104"/>
      <c r="F105" s="195">
        <f>C105+D105+E105</f>
        <v>21037.56</v>
      </c>
      <c r="G105" s="263"/>
      <c r="H105" s="10"/>
      <c r="I105" s="27">
        <f>F105+G105+H105</f>
        <v>21037.56</v>
      </c>
      <c r="J105" s="26"/>
      <c r="K105" s="10"/>
      <c r="L105" s="27">
        <f>I105+J105+K105</f>
        <v>21037.56</v>
      </c>
      <c r="M105" s="26"/>
      <c r="N105" s="10"/>
      <c r="O105" s="213">
        <f>L105+M105+N105</f>
        <v>21037.56</v>
      </c>
      <c r="P105" s="229"/>
      <c r="Q105" s="230">
        <f>O105+P105</f>
        <v>21037.56</v>
      </c>
    </row>
    <row r="106" spans="1:17" ht="12.75">
      <c r="A106" s="34" t="s">
        <v>66</v>
      </c>
      <c r="B106" s="84"/>
      <c r="C106" s="141">
        <f>C107+C114</f>
        <v>10901.86</v>
      </c>
      <c r="D106" s="129">
        <f aca="true" t="shared" si="31" ref="D106:Q106">D107+D114</f>
        <v>3798</v>
      </c>
      <c r="E106" s="99">
        <f t="shared" si="31"/>
        <v>0</v>
      </c>
      <c r="F106" s="191">
        <f t="shared" si="31"/>
        <v>14699.86</v>
      </c>
      <c r="G106" s="223">
        <f t="shared" si="31"/>
        <v>0</v>
      </c>
      <c r="H106" s="99">
        <f t="shared" si="31"/>
        <v>0</v>
      </c>
      <c r="I106" s="164">
        <f t="shared" si="31"/>
        <v>14699.86</v>
      </c>
      <c r="J106" s="98">
        <f t="shared" si="31"/>
        <v>0</v>
      </c>
      <c r="K106" s="99">
        <f t="shared" si="31"/>
        <v>0</v>
      </c>
      <c r="L106" s="164">
        <f t="shared" si="31"/>
        <v>14699.86</v>
      </c>
      <c r="M106" s="98">
        <f t="shared" si="31"/>
        <v>0</v>
      </c>
      <c r="N106" s="99">
        <f t="shared" si="31"/>
        <v>0</v>
      </c>
      <c r="O106" s="191">
        <f t="shared" si="31"/>
        <v>14699.86</v>
      </c>
      <c r="P106" s="223">
        <f t="shared" si="31"/>
        <v>0</v>
      </c>
      <c r="Q106" s="191">
        <f t="shared" si="31"/>
        <v>14699.86</v>
      </c>
    </row>
    <row r="107" spans="1:17" ht="12.75">
      <c r="A107" s="39" t="s">
        <v>49</v>
      </c>
      <c r="B107" s="84"/>
      <c r="C107" s="143">
        <f>SUM(C109:C113)</f>
        <v>10901.86</v>
      </c>
      <c r="D107" s="131">
        <f aca="true" t="shared" si="32" ref="D107:Q107">SUM(D109:D113)</f>
        <v>3798</v>
      </c>
      <c r="E107" s="103">
        <f t="shared" si="32"/>
        <v>0</v>
      </c>
      <c r="F107" s="193">
        <f t="shared" si="32"/>
        <v>14699.86</v>
      </c>
      <c r="G107" s="227">
        <f t="shared" si="32"/>
        <v>0</v>
      </c>
      <c r="H107" s="103">
        <f t="shared" si="32"/>
        <v>0</v>
      </c>
      <c r="I107" s="166">
        <f t="shared" si="32"/>
        <v>14699.86</v>
      </c>
      <c r="J107" s="102">
        <f t="shared" si="32"/>
        <v>0</v>
      </c>
      <c r="K107" s="103">
        <f t="shared" si="32"/>
        <v>0</v>
      </c>
      <c r="L107" s="166">
        <f t="shared" si="32"/>
        <v>14699.86</v>
      </c>
      <c r="M107" s="102">
        <f t="shared" si="32"/>
        <v>0</v>
      </c>
      <c r="N107" s="103">
        <f t="shared" si="32"/>
        <v>0</v>
      </c>
      <c r="O107" s="193">
        <f t="shared" si="32"/>
        <v>14699.86</v>
      </c>
      <c r="P107" s="227">
        <f t="shared" si="32"/>
        <v>0</v>
      </c>
      <c r="Q107" s="193">
        <f t="shared" si="32"/>
        <v>14699.86</v>
      </c>
    </row>
    <row r="108" spans="1:17" ht="12.75">
      <c r="A108" s="35" t="s">
        <v>26</v>
      </c>
      <c r="B108" s="80"/>
      <c r="C108" s="139"/>
      <c r="D108" s="128"/>
      <c r="E108" s="96"/>
      <c r="F108" s="189"/>
      <c r="G108" s="261"/>
      <c r="H108" s="7"/>
      <c r="I108" s="21"/>
      <c r="J108" s="22"/>
      <c r="K108" s="7"/>
      <c r="L108" s="21"/>
      <c r="M108" s="22"/>
      <c r="N108" s="7"/>
      <c r="O108" s="209"/>
      <c r="P108" s="220"/>
      <c r="Q108" s="221"/>
    </row>
    <row r="109" spans="1:17" ht="12.75">
      <c r="A109" s="36" t="s">
        <v>51</v>
      </c>
      <c r="B109" s="83"/>
      <c r="C109" s="253">
        <v>10901.86</v>
      </c>
      <c r="D109" s="244">
        <f>-348+4146</f>
        <v>3798</v>
      </c>
      <c r="E109" s="104"/>
      <c r="F109" s="195">
        <f>C109+D109+E109</f>
        <v>14699.86</v>
      </c>
      <c r="G109" s="261"/>
      <c r="H109" s="7"/>
      <c r="I109" s="23">
        <f>SUM(F109:H109)</f>
        <v>14699.86</v>
      </c>
      <c r="J109" s="22"/>
      <c r="K109" s="7"/>
      <c r="L109" s="23">
        <f>I109+J109+K109</f>
        <v>14699.86</v>
      </c>
      <c r="M109" s="22"/>
      <c r="N109" s="7"/>
      <c r="O109" s="210">
        <f>L109+M109+N109</f>
        <v>14699.86</v>
      </c>
      <c r="P109" s="220"/>
      <c r="Q109" s="221">
        <f>O109+P109</f>
        <v>14699.86</v>
      </c>
    </row>
    <row r="110" spans="1:17" ht="12.75" hidden="1">
      <c r="A110" s="155" t="s">
        <v>73</v>
      </c>
      <c r="B110" s="80">
        <v>1245</v>
      </c>
      <c r="C110" s="139"/>
      <c r="D110" s="128"/>
      <c r="E110" s="96"/>
      <c r="F110" s="190">
        <f>C110+D110+E110</f>
        <v>0</v>
      </c>
      <c r="G110" s="261"/>
      <c r="H110" s="7"/>
      <c r="I110" s="23">
        <f>SUM(F110:H110)</f>
        <v>0</v>
      </c>
      <c r="J110" s="22"/>
      <c r="K110" s="7"/>
      <c r="L110" s="23">
        <f>I110+J110+K110</f>
        <v>0</v>
      </c>
      <c r="M110" s="22"/>
      <c r="N110" s="7"/>
      <c r="O110" s="210">
        <f>L110+M110+N110</f>
        <v>0</v>
      </c>
      <c r="P110" s="220"/>
      <c r="Q110" s="221">
        <f>O110+P110</f>
        <v>0</v>
      </c>
    </row>
    <row r="111" spans="1:17" ht="12.75" hidden="1">
      <c r="A111" s="37" t="s">
        <v>67</v>
      </c>
      <c r="B111" s="80">
        <v>33166</v>
      </c>
      <c r="C111" s="139"/>
      <c r="D111" s="128"/>
      <c r="E111" s="96"/>
      <c r="F111" s="190">
        <f>C111+D111+E111</f>
        <v>0</v>
      </c>
      <c r="G111" s="261"/>
      <c r="H111" s="7"/>
      <c r="I111" s="23">
        <f>SUM(F111:H111)</f>
        <v>0</v>
      </c>
      <c r="J111" s="22"/>
      <c r="K111" s="7"/>
      <c r="L111" s="23">
        <f>I111+J111+K111</f>
        <v>0</v>
      </c>
      <c r="M111" s="22"/>
      <c r="N111" s="7"/>
      <c r="O111" s="210">
        <f>L111+M111+N111</f>
        <v>0</v>
      </c>
      <c r="P111" s="220"/>
      <c r="Q111" s="221">
        <f>O111+P111</f>
        <v>0</v>
      </c>
    </row>
    <row r="112" spans="1:17" ht="12.75" hidden="1">
      <c r="A112" s="37" t="s">
        <v>256</v>
      </c>
      <c r="B112" s="80">
        <v>33064</v>
      </c>
      <c r="C112" s="139"/>
      <c r="D112" s="128"/>
      <c r="E112" s="96"/>
      <c r="F112" s="190">
        <f>C112+D112+E112</f>
        <v>0</v>
      </c>
      <c r="G112" s="261"/>
      <c r="H112" s="7"/>
      <c r="I112" s="23">
        <f>SUM(F112:H112)</f>
        <v>0</v>
      </c>
      <c r="J112" s="22"/>
      <c r="K112" s="7"/>
      <c r="L112" s="23">
        <f>I112+J112+K112</f>
        <v>0</v>
      </c>
      <c r="M112" s="22"/>
      <c r="N112" s="7"/>
      <c r="O112" s="210">
        <f>L112+M112+N112</f>
        <v>0</v>
      </c>
      <c r="P112" s="220"/>
      <c r="Q112" s="221">
        <f>O112+P112</f>
        <v>0</v>
      </c>
    </row>
    <row r="113" spans="1:17" ht="12.75" hidden="1">
      <c r="A113" s="37" t="s">
        <v>63</v>
      </c>
      <c r="B113" s="80"/>
      <c r="C113" s="139"/>
      <c r="D113" s="128"/>
      <c r="E113" s="96"/>
      <c r="F113" s="190">
        <f>C113+D113+E113</f>
        <v>0</v>
      </c>
      <c r="G113" s="261"/>
      <c r="H113" s="7"/>
      <c r="I113" s="23">
        <f>SUM(F113:H113)</f>
        <v>0</v>
      </c>
      <c r="J113" s="22"/>
      <c r="K113" s="7"/>
      <c r="L113" s="23">
        <f>I113+J113+K113</f>
        <v>0</v>
      </c>
      <c r="M113" s="22"/>
      <c r="N113" s="7"/>
      <c r="O113" s="210">
        <f>L113+M113+N113</f>
        <v>0</v>
      </c>
      <c r="P113" s="220"/>
      <c r="Q113" s="221">
        <f>O113+P113</f>
        <v>0</v>
      </c>
    </row>
    <row r="114" spans="1:17" ht="12.75" hidden="1">
      <c r="A114" s="39" t="s">
        <v>53</v>
      </c>
      <c r="B114" s="84"/>
      <c r="C114" s="143">
        <f>C116</f>
        <v>0</v>
      </c>
      <c r="D114" s="131">
        <f aca="true" t="shared" si="33" ref="D114:Q114">D116</f>
        <v>0</v>
      </c>
      <c r="E114" s="103">
        <f t="shared" si="33"/>
        <v>0</v>
      </c>
      <c r="F114" s="193">
        <f t="shared" si="33"/>
        <v>0</v>
      </c>
      <c r="G114" s="227">
        <f t="shared" si="33"/>
        <v>0</v>
      </c>
      <c r="H114" s="103">
        <f t="shared" si="33"/>
        <v>0</v>
      </c>
      <c r="I114" s="166">
        <f t="shared" si="33"/>
        <v>0</v>
      </c>
      <c r="J114" s="102">
        <f t="shared" si="33"/>
        <v>0</v>
      </c>
      <c r="K114" s="103">
        <f t="shared" si="33"/>
        <v>0</v>
      </c>
      <c r="L114" s="166">
        <f t="shared" si="33"/>
        <v>0</v>
      </c>
      <c r="M114" s="102">
        <f t="shared" si="33"/>
        <v>0</v>
      </c>
      <c r="N114" s="103">
        <f t="shared" si="33"/>
        <v>0</v>
      </c>
      <c r="O114" s="193">
        <f t="shared" si="33"/>
        <v>0</v>
      </c>
      <c r="P114" s="227">
        <f t="shared" si="33"/>
        <v>0</v>
      </c>
      <c r="Q114" s="193">
        <f t="shared" si="33"/>
        <v>0</v>
      </c>
    </row>
    <row r="115" spans="1:17" ht="12.75" hidden="1">
      <c r="A115" s="35" t="s">
        <v>26</v>
      </c>
      <c r="B115" s="80"/>
      <c r="C115" s="139"/>
      <c r="D115" s="128"/>
      <c r="E115" s="96"/>
      <c r="F115" s="189"/>
      <c r="G115" s="261"/>
      <c r="H115" s="7"/>
      <c r="I115" s="21"/>
      <c r="J115" s="22"/>
      <c r="K115" s="7"/>
      <c r="L115" s="21"/>
      <c r="M115" s="22"/>
      <c r="N115" s="7"/>
      <c r="O115" s="209"/>
      <c r="P115" s="220"/>
      <c r="Q115" s="221"/>
    </row>
    <row r="116" spans="1:17" ht="12.75" hidden="1">
      <c r="A116" s="36" t="s">
        <v>155</v>
      </c>
      <c r="B116" s="83"/>
      <c r="C116" s="253"/>
      <c r="D116" s="244"/>
      <c r="E116" s="104"/>
      <c r="F116" s="195">
        <f>C116+D116+E116</f>
        <v>0</v>
      </c>
      <c r="G116" s="263"/>
      <c r="H116" s="10"/>
      <c r="I116" s="27">
        <f>SUM(F116:H116)</f>
        <v>0</v>
      </c>
      <c r="J116" s="26"/>
      <c r="K116" s="10"/>
      <c r="L116" s="27">
        <f>I116+J116+K116</f>
        <v>0</v>
      </c>
      <c r="M116" s="26"/>
      <c r="N116" s="10"/>
      <c r="O116" s="213">
        <f>L116+M116+N116</f>
        <v>0</v>
      </c>
      <c r="P116" s="229"/>
      <c r="Q116" s="230">
        <f>O116+P116</f>
        <v>0</v>
      </c>
    </row>
    <row r="117" spans="1:17" ht="12.75">
      <c r="A117" s="30" t="s">
        <v>68</v>
      </c>
      <c r="B117" s="84"/>
      <c r="C117" s="138">
        <f>C118+C130</f>
        <v>1735440</v>
      </c>
      <c r="D117" s="117">
        <f aca="true" t="shared" si="34" ref="D117:Q117">D118+D130</f>
        <v>33583.46</v>
      </c>
      <c r="E117" s="95">
        <f t="shared" si="34"/>
        <v>0</v>
      </c>
      <c r="F117" s="189">
        <f t="shared" si="34"/>
        <v>1769023.46</v>
      </c>
      <c r="G117" s="219">
        <f t="shared" si="34"/>
        <v>0</v>
      </c>
      <c r="H117" s="95">
        <f t="shared" si="34"/>
        <v>0</v>
      </c>
      <c r="I117" s="162">
        <f t="shared" si="34"/>
        <v>1769023.46</v>
      </c>
      <c r="J117" s="94">
        <f t="shared" si="34"/>
        <v>0</v>
      </c>
      <c r="K117" s="95">
        <f t="shared" si="34"/>
        <v>0</v>
      </c>
      <c r="L117" s="162">
        <f t="shared" si="34"/>
        <v>1769023.46</v>
      </c>
      <c r="M117" s="94">
        <f t="shared" si="34"/>
        <v>0</v>
      </c>
      <c r="N117" s="95">
        <f t="shared" si="34"/>
        <v>0</v>
      </c>
      <c r="O117" s="189">
        <f t="shared" si="34"/>
        <v>1769023.46</v>
      </c>
      <c r="P117" s="219">
        <f t="shared" si="34"/>
        <v>0</v>
      </c>
      <c r="Q117" s="189">
        <f t="shared" si="34"/>
        <v>1769023.46</v>
      </c>
    </row>
    <row r="118" spans="1:17" ht="12.75">
      <c r="A118" s="39" t="s">
        <v>49</v>
      </c>
      <c r="B118" s="84"/>
      <c r="C118" s="143">
        <f>SUM(C121:C129)</f>
        <v>1725440</v>
      </c>
      <c r="D118" s="131">
        <f aca="true" t="shared" si="35" ref="D118:Q118">SUM(D121:D129)</f>
        <v>41583.46</v>
      </c>
      <c r="E118" s="103">
        <f t="shared" si="35"/>
        <v>0</v>
      </c>
      <c r="F118" s="193">
        <f t="shared" si="35"/>
        <v>1767023.46</v>
      </c>
      <c r="G118" s="227">
        <f t="shared" si="35"/>
        <v>0</v>
      </c>
      <c r="H118" s="103">
        <f t="shared" si="35"/>
        <v>0</v>
      </c>
      <c r="I118" s="166">
        <f t="shared" si="35"/>
        <v>1767023.46</v>
      </c>
      <c r="J118" s="102">
        <f t="shared" si="35"/>
        <v>0</v>
      </c>
      <c r="K118" s="103">
        <f t="shared" si="35"/>
        <v>0</v>
      </c>
      <c r="L118" s="166">
        <f t="shared" si="35"/>
        <v>1767023.46</v>
      </c>
      <c r="M118" s="102">
        <f t="shared" si="35"/>
        <v>0</v>
      </c>
      <c r="N118" s="103">
        <f t="shared" si="35"/>
        <v>0</v>
      </c>
      <c r="O118" s="193">
        <f t="shared" si="35"/>
        <v>1767023.46</v>
      </c>
      <c r="P118" s="227">
        <f t="shared" si="35"/>
        <v>0</v>
      </c>
      <c r="Q118" s="193">
        <f t="shared" si="35"/>
        <v>1767023.46</v>
      </c>
    </row>
    <row r="119" spans="1:17" ht="12.75">
      <c r="A119" s="35" t="s">
        <v>26</v>
      </c>
      <c r="B119" s="80"/>
      <c r="C119" s="139"/>
      <c r="D119" s="128"/>
      <c r="E119" s="96"/>
      <c r="F119" s="189"/>
      <c r="G119" s="261"/>
      <c r="H119" s="7"/>
      <c r="I119" s="21"/>
      <c r="J119" s="22"/>
      <c r="K119" s="7"/>
      <c r="L119" s="21"/>
      <c r="M119" s="22"/>
      <c r="N119" s="7"/>
      <c r="O119" s="209"/>
      <c r="P119" s="220"/>
      <c r="Q119" s="221"/>
    </row>
    <row r="120" spans="1:17" ht="12.75">
      <c r="A120" s="37" t="s">
        <v>276</v>
      </c>
      <c r="B120" s="80"/>
      <c r="C120" s="139">
        <f>C121+C122</f>
        <v>1127000</v>
      </c>
      <c r="D120" s="128">
        <f aca="true" t="shared" si="36" ref="D120:Q120">D121+D122</f>
        <v>29104.66</v>
      </c>
      <c r="E120" s="96">
        <f t="shared" si="36"/>
        <v>0</v>
      </c>
      <c r="F120" s="190">
        <f t="shared" si="36"/>
        <v>1156104.66</v>
      </c>
      <c r="G120" s="222">
        <f t="shared" si="36"/>
        <v>0</v>
      </c>
      <c r="H120" s="96">
        <f t="shared" si="36"/>
        <v>0</v>
      </c>
      <c r="I120" s="163">
        <f t="shared" si="36"/>
        <v>1156104.66</v>
      </c>
      <c r="J120" s="97">
        <f t="shared" si="36"/>
        <v>0</v>
      </c>
      <c r="K120" s="96">
        <f t="shared" si="36"/>
        <v>0</v>
      </c>
      <c r="L120" s="163">
        <f t="shared" si="36"/>
        <v>1156104.66</v>
      </c>
      <c r="M120" s="97">
        <f t="shared" si="36"/>
        <v>0</v>
      </c>
      <c r="N120" s="96">
        <f t="shared" si="36"/>
        <v>0</v>
      </c>
      <c r="O120" s="190">
        <f t="shared" si="36"/>
        <v>1156104.66</v>
      </c>
      <c r="P120" s="222">
        <f t="shared" si="36"/>
        <v>0</v>
      </c>
      <c r="Q120" s="190">
        <f t="shared" si="36"/>
        <v>1156104.66</v>
      </c>
    </row>
    <row r="121" spans="1:17" ht="12.75">
      <c r="A121" s="37" t="s">
        <v>277</v>
      </c>
      <c r="B121" s="80"/>
      <c r="C121" s="139">
        <v>566000</v>
      </c>
      <c r="D121" s="180">
        <f>22080.22+36.94+5.96+155.2+863.64-4000</f>
        <v>19141.96</v>
      </c>
      <c r="E121" s="96"/>
      <c r="F121" s="190">
        <f aca="true" t="shared" si="37" ref="F121:F129">C121+D121+E121</f>
        <v>585141.96</v>
      </c>
      <c r="G121" s="264"/>
      <c r="H121" s="11"/>
      <c r="I121" s="23">
        <f aca="true" t="shared" si="38" ref="I121:I129">F121+G121+H121</f>
        <v>585141.96</v>
      </c>
      <c r="J121" s="22"/>
      <c r="K121" s="7"/>
      <c r="L121" s="23">
        <f aca="true" t="shared" si="39" ref="L121:L129">I121+J121+K121</f>
        <v>585141.96</v>
      </c>
      <c r="M121" s="22"/>
      <c r="N121" s="7"/>
      <c r="O121" s="210">
        <f aca="true" t="shared" si="40" ref="O121:O129">L121+M121+N121</f>
        <v>585141.96</v>
      </c>
      <c r="P121" s="220"/>
      <c r="Q121" s="221">
        <f aca="true" t="shared" si="41" ref="Q121:Q129">O121+P121</f>
        <v>585141.96</v>
      </c>
    </row>
    <row r="122" spans="1:17" ht="12.75">
      <c r="A122" s="33" t="s">
        <v>278</v>
      </c>
      <c r="B122" s="80"/>
      <c r="C122" s="139">
        <v>561000</v>
      </c>
      <c r="D122" s="128">
        <f>1450.16+8512.54</f>
        <v>9962.7</v>
      </c>
      <c r="E122" s="96"/>
      <c r="F122" s="190">
        <f t="shared" si="37"/>
        <v>570962.7</v>
      </c>
      <c r="G122" s="264"/>
      <c r="H122" s="11"/>
      <c r="I122" s="23">
        <f t="shared" si="38"/>
        <v>570962.7</v>
      </c>
      <c r="J122" s="22"/>
      <c r="K122" s="7"/>
      <c r="L122" s="23">
        <f t="shared" si="39"/>
        <v>570962.7</v>
      </c>
      <c r="M122" s="22"/>
      <c r="N122" s="7"/>
      <c r="O122" s="210">
        <f t="shared" si="40"/>
        <v>570962.7</v>
      </c>
      <c r="P122" s="220"/>
      <c r="Q122" s="221">
        <f t="shared" si="41"/>
        <v>570962.7</v>
      </c>
    </row>
    <row r="123" spans="1:17" ht="12.75">
      <c r="A123" s="37" t="s">
        <v>69</v>
      </c>
      <c r="B123" s="80"/>
      <c r="C123" s="139">
        <v>28840</v>
      </c>
      <c r="D123" s="128"/>
      <c r="E123" s="96"/>
      <c r="F123" s="190">
        <f t="shared" si="37"/>
        <v>28840</v>
      </c>
      <c r="G123" s="261"/>
      <c r="H123" s="7"/>
      <c r="I123" s="23">
        <f t="shared" si="38"/>
        <v>28840</v>
      </c>
      <c r="J123" s="22"/>
      <c r="K123" s="7"/>
      <c r="L123" s="23">
        <f t="shared" si="39"/>
        <v>28840</v>
      </c>
      <c r="M123" s="22"/>
      <c r="N123" s="7"/>
      <c r="O123" s="210">
        <f t="shared" si="40"/>
        <v>28840</v>
      </c>
      <c r="P123" s="220"/>
      <c r="Q123" s="221">
        <f t="shared" si="41"/>
        <v>28840</v>
      </c>
    </row>
    <row r="124" spans="1:17" ht="12.75" hidden="1">
      <c r="A124" s="33" t="s">
        <v>70</v>
      </c>
      <c r="B124" s="80"/>
      <c r="C124" s="139"/>
      <c r="D124" s="128"/>
      <c r="E124" s="96"/>
      <c r="F124" s="190">
        <f t="shared" si="37"/>
        <v>0</v>
      </c>
      <c r="G124" s="261"/>
      <c r="H124" s="7"/>
      <c r="I124" s="23">
        <f t="shared" si="38"/>
        <v>0</v>
      </c>
      <c r="J124" s="22"/>
      <c r="K124" s="7"/>
      <c r="L124" s="23">
        <f t="shared" si="39"/>
        <v>0</v>
      </c>
      <c r="M124" s="22"/>
      <c r="N124" s="7"/>
      <c r="O124" s="210">
        <f t="shared" si="40"/>
        <v>0</v>
      </c>
      <c r="P124" s="220"/>
      <c r="Q124" s="221">
        <f t="shared" si="41"/>
        <v>0</v>
      </c>
    </row>
    <row r="125" spans="1:17" ht="12.75" hidden="1">
      <c r="A125" s="33" t="s">
        <v>63</v>
      </c>
      <c r="B125" s="80"/>
      <c r="C125" s="139"/>
      <c r="D125" s="128"/>
      <c r="E125" s="96"/>
      <c r="F125" s="190">
        <f t="shared" si="37"/>
        <v>0</v>
      </c>
      <c r="G125" s="261"/>
      <c r="H125" s="7"/>
      <c r="I125" s="23">
        <f t="shared" si="38"/>
        <v>0</v>
      </c>
      <c r="J125" s="22"/>
      <c r="K125" s="7"/>
      <c r="L125" s="23">
        <f t="shared" si="39"/>
        <v>0</v>
      </c>
      <c r="M125" s="22"/>
      <c r="N125" s="7"/>
      <c r="O125" s="210">
        <f t="shared" si="40"/>
        <v>0</v>
      </c>
      <c r="P125" s="220"/>
      <c r="Q125" s="221">
        <f t="shared" si="41"/>
        <v>0</v>
      </c>
    </row>
    <row r="126" spans="1:17" ht="12.75" hidden="1">
      <c r="A126" s="33" t="s">
        <v>71</v>
      </c>
      <c r="B126" s="80">
        <v>91252</v>
      </c>
      <c r="C126" s="139"/>
      <c r="D126" s="128"/>
      <c r="E126" s="96"/>
      <c r="F126" s="190">
        <f t="shared" si="37"/>
        <v>0</v>
      </c>
      <c r="G126" s="261"/>
      <c r="H126" s="7"/>
      <c r="I126" s="23">
        <f t="shared" si="38"/>
        <v>0</v>
      </c>
      <c r="J126" s="22"/>
      <c r="K126" s="7"/>
      <c r="L126" s="23">
        <f t="shared" si="39"/>
        <v>0</v>
      </c>
      <c r="M126" s="22"/>
      <c r="N126" s="7"/>
      <c r="O126" s="210">
        <f t="shared" si="40"/>
        <v>0</v>
      </c>
      <c r="P126" s="220"/>
      <c r="Q126" s="221">
        <f t="shared" si="41"/>
        <v>0</v>
      </c>
    </row>
    <row r="127" spans="1:17" ht="12.75" hidden="1">
      <c r="A127" s="33" t="s">
        <v>133</v>
      </c>
      <c r="B127" s="80">
        <v>27355</v>
      </c>
      <c r="C127" s="139"/>
      <c r="D127" s="128"/>
      <c r="E127" s="96"/>
      <c r="F127" s="190">
        <f t="shared" si="37"/>
        <v>0</v>
      </c>
      <c r="G127" s="261"/>
      <c r="H127" s="7"/>
      <c r="I127" s="23">
        <f t="shared" si="38"/>
        <v>0</v>
      </c>
      <c r="J127" s="22"/>
      <c r="K127" s="7"/>
      <c r="L127" s="23">
        <f t="shared" si="39"/>
        <v>0</v>
      </c>
      <c r="M127" s="22"/>
      <c r="N127" s="7"/>
      <c r="O127" s="210">
        <f t="shared" si="40"/>
        <v>0</v>
      </c>
      <c r="P127" s="220"/>
      <c r="Q127" s="221">
        <f t="shared" si="41"/>
        <v>0</v>
      </c>
    </row>
    <row r="128" spans="1:17" ht="12.75">
      <c r="A128" s="33" t="s">
        <v>51</v>
      </c>
      <c r="B128" s="80"/>
      <c r="C128" s="139">
        <v>569600</v>
      </c>
      <c r="D128" s="128">
        <f>478.8+8000+4000</f>
        <v>12478.8</v>
      </c>
      <c r="E128" s="96"/>
      <c r="F128" s="190">
        <f t="shared" si="37"/>
        <v>582078.8</v>
      </c>
      <c r="G128" s="261"/>
      <c r="H128" s="7"/>
      <c r="I128" s="23">
        <f t="shared" si="38"/>
        <v>582078.8</v>
      </c>
      <c r="J128" s="22"/>
      <c r="K128" s="7"/>
      <c r="L128" s="23">
        <f t="shared" si="39"/>
        <v>582078.8</v>
      </c>
      <c r="M128" s="22"/>
      <c r="N128" s="7"/>
      <c r="O128" s="210">
        <f t="shared" si="40"/>
        <v>582078.8</v>
      </c>
      <c r="P128" s="220"/>
      <c r="Q128" s="221">
        <f t="shared" si="41"/>
        <v>582078.8</v>
      </c>
    </row>
    <row r="129" spans="1:17" ht="12" customHeight="1" hidden="1">
      <c r="A129" s="33" t="s">
        <v>72</v>
      </c>
      <c r="B129" s="80"/>
      <c r="C129" s="139"/>
      <c r="D129" s="128"/>
      <c r="E129" s="96"/>
      <c r="F129" s="190">
        <f t="shared" si="37"/>
        <v>0</v>
      </c>
      <c r="G129" s="261"/>
      <c r="H129" s="7"/>
      <c r="I129" s="23">
        <f t="shared" si="38"/>
        <v>0</v>
      </c>
      <c r="J129" s="22"/>
      <c r="K129" s="7"/>
      <c r="L129" s="23">
        <f t="shared" si="39"/>
        <v>0</v>
      </c>
      <c r="M129" s="22"/>
      <c r="N129" s="7"/>
      <c r="O129" s="210">
        <f t="shared" si="40"/>
        <v>0</v>
      </c>
      <c r="P129" s="220"/>
      <c r="Q129" s="221">
        <f t="shared" si="41"/>
        <v>0</v>
      </c>
    </row>
    <row r="130" spans="1:17" ht="12.75">
      <c r="A130" s="40" t="s">
        <v>53</v>
      </c>
      <c r="B130" s="84"/>
      <c r="C130" s="144">
        <f>SUM(C132:C134)</f>
        <v>10000</v>
      </c>
      <c r="D130" s="132">
        <f aca="true" t="shared" si="42" ref="D130:Q130">SUM(D132:D134)</f>
        <v>-8000</v>
      </c>
      <c r="E130" s="106">
        <f t="shared" si="42"/>
        <v>0</v>
      </c>
      <c r="F130" s="194">
        <f t="shared" si="42"/>
        <v>2000</v>
      </c>
      <c r="G130" s="228">
        <f t="shared" si="42"/>
        <v>0</v>
      </c>
      <c r="H130" s="106">
        <f t="shared" si="42"/>
        <v>0</v>
      </c>
      <c r="I130" s="167">
        <f t="shared" si="42"/>
        <v>2000</v>
      </c>
      <c r="J130" s="105">
        <f t="shared" si="42"/>
        <v>0</v>
      </c>
      <c r="K130" s="106">
        <f t="shared" si="42"/>
        <v>0</v>
      </c>
      <c r="L130" s="167">
        <f t="shared" si="42"/>
        <v>2000</v>
      </c>
      <c r="M130" s="105">
        <f t="shared" si="42"/>
        <v>0</v>
      </c>
      <c r="N130" s="106">
        <f t="shared" si="42"/>
        <v>0</v>
      </c>
      <c r="O130" s="194">
        <f t="shared" si="42"/>
        <v>2000</v>
      </c>
      <c r="P130" s="228">
        <f t="shared" si="42"/>
        <v>0</v>
      </c>
      <c r="Q130" s="194">
        <f t="shared" si="42"/>
        <v>2000</v>
      </c>
    </row>
    <row r="131" spans="1:17" ht="12.75">
      <c r="A131" s="31" t="s">
        <v>26</v>
      </c>
      <c r="B131" s="80"/>
      <c r="C131" s="141"/>
      <c r="D131" s="129"/>
      <c r="E131" s="99"/>
      <c r="F131" s="191"/>
      <c r="G131" s="262"/>
      <c r="H131" s="8"/>
      <c r="I131" s="25"/>
      <c r="J131" s="24"/>
      <c r="K131" s="8"/>
      <c r="L131" s="25"/>
      <c r="M131" s="24"/>
      <c r="N131" s="8"/>
      <c r="O131" s="212"/>
      <c r="P131" s="220"/>
      <c r="Q131" s="221"/>
    </row>
    <row r="132" spans="1:17" ht="12.75" hidden="1">
      <c r="A132" s="32" t="s">
        <v>54</v>
      </c>
      <c r="B132" s="80"/>
      <c r="C132" s="139"/>
      <c r="D132" s="128"/>
      <c r="E132" s="96"/>
      <c r="F132" s="190">
        <f>C132+D132+E132</f>
        <v>0</v>
      </c>
      <c r="G132" s="261"/>
      <c r="H132" s="7"/>
      <c r="I132" s="23">
        <f>F132+G132+H132</f>
        <v>0</v>
      </c>
      <c r="J132" s="22"/>
      <c r="K132" s="7"/>
      <c r="L132" s="23">
        <f>I132+J132+K132</f>
        <v>0</v>
      </c>
      <c r="M132" s="22"/>
      <c r="N132" s="7"/>
      <c r="O132" s="210">
        <f>L132+M132+N132</f>
        <v>0</v>
      </c>
      <c r="P132" s="220"/>
      <c r="Q132" s="221">
        <f>O132+P132</f>
        <v>0</v>
      </c>
    </row>
    <row r="133" spans="1:17" ht="12.75">
      <c r="A133" s="36" t="s">
        <v>80</v>
      </c>
      <c r="B133" s="83"/>
      <c r="C133" s="253">
        <v>10000</v>
      </c>
      <c r="D133" s="244">
        <f>-8000</f>
        <v>-8000</v>
      </c>
      <c r="E133" s="104"/>
      <c r="F133" s="195">
        <f>C133+D133+E133</f>
        <v>2000</v>
      </c>
      <c r="G133" s="261"/>
      <c r="H133" s="7"/>
      <c r="I133" s="23">
        <f>F133+G133+H133</f>
        <v>2000</v>
      </c>
      <c r="J133" s="22"/>
      <c r="K133" s="7"/>
      <c r="L133" s="23">
        <f>I133+J133+K133</f>
        <v>2000</v>
      </c>
      <c r="M133" s="22"/>
      <c r="N133" s="7"/>
      <c r="O133" s="210">
        <f>L133+M133+N133</f>
        <v>2000</v>
      </c>
      <c r="P133" s="220"/>
      <c r="Q133" s="221">
        <f>O133+P133</f>
        <v>2000</v>
      </c>
    </row>
    <row r="134" spans="1:17" ht="12.75" hidden="1">
      <c r="A134" s="36" t="s">
        <v>73</v>
      </c>
      <c r="B134" s="83"/>
      <c r="C134" s="253"/>
      <c r="D134" s="244"/>
      <c r="E134" s="104"/>
      <c r="F134" s="195">
        <f>C134+D134+E134</f>
        <v>0</v>
      </c>
      <c r="G134" s="263"/>
      <c r="H134" s="10"/>
      <c r="I134" s="27">
        <f>F134+G134+H134</f>
        <v>0</v>
      </c>
      <c r="J134" s="26"/>
      <c r="K134" s="10"/>
      <c r="L134" s="27">
        <f>I134+J134+K134</f>
        <v>0</v>
      </c>
      <c r="M134" s="26"/>
      <c r="N134" s="10"/>
      <c r="O134" s="213">
        <f>L134+M134+N134</f>
        <v>0</v>
      </c>
      <c r="P134" s="229"/>
      <c r="Q134" s="230">
        <f>O134+P134</f>
        <v>0</v>
      </c>
    </row>
    <row r="135" spans="1:17" ht="12.75">
      <c r="A135" s="34" t="s">
        <v>74</v>
      </c>
      <c r="B135" s="84"/>
      <c r="C135" s="141">
        <f>C136+C141</f>
        <v>73560</v>
      </c>
      <c r="D135" s="129">
        <f aca="true" t="shared" si="43" ref="D135:Q135">D136+D141</f>
        <v>22334.679999999997</v>
      </c>
      <c r="E135" s="99">
        <f t="shared" si="43"/>
        <v>0</v>
      </c>
      <c r="F135" s="191">
        <f t="shared" si="43"/>
        <v>95894.68000000001</v>
      </c>
      <c r="G135" s="223">
        <f t="shared" si="43"/>
        <v>0</v>
      </c>
      <c r="H135" s="99">
        <f t="shared" si="43"/>
        <v>0</v>
      </c>
      <c r="I135" s="164">
        <f t="shared" si="43"/>
        <v>91809.93000000001</v>
      </c>
      <c r="J135" s="98">
        <f t="shared" si="43"/>
        <v>0</v>
      </c>
      <c r="K135" s="99">
        <f t="shared" si="43"/>
        <v>0</v>
      </c>
      <c r="L135" s="164">
        <f t="shared" si="43"/>
        <v>91809.93000000001</v>
      </c>
      <c r="M135" s="98">
        <f t="shared" si="43"/>
        <v>0</v>
      </c>
      <c r="N135" s="99">
        <f t="shared" si="43"/>
        <v>0</v>
      </c>
      <c r="O135" s="191">
        <f t="shared" si="43"/>
        <v>91809.93000000001</v>
      </c>
      <c r="P135" s="223">
        <f t="shared" si="43"/>
        <v>0</v>
      </c>
      <c r="Q135" s="191">
        <f t="shared" si="43"/>
        <v>91809.93000000001</v>
      </c>
    </row>
    <row r="136" spans="1:17" ht="12.75">
      <c r="A136" s="39" t="s">
        <v>49</v>
      </c>
      <c r="B136" s="84"/>
      <c r="C136" s="143">
        <f>SUM(C138:C140)</f>
        <v>55060</v>
      </c>
      <c r="D136" s="131">
        <f aca="true" t="shared" si="44" ref="D136:Q136">SUM(D138:D140)</f>
        <v>13812.289999999997</v>
      </c>
      <c r="E136" s="103">
        <f t="shared" si="44"/>
        <v>0</v>
      </c>
      <c r="F136" s="193">
        <f t="shared" si="44"/>
        <v>68872.29000000001</v>
      </c>
      <c r="G136" s="227">
        <f t="shared" si="44"/>
        <v>0</v>
      </c>
      <c r="H136" s="103">
        <f t="shared" si="44"/>
        <v>0</v>
      </c>
      <c r="I136" s="166">
        <f t="shared" si="44"/>
        <v>68872.29000000001</v>
      </c>
      <c r="J136" s="102">
        <f t="shared" si="44"/>
        <v>0</v>
      </c>
      <c r="K136" s="103">
        <f t="shared" si="44"/>
        <v>0</v>
      </c>
      <c r="L136" s="166">
        <f t="shared" si="44"/>
        <v>68872.29000000001</v>
      </c>
      <c r="M136" s="102">
        <f t="shared" si="44"/>
        <v>0</v>
      </c>
      <c r="N136" s="103">
        <f t="shared" si="44"/>
        <v>0</v>
      </c>
      <c r="O136" s="193">
        <f t="shared" si="44"/>
        <v>68872.29000000001</v>
      </c>
      <c r="P136" s="227">
        <f t="shared" si="44"/>
        <v>0</v>
      </c>
      <c r="Q136" s="193">
        <f t="shared" si="44"/>
        <v>68872.29000000001</v>
      </c>
    </row>
    <row r="137" spans="1:17" ht="12.75">
      <c r="A137" s="35" t="s">
        <v>26</v>
      </c>
      <c r="B137" s="80"/>
      <c r="C137" s="139"/>
      <c r="D137" s="128"/>
      <c r="E137" s="96"/>
      <c r="F137" s="189"/>
      <c r="G137" s="261"/>
      <c r="H137" s="7"/>
      <c r="I137" s="21"/>
      <c r="J137" s="22"/>
      <c r="K137" s="7"/>
      <c r="L137" s="21"/>
      <c r="M137" s="22"/>
      <c r="N137" s="7"/>
      <c r="O137" s="209"/>
      <c r="P137" s="220"/>
      <c r="Q137" s="221"/>
    </row>
    <row r="138" spans="1:17" ht="12.75">
      <c r="A138" s="33" t="s">
        <v>51</v>
      </c>
      <c r="B138" s="80"/>
      <c r="C138" s="139">
        <v>29060</v>
      </c>
      <c r="D138" s="128">
        <f>17353.01-5000+534.21</f>
        <v>12887.219999999998</v>
      </c>
      <c r="E138" s="96"/>
      <c r="F138" s="190">
        <f>C138+D138+E138</f>
        <v>41947.22</v>
      </c>
      <c r="G138" s="261"/>
      <c r="H138" s="7"/>
      <c r="I138" s="23">
        <f>F138+G138+H138</f>
        <v>41947.22</v>
      </c>
      <c r="J138" s="22"/>
      <c r="K138" s="7"/>
      <c r="L138" s="23">
        <f>I138+J138+K138</f>
        <v>41947.22</v>
      </c>
      <c r="M138" s="22"/>
      <c r="N138" s="7"/>
      <c r="O138" s="210">
        <f>L138+M138+N138</f>
        <v>41947.22</v>
      </c>
      <c r="P138" s="220"/>
      <c r="Q138" s="221">
        <f>O138+P138</f>
        <v>41947.22</v>
      </c>
    </row>
    <row r="139" spans="1:17" ht="12.75" hidden="1">
      <c r="A139" s="33" t="s">
        <v>73</v>
      </c>
      <c r="B139" s="80"/>
      <c r="C139" s="139"/>
      <c r="D139" s="128"/>
      <c r="E139" s="96"/>
      <c r="F139" s="190">
        <f>C139+D139+E139</f>
        <v>0</v>
      </c>
      <c r="G139" s="261"/>
      <c r="H139" s="7"/>
      <c r="I139" s="23">
        <f>F139+G139+H139</f>
        <v>0</v>
      </c>
      <c r="J139" s="22"/>
      <c r="K139" s="7"/>
      <c r="L139" s="23">
        <f>I139+J139+K139</f>
        <v>0</v>
      </c>
      <c r="M139" s="22"/>
      <c r="N139" s="7"/>
      <c r="O139" s="210">
        <f>L139+M139+N139</f>
        <v>0</v>
      </c>
      <c r="P139" s="220"/>
      <c r="Q139" s="221">
        <f>O139+P139</f>
        <v>0</v>
      </c>
    </row>
    <row r="140" spans="1:17" ht="12.75">
      <c r="A140" s="33" t="s">
        <v>75</v>
      </c>
      <c r="B140" s="80"/>
      <c r="C140" s="139">
        <v>26000</v>
      </c>
      <c r="D140" s="128">
        <f>925.07</f>
        <v>925.07</v>
      </c>
      <c r="E140" s="96"/>
      <c r="F140" s="190">
        <f>C140+D140+E140</f>
        <v>26925.07</v>
      </c>
      <c r="G140" s="261"/>
      <c r="H140" s="7"/>
      <c r="I140" s="23">
        <f>F140+G140+H140</f>
        <v>26925.07</v>
      </c>
      <c r="J140" s="22"/>
      <c r="K140" s="7"/>
      <c r="L140" s="23">
        <f>I140+J140+K140</f>
        <v>26925.07</v>
      </c>
      <c r="M140" s="22"/>
      <c r="N140" s="7"/>
      <c r="O140" s="210">
        <f>L140+M140+N140</f>
        <v>26925.07</v>
      </c>
      <c r="P140" s="220"/>
      <c r="Q140" s="221">
        <f>O140+P140</f>
        <v>26925.07</v>
      </c>
    </row>
    <row r="141" spans="1:17" ht="12.75">
      <c r="A141" s="40" t="s">
        <v>53</v>
      </c>
      <c r="B141" s="84"/>
      <c r="C141" s="144">
        <f aca="true" t="shared" si="45" ref="C141:Q141">SUM(C143:C146)</f>
        <v>18500</v>
      </c>
      <c r="D141" s="132">
        <f t="shared" si="45"/>
        <v>8522.39</v>
      </c>
      <c r="E141" s="106">
        <f t="shared" si="45"/>
        <v>0</v>
      </c>
      <c r="F141" s="194">
        <f t="shared" si="45"/>
        <v>27022.39</v>
      </c>
      <c r="G141" s="228">
        <f t="shared" si="45"/>
        <v>0</v>
      </c>
      <c r="H141" s="106">
        <f t="shared" si="45"/>
        <v>0</v>
      </c>
      <c r="I141" s="167">
        <f t="shared" si="45"/>
        <v>22937.64</v>
      </c>
      <c r="J141" s="105">
        <f t="shared" si="45"/>
        <v>0</v>
      </c>
      <c r="K141" s="106">
        <f t="shared" si="45"/>
        <v>0</v>
      </c>
      <c r="L141" s="167">
        <f t="shared" si="45"/>
        <v>22937.64</v>
      </c>
      <c r="M141" s="105">
        <f t="shared" si="45"/>
        <v>0</v>
      </c>
      <c r="N141" s="106">
        <f t="shared" si="45"/>
        <v>0</v>
      </c>
      <c r="O141" s="194">
        <f t="shared" si="45"/>
        <v>22937.64</v>
      </c>
      <c r="P141" s="228">
        <f t="shared" si="45"/>
        <v>0</v>
      </c>
      <c r="Q141" s="194">
        <f t="shared" si="45"/>
        <v>22937.64</v>
      </c>
    </row>
    <row r="142" spans="1:17" ht="12.75">
      <c r="A142" s="31" t="s">
        <v>26</v>
      </c>
      <c r="B142" s="80"/>
      <c r="C142" s="141"/>
      <c r="D142" s="129"/>
      <c r="E142" s="99"/>
      <c r="F142" s="191"/>
      <c r="G142" s="262"/>
      <c r="H142" s="8"/>
      <c r="I142" s="25"/>
      <c r="J142" s="24"/>
      <c r="K142" s="8"/>
      <c r="L142" s="25"/>
      <c r="M142" s="24"/>
      <c r="N142" s="8"/>
      <c r="O142" s="212"/>
      <c r="P142" s="220"/>
      <c r="Q142" s="221"/>
    </row>
    <row r="143" spans="1:17" ht="12.75" hidden="1">
      <c r="A143" s="33" t="s">
        <v>153</v>
      </c>
      <c r="B143" s="80">
        <v>98861</v>
      </c>
      <c r="C143" s="139"/>
      <c r="D143" s="128"/>
      <c r="E143" s="96"/>
      <c r="F143" s="190">
        <f>C143+D143+E143</f>
        <v>0</v>
      </c>
      <c r="G143" s="262"/>
      <c r="H143" s="8"/>
      <c r="I143" s="23">
        <f>F143+G143+H143</f>
        <v>0</v>
      </c>
      <c r="J143" s="24"/>
      <c r="K143" s="8"/>
      <c r="L143" s="23">
        <f>I143+J143+K143</f>
        <v>0</v>
      </c>
      <c r="M143" s="24"/>
      <c r="N143" s="8"/>
      <c r="O143" s="210">
        <f>L143+M143+N143</f>
        <v>0</v>
      </c>
      <c r="P143" s="220"/>
      <c r="Q143" s="221">
        <f>O143+P143</f>
        <v>0</v>
      </c>
    </row>
    <row r="144" spans="1:17" ht="12.75" hidden="1">
      <c r="A144" s="33" t="s">
        <v>200</v>
      </c>
      <c r="B144" s="80">
        <v>7938</v>
      </c>
      <c r="C144" s="139"/>
      <c r="D144" s="128"/>
      <c r="E144" s="96"/>
      <c r="F144" s="190">
        <f>C144+D144+E144</f>
        <v>0</v>
      </c>
      <c r="G144" s="262"/>
      <c r="H144" s="8"/>
      <c r="I144" s="23">
        <f>F144+G144+H144</f>
        <v>0</v>
      </c>
      <c r="J144" s="24"/>
      <c r="K144" s="8"/>
      <c r="L144" s="23">
        <f>I144+J144+K144</f>
        <v>0</v>
      </c>
      <c r="M144" s="24"/>
      <c r="N144" s="8"/>
      <c r="O144" s="210">
        <f>L144+M144+N144</f>
        <v>0</v>
      </c>
      <c r="P144" s="220"/>
      <c r="Q144" s="221">
        <f>O144+P144</f>
        <v>0</v>
      </c>
    </row>
    <row r="145" spans="1:17" ht="12.75">
      <c r="A145" s="33" t="s">
        <v>349</v>
      </c>
      <c r="B145" s="80"/>
      <c r="C145" s="139"/>
      <c r="D145" s="128">
        <f>4084.75</f>
        <v>4084.75</v>
      </c>
      <c r="E145" s="96"/>
      <c r="F145" s="190">
        <f>C145+D145+E145</f>
        <v>4084.75</v>
      </c>
      <c r="G145" s="262"/>
      <c r="H145" s="8"/>
      <c r="I145" s="23"/>
      <c r="J145" s="24"/>
      <c r="K145" s="8"/>
      <c r="L145" s="23"/>
      <c r="M145" s="24"/>
      <c r="N145" s="8"/>
      <c r="O145" s="210"/>
      <c r="P145" s="220"/>
      <c r="Q145" s="221"/>
    </row>
    <row r="146" spans="1:17" ht="12.75">
      <c r="A146" s="43" t="s">
        <v>54</v>
      </c>
      <c r="B146" s="83"/>
      <c r="C146" s="253">
        <v>18500</v>
      </c>
      <c r="D146" s="244">
        <f>13937.64-9500</f>
        <v>4437.639999999999</v>
      </c>
      <c r="E146" s="104"/>
      <c r="F146" s="195">
        <f>C146+D146+E146</f>
        <v>22937.64</v>
      </c>
      <c r="G146" s="263"/>
      <c r="H146" s="10"/>
      <c r="I146" s="27">
        <f>F146+G146+H146</f>
        <v>22937.64</v>
      </c>
      <c r="J146" s="26"/>
      <c r="K146" s="10"/>
      <c r="L146" s="27">
        <f>I146+J146+K146</f>
        <v>22937.64</v>
      </c>
      <c r="M146" s="26"/>
      <c r="N146" s="10"/>
      <c r="O146" s="213">
        <f>L146+M146+N146</f>
        <v>22937.64</v>
      </c>
      <c r="P146" s="229"/>
      <c r="Q146" s="230">
        <f>O146+P146</f>
        <v>22937.64</v>
      </c>
    </row>
    <row r="147" spans="1:17" ht="12.75">
      <c r="A147" s="30" t="s">
        <v>245</v>
      </c>
      <c r="B147" s="84"/>
      <c r="C147" s="138">
        <f aca="true" t="shared" si="46" ref="C147:Q147">C148+C165</f>
        <v>8062.6900000000005</v>
      </c>
      <c r="D147" s="117">
        <f t="shared" si="46"/>
        <v>235701.95</v>
      </c>
      <c r="E147" s="95">
        <f t="shared" si="46"/>
        <v>0</v>
      </c>
      <c r="F147" s="189">
        <f t="shared" si="46"/>
        <v>243764.64</v>
      </c>
      <c r="G147" s="219">
        <f t="shared" si="46"/>
        <v>0</v>
      </c>
      <c r="H147" s="95">
        <f t="shared" si="46"/>
        <v>0</v>
      </c>
      <c r="I147" s="162">
        <f t="shared" si="46"/>
        <v>31259.08</v>
      </c>
      <c r="J147" s="94">
        <f t="shared" si="46"/>
        <v>0</v>
      </c>
      <c r="K147" s="95">
        <f t="shared" si="46"/>
        <v>0</v>
      </c>
      <c r="L147" s="162">
        <f t="shared" si="46"/>
        <v>31259.08</v>
      </c>
      <c r="M147" s="94">
        <f t="shared" si="46"/>
        <v>0</v>
      </c>
      <c r="N147" s="95">
        <f t="shared" si="46"/>
        <v>0</v>
      </c>
      <c r="O147" s="189">
        <f t="shared" si="46"/>
        <v>31259.08</v>
      </c>
      <c r="P147" s="219">
        <f t="shared" si="46"/>
        <v>0</v>
      </c>
      <c r="Q147" s="189">
        <f t="shared" si="46"/>
        <v>31259.08</v>
      </c>
    </row>
    <row r="148" spans="1:17" ht="12.75">
      <c r="A148" s="39" t="s">
        <v>49</v>
      </c>
      <c r="B148" s="84"/>
      <c r="C148" s="143">
        <f aca="true" t="shared" si="47" ref="C148:Q148">SUM(C150:C164)</f>
        <v>8062.6900000000005</v>
      </c>
      <c r="D148" s="131">
        <f t="shared" si="47"/>
        <v>26719.200000000004</v>
      </c>
      <c r="E148" s="103">
        <f t="shared" si="47"/>
        <v>0</v>
      </c>
      <c r="F148" s="193">
        <f t="shared" si="47"/>
        <v>34781.89</v>
      </c>
      <c r="G148" s="227">
        <f t="shared" si="47"/>
        <v>0</v>
      </c>
      <c r="H148" s="103">
        <f t="shared" si="47"/>
        <v>0</v>
      </c>
      <c r="I148" s="166">
        <f t="shared" si="47"/>
        <v>21432.57</v>
      </c>
      <c r="J148" s="102">
        <f t="shared" si="47"/>
        <v>0</v>
      </c>
      <c r="K148" s="103">
        <f t="shared" si="47"/>
        <v>0</v>
      </c>
      <c r="L148" s="166">
        <f t="shared" si="47"/>
        <v>21432.57</v>
      </c>
      <c r="M148" s="102">
        <f t="shared" si="47"/>
        <v>0</v>
      </c>
      <c r="N148" s="103">
        <f t="shared" si="47"/>
        <v>0</v>
      </c>
      <c r="O148" s="193">
        <f t="shared" si="47"/>
        <v>21432.57</v>
      </c>
      <c r="P148" s="227">
        <f t="shared" si="47"/>
        <v>0</v>
      </c>
      <c r="Q148" s="193">
        <f t="shared" si="47"/>
        <v>21432.57</v>
      </c>
    </row>
    <row r="149" spans="1:17" ht="12.75">
      <c r="A149" s="31" t="s">
        <v>26</v>
      </c>
      <c r="B149" s="80"/>
      <c r="C149" s="141"/>
      <c r="D149" s="129"/>
      <c r="E149" s="99"/>
      <c r="F149" s="191"/>
      <c r="G149" s="262"/>
      <c r="H149" s="8"/>
      <c r="I149" s="25"/>
      <c r="J149" s="24"/>
      <c r="K149" s="8"/>
      <c r="L149" s="25"/>
      <c r="M149" s="24"/>
      <c r="N149" s="8"/>
      <c r="O149" s="212"/>
      <c r="P149" s="220"/>
      <c r="Q149" s="221"/>
    </row>
    <row r="150" spans="1:17" ht="12.75">
      <c r="A150" s="33" t="s">
        <v>51</v>
      </c>
      <c r="B150" s="80"/>
      <c r="C150" s="139">
        <v>3162.69</v>
      </c>
      <c r="D150" s="180">
        <f>575.3+368.8+500+100</f>
        <v>1544.1</v>
      </c>
      <c r="E150" s="96"/>
      <c r="F150" s="190">
        <f aca="true" t="shared" si="48" ref="F150:F164">C150+D150+E150</f>
        <v>4706.79</v>
      </c>
      <c r="G150" s="261"/>
      <c r="H150" s="7"/>
      <c r="I150" s="23">
        <f>F150+G150+H150</f>
        <v>4706.79</v>
      </c>
      <c r="J150" s="29"/>
      <c r="K150" s="7"/>
      <c r="L150" s="23">
        <f>I150+J150+K150</f>
        <v>4706.79</v>
      </c>
      <c r="M150" s="29"/>
      <c r="N150" s="7"/>
      <c r="O150" s="210">
        <f>L150+M150+N150</f>
        <v>4706.79</v>
      </c>
      <c r="P150" s="220"/>
      <c r="Q150" s="221">
        <f>O150+P150</f>
        <v>4706.79</v>
      </c>
    </row>
    <row r="151" spans="1:17" ht="12.75">
      <c r="A151" s="81" t="s">
        <v>329</v>
      </c>
      <c r="B151" s="80">
        <v>2046</v>
      </c>
      <c r="C151" s="139"/>
      <c r="D151" s="128">
        <f>2510.73</f>
        <v>2510.73</v>
      </c>
      <c r="E151" s="96"/>
      <c r="F151" s="190">
        <f t="shared" si="48"/>
        <v>2510.73</v>
      </c>
      <c r="G151" s="261"/>
      <c r="H151" s="7"/>
      <c r="I151" s="23">
        <f aca="true" t="shared" si="49" ref="I151:I164">F151+G151+H151</f>
        <v>2510.73</v>
      </c>
      <c r="J151" s="22"/>
      <c r="K151" s="7"/>
      <c r="L151" s="23">
        <f aca="true" t="shared" si="50" ref="L151:L164">I151+J151+K151</f>
        <v>2510.73</v>
      </c>
      <c r="M151" s="22"/>
      <c r="N151" s="7"/>
      <c r="O151" s="210">
        <f aca="true" t="shared" si="51" ref="O151:O164">L151+M151+N151</f>
        <v>2510.73</v>
      </c>
      <c r="P151" s="220"/>
      <c r="Q151" s="221">
        <f aca="true" t="shared" si="52" ref="Q151:Q164">O151+P151</f>
        <v>2510.73</v>
      </c>
    </row>
    <row r="152" spans="1:17" ht="12.75">
      <c r="A152" s="81" t="s">
        <v>330</v>
      </c>
      <c r="B152" s="80">
        <v>2016</v>
      </c>
      <c r="C152" s="139"/>
      <c r="D152" s="128">
        <f>459.09</f>
        <v>459.09</v>
      </c>
      <c r="E152" s="96"/>
      <c r="F152" s="190">
        <f t="shared" si="48"/>
        <v>459.09</v>
      </c>
      <c r="G152" s="261"/>
      <c r="H152" s="7"/>
      <c r="I152" s="23">
        <f t="shared" si="49"/>
        <v>459.09</v>
      </c>
      <c r="J152" s="22"/>
      <c r="K152" s="7"/>
      <c r="L152" s="23">
        <f t="shared" si="50"/>
        <v>459.09</v>
      </c>
      <c r="M152" s="22"/>
      <c r="N152" s="7"/>
      <c r="O152" s="210">
        <f t="shared" si="51"/>
        <v>459.09</v>
      </c>
      <c r="P152" s="220"/>
      <c r="Q152" s="221">
        <f t="shared" si="52"/>
        <v>459.09</v>
      </c>
    </row>
    <row r="153" spans="1:17" ht="12.75" hidden="1">
      <c r="A153" s="81" t="s">
        <v>285</v>
      </c>
      <c r="B153" s="80"/>
      <c r="C153" s="139"/>
      <c r="D153" s="128"/>
      <c r="E153" s="96"/>
      <c r="F153" s="190">
        <f t="shared" si="48"/>
        <v>0</v>
      </c>
      <c r="G153" s="261"/>
      <c r="H153" s="7"/>
      <c r="I153" s="23">
        <f t="shared" si="49"/>
        <v>0</v>
      </c>
      <c r="J153" s="22"/>
      <c r="K153" s="7"/>
      <c r="L153" s="23">
        <f t="shared" si="50"/>
        <v>0</v>
      </c>
      <c r="M153" s="22"/>
      <c r="N153" s="7"/>
      <c r="O153" s="210">
        <f t="shared" si="51"/>
        <v>0</v>
      </c>
      <c r="P153" s="220"/>
      <c r="Q153" s="221">
        <f t="shared" si="52"/>
        <v>0</v>
      </c>
    </row>
    <row r="154" spans="1:17" ht="12.75" hidden="1">
      <c r="A154" s="42" t="s">
        <v>331</v>
      </c>
      <c r="B154" s="80">
        <v>2064</v>
      </c>
      <c r="C154" s="139"/>
      <c r="D154" s="128"/>
      <c r="E154" s="96"/>
      <c r="F154" s="190">
        <f t="shared" si="48"/>
        <v>0</v>
      </c>
      <c r="G154" s="261"/>
      <c r="H154" s="7"/>
      <c r="I154" s="23">
        <f t="shared" si="49"/>
        <v>0</v>
      </c>
      <c r="J154" s="22"/>
      <c r="K154" s="7"/>
      <c r="L154" s="23">
        <f t="shared" si="50"/>
        <v>0</v>
      </c>
      <c r="M154" s="22"/>
      <c r="N154" s="7"/>
      <c r="O154" s="210">
        <f t="shared" si="51"/>
        <v>0</v>
      </c>
      <c r="P154" s="220"/>
      <c r="Q154" s="221">
        <f t="shared" si="52"/>
        <v>0</v>
      </c>
    </row>
    <row r="155" spans="1:17" ht="12.75">
      <c r="A155" s="42" t="s">
        <v>332</v>
      </c>
      <c r="B155" s="80">
        <v>2079</v>
      </c>
      <c r="C155" s="139"/>
      <c r="D155" s="128">
        <f>73.55</f>
        <v>73.55</v>
      </c>
      <c r="E155" s="96"/>
      <c r="F155" s="190">
        <f t="shared" si="48"/>
        <v>73.55</v>
      </c>
      <c r="G155" s="261"/>
      <c r="H155" s="7"/>
      <c r="I155" s="23">
        <f t="shared" si="49"/>
        <v>73.55</v>
      </c>
      <c r="J155" s="22"/>
      <c r="K155" s="7"/>
      <c r="L155" s="23">
        <f t="shared" si="50"/>
        <v>73.55</v>
      </c>
      <c r="M155" s="22"/>
      <c r="N155" s="7"/>
      <c r="O155" s="210">
        <f t="shared" si="51"/>
        <v>73.55</v>
      </c>
      <c r="P155" s="220"/>
      <c r="Q155" s="221">
        <f t="shared" si="52"/>
        <v>73.55</v>
      </c>
    </row>
    <row r="156" spans="1:17" ht="12.75" hidden="1">
      <c r="A156" s="81" t="s">
        <v>272</v>
      </c>
      <c r="B156" s="80">
        <v>2079</v>
      </c>
      <c r="C156" s="139"/>
      <c r="D156" s="128"/>
      <c r="E156" s="96"/>
      <c r="F156" s="190">
        <f t="shared" si="48"/>
        <v>0</v>
      </c>
      <c r="G156" s="261"/>
      <c r="H156" s="7"/>
      <c r="I156" s="23">
        <f t="shared" si="49"/>
        <v>0</v>
      </c>
      <c r="J156" s="22"/>
      <c r="K156" s="7"/>
      <c r="L156" s="23">
        <f t="shared" si="50"/>
        <v>0</v>
      </c>
      <c r="M156" s="22"/>
      <c r="N156" s="7"/>
      <c r="O156" s="210">
        <f t="shared" si="51"/>
        <v>0</v>
      </c>
      <c r="P156" s="220"/>
      <c r="Q156" s="221">
        <f t="shared" si="52"/>
        <v>0</v>
      </c>
    </row>
    <row r="157" spans="1:17" ht="12.75">
      <c r="A157" s="42" t="s">
        <v>347</v>
      </c>
      <c r="B157" s="80"/>
      <c r="C157" s="139"/>
      <c r="D157" s="128">
        <f>2601.16</f>
        <v>2601.16</v>
      </c>
      <c r="E157" s="96"/>
      <c r="F157" s="190">
        <f t="shared" si="48"/>
        <v>2601.16</v>
      </c>
      <c r="G157" s="261"/>
      <c r="H157" s="7"/>
      <c r="I157" s="23"/>
      <c r="J157" s="22"/>
      <c r="K157" s="7"/>
      <c r="L157" s="23"/>
      <c r="M157" s="22"/>
      <c r="N157" s="7"/>
      <c r="O157" s="210"/>
      <c r="P157" s="220"/>
      <c r="Q157" s="221"/>
    </row>
    <row r="158" spans="1:17" ht="12.75">
      <c r="A158" s="81" t="s">
        <v>320</v>
      </c>
      <c r="B158" s="80"/>
      <c r="C158" s="139"/>
      <c r="D158" s="128">
        <f>10748.16</f>
        <v>10748.16</v>
      </c>
      <c r="E158" s="96"/>
      <c r="F158" s="190">
        <f t="shared" si="48"/>
        <v>10748.16</v>
      </c>
      <c r="G158" s="261"/>
      <c r="H158" s="7"/>
      <c r="I158" s="23"/>
      <c r="J158" s="22"/>
      <c r="K158" s="7"/>
      <c r="L158" s="23"/>
      <c r="M158" s="22"/>
      <c r="N158" s="7"/>
      <c r="O158" s="210"/>
      <c r="P158" s="220"/>
      <c r="Q158" s="221"/>
    </row>
    <row r="159" spans="1:17" ht="12.75" hidden="1">
      <c r="A159" s="81" t="s">
        <v>268</v>
      </c>
      <c r="B159" s="80">
        <v>2067</v>
      </c>
      <c r="C159" s="139"/>
      <c r="D159" s="128"/>
      <c r="E159" s="96"/>
      <c r="F159" s="190">
        <f t="shared" si="48"/>
        <v>0</v>
      </c>
      <c r="G159" s="261"/>
      <c r="H159" s="7"/>
      <c r="I159" s="23">
        <f t="shared" si="49"/>
        <v>0</v>
      </c>
      <c r="J159" s="22"/>
      <c r="K159" s="7"/>
      <c r="L159" s="23">
        <f t="shared" si="50"/>
        <v>0</v>
      </c>
      <c r="M159" s="22"/>
      <c r="N159" s="7"/>
      <c r="O159" s="210">
        <f t="shared" si="51"/>
        <v>0</v>
      </c>
      <c r="P159" s="220"/>
      <c r="Q159" s="221">
        <f t="shared" si="52"/>
        <v>0</v>
      </c>
    </row>
    <row r="160" spans="1:17" ht="12.75" hidden="1">
      <c r="A160" s="81" t="s">
        <v>273</v>
      </c>
      <c r="B160" s="80">
        <v>2074</v>
      </c>
      <c r="C160" s="139"/>
      <c r="D160" s="128"/>
      <c r="E160" s="96"/>
      <c r="F160" s="190">
        <f t="shared" si="48"/>
        <v>0</v>
      </c>
      <c r="G160" s="261"/>
      <c r="H160" s="7"/>
      <c r="I160" s="23">
        <f t="shared" si="49"/>
        <v>0</v>
      </c>
      <c r="J160" s="22"/>
      <c r="K160" s="7"/>
      <c r="L160" s="23">
        <f t="shared" si="50"/>
        <v>0</v>
      </c>
      <c r="M160" s="22"/>
      <c r="N160" s="7"/>
      <c r="O160" s="210">
        <f t="shared" si="51"/>
        <v>0</v>
      </c>
      <c r="P160" s="220"/>
      <c r="Q160" s="221">
        <f t="shared" si="52"/>
        <v>0</v>
      </c>
    </row>
    <row r="161" spans="1:17" ht="12.75">
      <c r="A161" s="81" t="s">
        <v>333</v>
      </c>
      <c r="B161" s="80"/>
      <c r="C161" s="139"/>
      <c r="D161" s="128">
        <f>347.99</f>
        <v>347.99</v>
      </c>
      <c r="E161" s="96"/>
      <c r="F161" s="190">
        <f t="shared" si="48"/>
        <v>347.99</v>
      </c>
      <c r="G161" s="261"/>
      <c r="H161" s="7"/>
      <c r="I161" s="23">
        <f t="shared" si="49"/>
        <v>347.99</v>
      </c>
      <c r="J161" s="22"/>
      <c r="K161" s="7"/>
      <c r="L161" s="23">
        <f t="shared" si="50"/>
        <v>347.99</v>
      </c>
      <c r="M161" s="22"/>
      <c r="N161" s="7"/>
      <c r="O161" s="210">
        <f t="shared" si="51"/>
        <v>347.99</v>
      </c>
      <c r="P161" s="220"/>
      <c r="Q161" s="221">
        <f t="shared" si="52"/>
        <v>347.99</v>
      </c>
    </row>
    <row r="162" spans="1:17" ht="12.75" hidden="1">
      <c r="A162" s="81" t="s">
        <v>301</v>
      </c>
      <c r="B162" s="80"/>
      <c r="C162" s="139"/>
      <c r="D162" s="128"/>
      <c r="E162" s="96"/>
      <c r="F162" s="190">
        <f t="shared" si="48"/>
        <v>0</v>
      </c>
      <c r="G162" s="261"/>
      <c r="H162" s="7"/>
      <c r="I162" s="23">
        <f t="shared" si="49"/>
        <v>0</v>
      </c>
      <c r="J162" s="22"/>
      <c r="K162" s="7"/>
      <c r="L162" s="23">
        <f t="shared" si="50"/>
        <v>0</v>
      </c>
      <c r="M162" s="22"/>
      <c r="N162" s="7"/>
      <c r="O162" s="210">
        <f t="shared" si="51"/>
        <v>0</v>
      </c>
      <c r="P162" s="220"/>
      <c r="Q162" s="221">
        <f t="shared" si="52"/>
        <v>0</v>
      </c>
    </row>
    <row r="163" spans="1:17" ht="12.75" hidden="1">
      <c r="A163" s="81" t="s">
        <v>334</v>
      </c>
      <c r="B163" s="80">
        <v>2058</v>
      </c>
      <c r="C163" s="139"/>
      <c r="D163" s="128"/>
      <c r="E163" s="96"/>
      <c r="F163" s="190">
        <f t="shared" si="48"/>
        <v>0</v>
      </c>
      <c r="G163" s="261"/>
      <c r="H163" s="7"/>
      <c r="I163" s="23">
        <f t="shared" si="49"/>
        <v>0</v>
      </c>
      <c r="J163" s="22"/>
      <c r="K163" s="7"/>
      <c r="L163" s="23">
        <f t="shared" si="50"/>
        <v>0</v>
      </c>
      <c r="M163" s="22"/>
      <c r="N163" s="7"/>
      <c r="O163" s="210">
        <f t="shared" si="51"/>
        <v>0</v>
      </c>
      <c r="P163" s="220"/>
      <c r="Q163" s="221">
        <f t="shared" si="52"/>
        <v>0</v>
      </c>
    </row>
    <row r="164" spans="1:17" ht="12.75">
      <c r="A164" s="33" t="s">
        <v>73</v>
      </c>
      <c r="B164" s="80"/>
      <c r="C164" s="139">
        <v>4900</v>
      </c>
      <c r="D164" s="128">
        <f>1200+4000+544.23+686.81+1193.04+637.66+1072.68+100-500-500</f>
        <v>8434.42</v>
      </c>
      <c r="E164" s="96"/>
      <c r="F164" s="190">
        <f t="shared" si="48"/>
        <v>13334.42</v>
      </c>
      <c r="G164" s="261"/>
      <c r="H164" s="7"/>
      <c r="I164" s="23">
        <f t="shared" si="49"/>
        <v>13334.42</v>
      </c>
      <c r="J164" s="22"/>
      <c r="K164" s="7"/>
      <c r="L164" s="23">
        <f t="shared" si="50"/>
        <v>13334.42</v>
      </c>
      <c r="M164" s="22"/>
      <c r="N164" s="7"/>
      <c r="O164" s="210">
        <f t="shared" si="51"/>
        <v>13334.42</v>
      </c>
      <c r="P164" s="220"/>
      <c r="Q164" s="221">
        <f t="shared" si="52"/>
        <v>13334.42</v>
      </c>
    </row>
    <row r="165" spans="1:17" ht="12.75">
      <c r="A165" s="40" t="s">
        <v>53</v>
      </c>
      <c r="B165" s="84"/>
      <c r="C165" s="144">
        <f aca="true" t="shared" si="53" ref="C165:Q165">SUM(C167:C174)</f>
        <v>0</v>
      </c>
      <c r="D165" s="132">
        <f t="shared" si="53"/>
        <v>208982.75</v>
      </c>
      <c r="E165" s="106">
        <f t="shared" si="53"/>
        <v>0</v>
      </c>
      <c r="F165" s="194">
        <f t="shared" si="53"/>
        <v>208982.75</v>
      </c>
      <c r="G165" s="228">
        <f t="shared" si="53"/>
        <v>0</v>
      </c>
      <c r="H165" s="106">
        <f t="shared" si="53"/>
        <v>0</v>
      </c>
      <c r="I165" s="167">
        <f t="shared" si="53"/>
        <v>9826.51</v>
      </c>
      <c r="J165" s="105">
        <f t="shared" si="53"/>
        <v>0</v>
      </c>
      <c r="K165" s="106">
        <f t="shared" si="53"/>
        <v>0</v>
      </c>
      <c r="L165" s="167">
        <f t="shared" si="53"/>
        <v>9826.51</v>
      </c>
      <c r="M165" s="105">
        <f t="shared" si="53"/>
        <v>0</v>
      </c>
      <c r="N165" s="106">
        <f t="shared" si="53"/>
        <v>0</v>
      </c>
      <c r="O165" s="194">
        <f t="shared" si="53"/>
        <v>9826.51</v>
      </c>
      <c r="P165" s="228">
        <f t="shared" si="53"/>
        <v>0</v>
      </c>
      <c r="Q165" s="194">
        <f t="shared" si="53"/>
        <v>9826.51</v>
      </c>
    </row>
    <row r="166" spans="1:17" ht="12.75">
      <c r="A166" s="42" t="s">
        <v>26</v>
      </c>
      <c r="B166" s="80"/>
      <c r="C166" s="139"/>
      <c r="D166" s="128"/>
      <c r="E166" s="96"/>
      <c r="F166" s="190"/>
      <c r="G166" s="261"/>
      <c r="H166" s="7"/>
      <c r="I166" s="23"/>
      <c r="J166" s="22"/>
      <c r="K166" s="7"/>
      <c r="L166" s="23"/>
      <c r="M166" s="22"/>
      <c r="N166" s="7"/>
      <c r="O166" s="210"/>
      <c r="P166" s="220"/>
      <c r="Q166" s="221"/>
    </row>
    <row r="167" spans="1:17" ht="12.75">
      <c r="A167" s="42" t="s">
        <v>332</v>
      </c>
      <c r="B167" s="80">
        <v>2079</v>
      </c>
      <c r="C167" s="139"/>
      <c r="D167" s="128">
        <f>1145.26+247.5</f>
        <v>1392.76</v>
      </c>
      <c r="E167" s="96"/>
      <c r="F167" s="190">
        <f aca="true" t="shared" si="54" ref="F167:F174">C167+D167+E167</f>
        <v>1392.76</v>
      </c>
      <c r="G167" s="261"/>
      <c r="H167" s="7"/>
      <c r="I167" s="23">
        <f aca="true" t="shared" si="55" ref="I167:I174">F167+G167+H167</f>
        <v>1392.76</v>
      </c>
      <c r="J167" s="22"/>
      <c r="K167" s="7"/>
      <c r="L167" s="23">
        <f aca="true" t="shared" si="56" ref="L167:L174">I167+J167+K167</f>
        <v>1392.76</v>
      </c>
      <c r="M167" s="22"/>
      <c r="N167" s="7"/>
      <c r="O167" s="210">
        <f aca="true" t="shared" si="57" ref="O167:O174">L167+M167+N167</f>
        <v>1392.76</v>
      </c>
      <c r="P167" s="220"/>
      <c r="Q167" s="221">
        <f>O167+P167</f>
        <v>1392.76</v>
      </c>
    </row>
    <row r="168" spans="1:17" ht="12.75" hidden="1">
      <c r="A168" s="81" t="s">
        <v>272</v>
      </c>
      <c r="B168" s="80">
        <v>2079</v>
      </c>
      <c r="C168" s="139"/>
      <c r="D168" s="128"/>
      <c r="E168" s="96"/>
      <c r="F168" s="190">
        <f t="shared" si="54"/>
        <v>0</v>
      </c>
      <c r="G168" s="261"/>
      <c r="H168" s="7"/>
      <c r="I168" s="23">
        <f t="shared" si="55"/>
        <v>0</v>
      </c>
      <c r="J168" s="22"/>
      <c r="K168" s="7"/>
      <c r="L168" s="23">
        <f t="shared" si="56"/>
        <v>0</v>
      </c>
      <c r="M168" s="22"/>
      <c r="N168" s="7"/>
      <c r="O168" s="210">
        <f t="shared" si="57"/>
        <v>0</v>
      </c>
      <c r="P168" s="220"/>
      <c r="Q168" s="221">
        <f>O168+P168</f>
        <v>0</v>
      </c>
    </row>
    <row r="169" spans="1:17" ht="12.75">
      <c r="A169" s="42" t="s">
        <v>347</v>
      </c>
      <c r="B169" s="80"/>
      <c r="C169" s="139"/>
      <c r="D169" s="128">
        <f>55847.45</f>
        <v>55847.45</v>
      </c>
      <c r="E169" s="96"/>
      <c r="F169" s="190">
        <f t="shared" si="54"/>
        <v>55847.45</v>
      </c>
      <c r="G169" s="261"/>
      <c r="H169" s="7"/>
      <c r="I169" s="23"/>
      <c r="J169" s="22"/>
      <c r="K169" s="7"/>
      <c r="L169" s="23"/>
      <c r="M169" s="22"/>
      <c r="N169" s="7"/>
      <c r="O169" s="210"/>
      <c r="P169" s="220"/>
      <c r="Q169" s="221"/>
    </row>
    <row r="170" spans="1:17" ht="12.75">
      <c r="A170" s="81" t="s">
        <v>320</v>
      </c>
      <c r="B170" s="80"/>
      <c r="C170" s="139"/>
      <c r="D170" s="128">
        <f>143308.79</f>
        <v>143308.79</v>
      </c>
      <c r="E170" s="96"/>
      <c r="F170" s="190">
        <f t="shared" si="54"/>
        <v>143308.79</v>
      </c>
      <c r="G170" s="261"/>
      <c r="H170" s="7"/>
      <c r="I170" s="23"/>
      <c r="J170" s="22"/>
      <c r="K170" s="7"/>
      <c r="L170" s="23"/>
      <c r="M170" s="22"/>
      <c r="N170" s="7"/>
      <c r="O170" s="210"/>
      <c r="P170" s="220"/>
      <c r="Q170" s="221"/>
    </row>
    <row r="171" spans="1:17" ht="12.75">
      <c r="A171" s="81" t="s">
        <v>335</v>
      </c>
      <c r="B171" s="80"/>
      <c r="C171" s="139"/>
      <c r="D171" s="128">
        <f>8433.75</f>
        <v>8433.75</v>
      </c>
      <c r="E171" s="96"/>
      <c r="F171" s="190">
        <f t="shared" si="54"/>
        <v>8433.75</v>
      </c>
      <c r="G171" s="261"/>
      <c r="H171" s="7"/>
      <c r="I171" s="23">
        <f t="shared" si="55"/>
        <v>8433.75</v>
      </c>
      <c r="J171" s="22"/>
      <c r="K171" s="7"/>
      <c r="L171" s="23">
        <f t="shared" si="56"/>
        <v>8433.75</v>
      </c>
      <c r="M171" s="22"/>
      <c r="N171" s="7"/>
      <c r="O171" s="210">
        <f t="shared" si="57"/>
        <v>8433.75</v>
      </c>
      <c r="P171" s="220"/>
      <c r="Q171" s="221">
        <f>O171+P171</f>
        <v>8433.75</v>
      </c>
    </row>
    <row r="172" spans="1:17" ht="12.75" hidden="1">
      <c r="A172" s="33" t="s">
        <v>65</v>
      </c>
      <c r="B172" s="80"/>
      <c r="C172" s="139"/>
      <c r="D172" s="128"/>
      <c r="E172" s="96"/>
      <c r="F172" s="190">
        <f t="shared" si="54"/>
        <v>0</v>
      </c>
      <c r="G172" s="261"/>
      <c r="H172" s="7"/>
      <c r="I172" s="23">
        <f t="shared" si="55"/>
        <v>0</v>
      </c>
      <c r="J172" s="22"/>
      <c r="K172" s="7"/>
      <c r="L172" s="23">
        <f t="shared" si="56"/>
        <v>0</v>
      </c>
      <c r="M172" s="22"/>
      <c r="N172" s="7"/>
      <c r="O172" s="210">
        <f t="shared" si="57"/>
        <v>0</v>
      </c>
      <c r="P172" s="220"/>
      <c r="Q172" s="221">
        <f>O172+P172</f>
        <v>0</v>
      </c>
    </row>
    <row r="173" spans="1:17" ht="12.75" hidden="1">
      <c r="A173" s="33" t="s">
        <v>54</v>
      </c>
      <c r="B173" s="80"/>
      <c r="C173" s="139"/>
      <c r="D173" s="128"/>
      <c r="E173" s="96"/>
      <c r="F173" s="190">
        <f t="shared" si="54"/>
        <v>0</v>
      </c>
      <c r="G173" s="261"/>
      <c r="H173" s="7"/>
      <c r="I173" s="23">
        <f t="shared" si="55"/>
        <v>0</v>
      </c>
      <c r="J173" s="22"/>
      <c r="K173" s="7"/>
      <c r="L173" s="23">
        <f t="shared" si="56"/>
        <v>0</v>
      </c>
      <c r="M173" s="22"/>
      <c r="N173" s="7"/>
      <c r="O173" s="210">
        <f t="shared" si="57"/>
        <v>0</v>
      </c>
      <c r="P173" s="220"/>
      <c r="Q173" s="221">
        <f aca="true" t="shared" si="58" ref="Q173:Q219">O173+P173</f>
        <v>0</v>
      </c>
    </row>
    <row r="174" spans="1:17" ht="12.75">
      <c r="A174" s="36" t="s">
        <v>73</v>
      </c>
      <c r="B174" s="83"/>
      <c r="C174" s="253"/>
      <c r="D174" s="244">
        <f>100-100</f>
        <v>0</v>
      </c>
      <c r="E174" s="104"/>
      <c r="F174" s="195">
        <f t="shared" si="54"/>
        <v>0</v>
      </c>
      <c r="G174" s="263"/>
      <c r="H174" s="10"/>
      <c r="I174" s="27">
        <f t="shared" si="55"/>
        <v>0</v>
      </c>
      <c r="J174" s="26"/>
      <c r="K174" s="10"/>
      <c r="L174" s="27">
        <f t="shared" si="56"/>
        <v>0</v>
      </c>
      <c r="M174" s="26"/>
      <c r="N174" s="10"/>
      <c r="O174" s="213">
        <f t="shared" si="57"/>
        <v>0</v>
      </c>
      <c r="P174" s="229"/>
      <c r="Q174" s="230">
        <f t="shared" si="58"/>
        <v>0</v>
      </c>
    </row>
    <row r="175" spans="1:17" ht="12.75">
      <c r="A175" s="30" t="s">
        <v>77</v>
      </c>
      <c r="B175" s="84"/>
      <c r="C175" s="138">
        <f aca="true" t="shared" si="59" ref="C175:Q175">C176+C211</f>
        <v>441953.44000000006</v>
      </c>
      <c r="D175" s="117">
        <f t="shared" si="59"/>
        <v>10383187.219999999</v>
      </c>
      <c r="E175" s="95">
        <f t="shared" si="59"/>
        <v>0</v>
      </c>
      <c r="F175" s="189">
        <f t="shared" si="59"/>
        <v>10825140.66</v>
      </c>
      <c r="G175" s="219">
        <f t="shared" si="59"/>
        <v>0</v>
      </c>
      <c r="H175" s="95">
        <f t="shared" si="59"/>
        <v>0</v>
      </c>
      <c r="I175" s="162">
        <f t="shared" si="59"/>
        <v>10806956.530000001</v>
      </c>
      <c r="J175" s="94">
        <f t="shared" si="59"/>
        <v>0</v>
      </c>
      <c r="K175" s="95">
        <f t="shared" si="59"/>
        <v>0</v>
      </c>
      <c r="L175" s="162">
        <f t="shared" si="59"/>
        <v>10806956.530000001</v>
      </c>
      <c r="M175" s="94">
        <f t="shared" si="59"/>
        <v>0</v>
      </c>
      <c r="N175" s="95">
        <f t="shared" si="59"/>
        <v>0</v>
      </c>
      <c r="O175" s="189">
        <f t="shared" si="59"/>
        <v>10806956.530000001</v>
      </c>
      <c r="P175" s="219">
        <f t="shared" si="59"/>
        <v>0</v>
      </c>
      <c r="Q175" s="189">
        <f t="shared" si="59"/>
        <v>10806956.530000001</v>
      </c>
    </row>
    <row r="176" spans="1:17" ht="12.75">
      <c r="A176" s="39" t="s">
        <v>49</v>
      </c>
      <c r="B176" s="84"/>
      <c r="C176" s="143">
        <f aca="true" t="shared" si="60" ref="C176:Q176">SUM(C178:C210)</f>
        <v>441213.44000000006</v>
      </c>
      <c r="D176" s="131">
        <f t="shared" si="60"/>
        <v>10375559.62</v>
      </c>
      <c r="E176" s="103">
        <f t="shared" si="60"/>
        <v>0</v>
      </c>
      <c r="F176" s="193">
        <f t="shared" si="60"/>
        <v>10816773.06</v>
      </c>
      <c r="G176" s="227">
        <f t="shared" si="60"/>
        <v>0</v>
      </c>
      <c r="H176" s="103">
        <f t="shared" si="60"/>
        <v>0</v>
      </c>
      <c r="I176" s="166">
        <f t="shared" si="60"/>
        <v>10798588.930000002</v>
      </c>
      <c r="J176" s="102">
        <f t="shared" si="60"/>
        <v>0</v>
      </c>
      <c r="K176" s="103">
        <f t="shared" si="60"/>
        <v>0</v>
      </c>
      <c r="L176" s="166">
        <f t="shared" si="60"/>
        <v>10798588.930000002</v>
      </c>
      <c r="M176" s="102">
        <f t="shared" si="60"/>
        <v>0</v>
      </c>
      <c r="N176" s="103">
        <f t="shared" si="60"/>
        <v>0</v>
      </c>
      <c r="O176" s="193">
        <f t="shared" si="60"/>
        <v>10798588.930000002</v>
      </c>
      <c r="P176" s="227">
        <f t="shared" si="60"/>
        <v>0</v>
      </c>
      <c r="Q176" s="193">
        <f t="shared" si="60"/>
        <v>10798588.930000002</v>
      </c>
    </row>
    <row r="177" spans="1:17" ht="12.75">
      <c r="A177" s="31" t="s">
        <v>26</v>
      </c>
      <c r="B177" s="80"/>
      <c r="C177" s="139"/>
      <c r="D177" s="128"/>
      <c r="E177" s="96"/>
      <c r="F177" s="190"/>
      <c r="G177" s="261"/>
      <c r="H177" s="7"/>
      <c r="I177" s="23"/>
      <c r="J177" s="22"/>
      <c r="K177" s="7"/>
      <c r="L177" s="23"/>
      <c r="M177" s="22"/>
      <c r="N177" s="7"/>
      <c r="O177" s="210"/>
      <c r="P177" s="220"/>
      <c r="Q177" s="221"/>
    </row>
    <row r="178" spans="1:17" ht="12.75">
      <c r="A178" s="37" t="s">
        <v>69</v>
      </c>
      <c r="B178" s="80"/>
      <c r="C178" s="139">
        <v>378098.03</v>
      </c>
      <c r="D178" s="128">
        <f>8337+164.5+119488+17408.32+2000+8857.8</f>
        <v>156255.62</v>
      </c>
      <c r="E178" s="96"/>
      <c r="F178" s="190">
        <f aca="true" t="shared" si="61" ref="F178:F210">C178+D178+E178</f>
        <v>534353.65</v>
      </c>
      <c r="G178" s="261"/>
      <c r="H178" s="7"/>
      <c r="I178" s="23">
        <f>F178+G178+H178</f>
        <v>534353.65</v>
      </c>
      <c r="J178" s="22"/>
      <c r="K178" s="7"/>
      <c r="L178" s="23">
        <f>I178+J178+K178</f>
        <v>534353.65</v>
      </c>
      <c r="M178" s="22"/>
      <c r="N178" s="7"/>
      <c r="O178" s="210">
        <f>L178+M178+N178</f>
        <v>534353.65</v>
      </c>
      <c r="P178" s="220"/>
      <c r="Q178" s="221">
        <f t="shared" si="58"/>
        <v>534353.65</v>
      </c>
    </row>
    <row r="179" spans="1:17" ht="12.75">
      <c r="A179" s="37" t="s">
        <v>264</v>
      </c>
      <c r="B179" s="80">
        <v>33353</v>
      </c>
      <c r="C179" s="139"/>
      <c r="D179" s="128">
        <f>9933653.38</f>
        <v>9933653.38</v>
      </c>
      <c r="E179" s="96"/>
      <c r="F179" s="190">
        <f t="shared" si="61"/>
        <v>9933653.38</v>
      </c>
      <c r="G179" s="261"/>
      <c r="H179" s="7"/>
      <c r="I179" s="23">
        <f aca="true" t="shared" si="62" ref="I179:I208">F179+G179+H179</f>
        <v>9933653.38</v>
      </c>
      <c r="J179" s="22"/>
      <c r="K179" s="7"/>
      <c r="L179" s="23">
        <f aca="true" t="shared" si="63" ref="L179:L209">I179+J179+K179</f>
        <v>9933653.38</v>
      </c>
      <c r="M179" s="22"/>
      <c r="N179" s="7"/>
      <c r="O179" s="210">
        <f aca="true" t="shared" si="64" ref="O179:O209">L179+M179+N179</f>
        <v>9933653.38</v>
      </c>
      <c r="P179" s="220"/>
      <c r="Q179" s="221">
        <f t="shared" si="58"/>
        <v>9933653.38</v>
      </c>
    </row>
    <row r="180" spans="1:17" ht="12.75">
      <c r="A180" s="37" t="s">
        <v>317</v>
      </c>
      <c r="B180" s="80">
        <v>33155</v>
      </c>
      <c r="C180" s="139"/>
      <c r="D180" s="180">
        <f>148284.67</f>
        <v>148284.67</v>
      </c>
      <c r="E180" s="96"/>
      <c r="F180" s="190">
        <f t="shared" si="61"/>
        <v>148284.67</v>
      </c>
      <c r="G180" s="261"/>
      <c r="H180" s="7"/>
      <c r="I180" s="23">
        <f t="shared" si="62"/>
        <v>148284.67</v>
      </c>
      <c r="J180" s="22"/>
      <c r="K180" s="7"/>
      <c r="L180" s="23">
        <f t="shared" si="63"/>
        <v>148284.67</v>
      </c>
      <c r="M180" s="22"/>
      <c r="N180" s="7"/>
      <c r="O180" s="210">
        <f t="shared" si="64"/>
        <v>148284.67</v>
      </c>
      <c r="P180" s="220"/>
      <c r="Q180" s="221">
        <f t="shared" si="58"/>
        <v>148284.67</v>
      </c>
    </row>
    <row r="181" spans="1:17" ht="12.75" hidden="1">
      <c r="A181" s="37" t="s">
        <v>78</v>
      </c>
      <c r="B181" s="80" t="s">
        <v>198</v>
      </c>
      <c r="C181" s="139"/>
      <c r="D181" s="128"/>
      <c r="E181" s="96"/>
      <c r="F181" s="190">
        <f t="shared" si="61"/>
        <v>0</v>
      </c>
      <c r="G181" s="261"/>
      <c r="H181" s="7"/>
      <c r="I181" s="23">
        <f t="shared" si="62"/>
        <v>0</v>
      </c>
      <c r="J181" s="22"/>
      <c r="K181" s="7"/>
      <c r="L181" s="23">
        <f t="shared" si="63"/>
        <v>0</v>
      </c>
      <c r="M181" s="22"/>
      <c r="N181" s="7"/>
      <c r="O181" s="210">
        <f t="shared" si="64"/>
        <v>0</v>
      </c>
      <c r="P181" s="220"/>
      <c r="Q181" s="221">
        <f t="shared" si="58"/>
        <v>0</v>
      </c>
    </row>
    <row r="182" spans="1:17" ht="12.75" hidden="1">
      <c r="A182" s="37" t="s">
        <v>131</v>
      </c>
      <c r="B182" s="80"/>
      <c r="C182" s="139"/>
      <c r="D182" s="128"/>
      <c r="E182" s="96"/>
      <c r="F182" s="190">
        <f t="shared" si="61"/>
        <v>0</v>
      </c>
      <c r="G182" s="261"/>
      <c r="H182" s="7"/>
      <c r="I182" s="23">
        <f t="shared" si="62"/>
        <v>0</v>
      </c>
      <c r="J182" s="22"/>
      <c r="K182" s="7"/>
      <c r="L182" s="23">
        <f t="shared" si="63"/>
        <v>0</v>
      </c>
      <c r="M182" s="22"/>
      <c r="N182" s="7"/>
      <c r="O182" s="210">
        <f t="shared" si="64"/>
        <v>0</v>
      </c>
      <c r="P182" s="220"/>
      <c r="Q182" s="221">
        <f t="shared" si="58"/>
        <v>0</v>
      </c>
    </row>
    <row r="183" spans="1:17" ht="12.75" hidden="1">
      <c r="A183" s="53" t="s">
        <v>182</v>
      </c>
      <c r="B183" s="80">
        <v>33052</v>
      </c>
      <c r="C183" s="139"/>
      <c r="D183" s="128"/>
      <c r="E183" s="96"/>
      <c r="F183" s="190">
        <f t="shared" si="61"/>
        <v>0</v>
      </c>
      <c r="G183" s="261"/>
      <c r="H183" s="7"/>
      <c r="I183" s="23">
        <f t="shared" si="62"/>
        <v>0</v>
      </c>
      <c r="J183" s="22"/>
      <c r="K183" s="7"/>
      <c r="L183" s="23">
        <f t="shared" si="63"/>
        <v>0</v>
      </c>
      <c r="M183" s="22"/>
      <c r="N183" s="7"/>
      <c r="O183" s="210">
        <f t="shared" si="64"/>
        <v>0</v>
      </c>
      <c r="P183" s="220"/>
      <c r="Q183" s="221">
        <f t="shared" si="58"/>
        <v>0</v>
      </c>
    </row>
    <row r="184" spans="1:17" ht="12.75" hidden="1">
      <c r="A184" s="53" t="s">
        <v>253</v>
      </c>
      <c r="B184" s="80">
        <v>33076</v>
      </c>
      <c r="C184" s="139"/>
      <c r="D184" s="128"/>
      <c r="E184" s="96"/>
      <c r="F184" s="190">
        <f t="shared" si="61"/>
        <v>0</v>
      </c>
      <c r="G184" s="261"/>
      <c r="H184" s="7"/>
      <c r="I184" s="23">
        <f t="shared" si="62"/>
        <v>0</v>
      </c>
      <c r="J184" s="22"/>
      <c r="K184" s="7"/>
      <c r="L184" s="23">
        <f t="shared" si="63"/>
        <v>0</v>
      </c>
      <c r="M184" s="22"/>
      <c r="N184" s="7"/>
      <c r="O184" s="210">
        <f t="shared" si="64"/>
        <v>0</v>
      </c>
      <c r="P184" s="220"/>
      <c r="Q184" s="221">
        <f t="shared" si="58"/>
        <v>0</v>
      </c>
    </row>
    <row r="185" spans="1:17" ht="12.75" hidden="1">
      <c r="A185" s="53" t="s">
        <v>213</v>
      </c>
      <c r="B185" s="80">
        <v>33069</v>
      </c>
      <c r="C185" s="139"/>
      <c r="D185" s="128"/>
      <c r="E185" s="96"/>
      <c r="F185" s="190">
        <f t="shared" si="61"/>
        <v>0</v>
      </c>
      <c r="G185" s="261"/>
      <c r="H185" s="7"/>
      <c r="I185" s="23">
        <f t="shared" si="62"/>
        <v>0</v>
      </c>
      <c r="J185" s="22"/>
      <c r="K185" s="7"/>
      <c r="L185" s="23">
        <f t="shared" si="63"/>
        <v>0</v>
      </c>
      <c r="M185" s="22"/>
      <c r="N185" s="7"/>
      <c r="O185" s="210">
        <f t="shared" si="64"/>
        <v>0</v>
      </c>
      <c r="P185" s="220"/>
      <c r="Q185" s="221">
        <f t="shared" si="58"/>
        <v>0</v>
      </c>
    </row>
    <row r="186" spans="1:17" ht="12.75" hidden="1">
      <c r="A186" s="53" t="s">
        <v>244</v>
      </c>
      <c r="B186" s="80">
        <v>33070</v>
      </c>
      <c r="C186" s="139"/>
      <c r="D186" s="128"/>
      <c r="E186" s="96"/>
      <c r="F186" s="190">
        <f t="shared" si="61"/>
        <v>0</v>
      </c>
      <c r="G186" s="261"/>
      <c r="H186" s="7"/>
      <c r="I186" s="23">
        <f t="shared" si="62"/>
        <v>0</v>
      </c>
      <c r="J186" s="22"/>
      <c r="K186" s="7"/>
      <c r="L186" s="23">
        <f t="shared" si="63"/>
        <v>0</v>
      </c>
      <c r="M186" s="22"/>
      <c r="N186" s="7"/>
      <c r="O186" s="210">
        <f t="shared" si="64"/>
        <v>0</v>
      </c>
      <c r="P186" s="220"/>
      <c r="Q186" s="221">
        <f t="shared" si="58"/>
        <v>0</v>
      </c>
    </row>
    <row r="187" spans="1:17" ht="12.75" hidden="1">
      <c r="A187" s="37" t="s">
        <v>237</v>
      </c>
      <c r="B187" s="80">
        <v>33071</v>
      </c>
      <c r="C187" s="139"/>
      <c r="D187" s="128"/>
      <c r="E187" s="96"/>
      <c r="F187" s="190">
        <f t="shared" si="61"/>
        <v>0</v>
      </c>
      <c r="G187" s="261"/>
      <c r="H187" s="7"/>
      <c r="I187" s="23">
        <f t="shared" si="62"/>
        <v>0</v>
      </c>
      <c r="J187" s="22"/>
      <c r="K187" s="7"/>
      <c r="L187" s="23">
        <f t="shared" si="63"/>
        <v>0</v>
      </c>
      <c r="M187" s="22"/>
      <c r="N187" s="7"/>
      <c r="O187" s="210">
        <f t="shared" si="64"/>
        <v>0</v>
      </c>
      <c r="P187" s="220"/>
      <c r="Q187" s="221">
        <f t="shared" si="58"/>
        <v>0</v>
      </c>
    </row>
    <row r="188" spans="1:17" ht="12.75" hidden="1">
      <c r="A188" s="37" t="s">
        <v>183</v>
      </c>
      <c r="B188" s="80">
        <v>33050</v>
      </c>
      <c r="C188" s="139"/>
      <c r="D188" s="128"/>
      <c r="E188" s="96"/>
      <c r="F188" s="190">
        <f t="shared" si="61"/>
        <v>0</v>
      </c>
      <c r="G188" s="261"/>
      <c r="H188" s="7"/>
      <c r="I188" s="23">
        <f t="shared" si="62"/>
        <v>0</v>
      </c>
      <c r="J188" s="22"/>
      <c r="K188" s="7"/>
      <c r="L188" s="23">
        <f t="shared" si="63"/>
        <v>0</v>
      </c>
      <c r="M188" s="22"/>
      <c r="N188" s="7"/>
      <c r="O188" s="210">
        <f t="shared" si="64"/>
        <v>0</v>
      </c>
      <c r="P188" s="220"/>
      <c r="Q188" s="221">
        <f t="shared" si="58"/>
        <v>0</v>
      </c>
    </row>
    <row r="189" spans="1:17" ht="12.75" hidden="1">
      <c r="A189" s="37" t="s">
        <v>143</v>
      </c>
      <c r="B189" s="80">
        <v>33435</v>
      </c>
      <c r="C189" s="139"/>
      <c r="D189" s="128"/>
      <c r="E189" s="96"/>
      <c r="F189" s="190">
        <f t="shared" si="61"/>
        <v>0</v>
      </c>
      <c r="G189" s="261"/>
      <c r="H189" s="7"/>
      <c r="I189" s="23">
        <f t="shared" si="62"/>
        <v>0</v>
      </c>
      <c r="J189" s="22"/>
      <c r="K189" s="7"/>
      <c r="L189" s="23">
        <f t="shared" si="63"/>
        <v>0</v>
      </c>
      <c r="M189" s="22"/>
      <c r="N189" s="7"/>
      <c r="O189" s="210">
        <f t="shared" si="64"/>
        <v>0</v>
      </c>
      <c r="P189" s="220"/>
      <c r="Q189" s="221">
        <f t="shared" si="58"/>
        <v>0</v>
      </c>
    </row>
    <row r="190" spans="1:17" ht="12.75" hidden="1">
      <c r="A190" s="37" t="s">
        <v>201</v>
      </c>
      <c r="B190" s="80">
        <v>33049</v>
      </c>
      <c r="C190" s="139"/>
      <c r="D190" s="128"/>
      <c r="E190" s="96"/>
      <c r="F190" s="190">
        <f t="shared" si="61"/>
        <v>0</v>
      </c>
      <c r="G190" s="261"/>
      <c r="H190" s="7"/>
      <c r="I190" s="23">
        <f t="shared" si="62"/>
        <v>0</v>
      </c>
      <c r="J190" s="22"/>
      <c r="K190" s="7"/>
      <c r="L190" s="23">
        <f t="shared" si="63"/>
        <v>0</v>
      </c>
      <c r="M190" s="22"/>
      <c r="N190" s="7"/>
      <c r="O190" s="210">
        <f t="shared" si="64"/>
        <v>0</v>
      </c>
      <c r="P190" s="220"/>
      <c r="Q190" s="221">
        <f t="shared" si="58"/>
        <v>0</v>
      </c>
    </row>
    <row r="191" spans="1:17" ht="12.75" hidden="1">
      <c r="A191" s="37" t="s">
        <v>184</v>
      </c>
      <c r="B191" s="80">
        <v>33044</v>
      </c>
      <c r="C191" s="139"/>
      <c r="D191" s="128"/>
      <c r="E191" s="96"/>
      <c r="F191" s="190">
        <f t="shared" si="61"/>
        <v>0</v>
      </c>
      <c r="G191" s="261"/>
      <c r="H191" s="7"/>
      <c r="I191" s="23">
        <f t="shared" si="62"/>
        <v>0</v>
      </c>
      <c r="J191" s="22"/>
      <c r="K191" s="7"/>
      <c r="L191" s="23">
        <f t="shared" si="63"/>
        <v>0</v>
      </c>
      <c r="M191" s="22"/>
      <c r="N191" s="7"/>
      <c r="O191" s="210">
        <f t="shared" si="64"/>
        <v>0</v>
      </c>
      <c r="P191" s="220"/>
      <c r="Q191" s="221">
        <f t="shared" si="58"/>
        <v>0</v>
      </c>
    </row>
    <row r="192" spans="1:17" ht="12.75" hidden="1">
      <c r="A192" s="37" t="s">
        <v>189</v>
      </c>
      <c r="B192" s="80">
        <v>33024</v>
      </c>
      <c r="C192" s="139"/>
      <c r="D192" s="128"/>
      <c r="E192" s="96"/>
      <c r="F192" s="190">
        <f t="shared" si="61"/>
        <v>0</v>
      </c>
      <c r="G192" s="261"/>
      <c r="H192" s="7"/>
      <c r="I192" s="23">
        <f t="shared" si="62"/>
        <v>0</v>
      </c>
      <c r="J192" s="22"/>
      <c r="K192" s="7"/>
      <c r="L192" s="23">
        <f t="shared" si="63"/>
        <v>0</v>
      </c>
      <c r="M192" s="22"/>
      <c r="N192" s="7"/>
      <c r="O192" s="210">
        <f t="shared" si="64"/>
        <v>0</v>
      </c>
      <c r="P192" s="220"/>
      <c r="Q192" s="221">
        <f t="shared" si="58"/>
        <v>0</v>
      </c>
    </row>
    <row r="193" spans="1:17" ht="12.75" hidden="1">
      <c r="A193" s="53" t="s">
        <v>148</v>
      </c>
      <c r="B193" s="80">
        <v>33018</v>
      </c>
      <c r="C193" s="139"/>
      <c r="D193" s="128"/>
      <c r="E193" s="96"/>
      <c r="F193" s="190">
        <f t="shared" si="61"/>
        <v>0</v>
      </c>
      <c r="G193" s="261"/>
      <c r="H193" s="7"/>
      <c r="I193" s="23">
        <f t="shared" si="62"/>
        <v>0</v>
      </c>
      <c r="J193" s="22"/>
      <c r="K193" s="7"/>
      <c r="L193" s="23">
        <f t="shared" si="63"/>
        <v>0</v>
      </c>
      <c r="M193" s="22"/>
      <c r="N193" s="7"/>
      <c r="O193" s="210">
        <f t="shared" si="64"/>
        <v>0</v>
      </c>
      <c r="P193" s="220"/>
      <c r="Q193" s="221">
        <f t="shared" si="58"/>
        <v>0</v>
      </c>
    </row>
    <row r="194" spans="1:17" ht="13.5" thickBot="1">
      <c r="A194" s="276" t="s">
        <v>350</v>
      </c>
      <c r="B194" s="271">
        <v>33352</v>
      </c>
      <c r="C194" s="272"/>
      <c r="D194" s="273">
        <f>13643.49</f>
        <v>13643.49</v>
      </c>
      <c r="E194" s="274"/>
      <c r="F194" s="275">
        <f t="shared" si="61"/>
        <v>13643.49</v>
      </c>
      <c r="G194" s="261"/>
      <c r="H194" s="7"/>
      <c r="I194" s="23">
        <f t="shared" si="62"/>
        <v>13643.49</v>
      </c>
      <c r="J194" s="22"/>
      <c r="K194" s="7"/>
      <c r="L194" s="23">
        <f t="shared" si="63"/>
        <v>13643.49</v>
      </c>
      <c r="M194" s="22"/>
      <c r="N194" s="7"/>
      <c r="O194" s="210">
        <f t="shared" si="64"/>
        <v>13643.49</v>
      </c>
      <c r="P194" s="220"/>
      <c r="Q194" s="221">
        <f t="shared" si="58"/>
        <v>13643.49</v>
      </c>
    </row>
    <row r="195" spans="1:17" ht="12.75" hidden="1">
      <c r="A195" s="53" t="s">
        <v>166</v>
      </c>
      <c r="B195" s="80">
        <v>33160</v>
      </c>
      <c r="C195" s="139"/>
      <c r="D195" s="128"/>
      <c r="E195" s="96"/>
      <c r="F195" s="190">
        <f t="shared" si="61"/>
        <v>0</v>
      </c>
      <c r="G195" s="261"/>
      <c r="H195" s="7"/>
      <c r="I195" s="23">
        <f t="shared" si="62"/>
        <v>0</v>
      </c>
      <c r="J195" s="22"/>
      <c r="K195" s="7"/>
      <c r="L195" s="23">
        <f t="shared" si="63"/>
        <v>0</v>
      </c>
      <c r="M195" s="22"/>
      <c r="N195" s="7"/>
      <c r="O195" s="210">
        <f t="shared" si="64"/>
        <v>0</v>
      </c>
      <c r="P195" s="220"/>
      <c r="Q195" s="221">
        <f t="shared" si="58"/>
        <v>0</v>
      </c>
    </row>
    <row r="196" spans="1:17" ht="12.75" hidden="1">
      <c r="A196" s="37" t="s">
        <v>136</v>
      </c>
      <c r="B196" s="80"/>
      <c r="C196" s="139"/>
      <c r="D196" s="128"/>
      <c r="E196" s="96"/>
      <c r="F196" s="190">
        <f t="shared" si="61"/>
        <v>0</v>
      </c>
      <c r="G196" s="261"/>
      <c r="H196" s="7"/>
      <c r="I196" s="23">
        <f t="shared" si="62"/>
        <v>0</v>
      </c>
      <c r="J196" s="22"/>
      <c r="K196" s="7"/>
      <c r="L196" s="23">
        <f t="shared" si="63"/>
        <v>0</v>
      </c>
      <c r="M196" s="22"/>
      <c r="N196" s="7"/>
      <c r="O196" s="210">
        <f t="shared" si="64"/>
        <v>0</v>
      </c>
      <c r="P196" s="220"/>
      <c r="Q196" s="221">
        <f t="shared" si="58"/>
        <v>0</v>
      </c>
    </row>
    <row r="197" spans="1:17" ht="12.75" hidden="1">
      <c r="A197" s="53" t="s">
        <v>307</v>
      </c>
      <c r="B197" s="80">
        <v>33086</v>
      </c>
      <c r="C197" s="139"/>
      <c r="D197" s="128"/>
      <c r="E197" s="96"/>
      <c r="F197" s="190">
        <f t="shared" si="61"/>
        <v>0</v>
      </c>
      <c r="G197" s="261"/>
      <c r="H197" s="7"/>
      <c r="I197" s="23">
        <f t="shared" si="62"/>
        <v>0</v>
      </c>
      <c r="J197" s="22"/>
      <c r="K197" s="7"/>
      <c r="L197" s="23">
        <f t="shared" si="63"/>
        <v>0</v>
      </c>
      <c r="M197" s="22"/>
      <c r="N197" s="7"/>
      <c r="O197" s="210">
        <f t="shared" si="64"/>
        <v>0</v>
      </c>
      <c r="P197" s="220"/>
      <c r="Q197" s="221">
        <f t="shared" si="58"/>
        <v>0</v>
      </c>
    </row>
    <row r="198" spans="1:17" ht="12.75" hidden="1">
      <c r="A198" s="53" t="s">
        <v>135</v>
      </c>
      <c r="B198" s="80"/>
      <c r="C198" s="139"/>
      <c r="D198" s="128"/>
      <c r="E198" s="96"/>
      <c r="F198" s="190">
        <f t="shared" si="61"/>
        <v>0</v>
      </c>
      <c r="G198" s="261"/>
      <c r="H198" s="7"/>
      <c r="I198" s="23">
        <f t="shared" si="62"/>
        <v>0</v>
      </c>
      <c r="J198" s="22"/>
      <c r="K198" s="7"/>
      <c r="L198" s="23">
        <f t="shared" si="63"/>
        <v>0</v>
      </c>
      <c r="M198" s="22"/>
      <c r="N198" s="7"/>
      <c r="O198" s="210">
        <f t="shared" si="64"/>
        <v>0</v>
      </c>
      <c r="P198" s="220"/>
      <c r="Q198" s="221">
        <f t="shared" si="58"/>
        <v>0</v>
      </c>
    </row>
    <row r="199" spans="1:17" ht="12.75" hidden="1">
      <c r="A199" s="37" t="s">
        <v>79</v>
      </c>
      <c r="B199" s="80">
        <v>33025</v>
      </c>
      <c r="C199" s="139"/>
      <c r="D199" s="128"/>
      <c r="E199" s="96"/>
      <c r="F199" s="190">
        <f t="shared" si="61"/>
        <v>0</v>
      </c>
      <c r="G199" s="261"/>
      <c r="H199" s="7"/>
      <c r="I199" s="23">
        <f t="shared" si="62"/>
        <v>0</v>
      </c>
      <c r="J199" s="22"/>
      <c r="K199" s="7"/>
      <c r="L199" s="23">
        <f t="shared" si="63"/>
        <v>0</v>
      </c>
      <c r="M199" s="22"/>
      <c r="N199" s="7"/>
      <c r="O199" s="210">
        <f t="shared" si="64"/>
        <v>0</v>
      </c>
      <c r="P199" s="220"/>
      <c r="Q199" s="221">
        <f t="shared" si="58"/>
        <v>0</v>
      </c>
    </row>
    <row r="200" spans="1:17" ht="12.75" hidden="1">
      <c r="A200" s="37" t="s">
        <v>156</v>
      </c>
      <c r="B200" s="80">
        <v>33038</v>
      </c>
      <c r="C200" s="139"/>
      <c r="D200" s="128"/>
      <c r="E200" s="96"/>
      <c r="F200" s="190">
        <f t="shared" si="61"/>
        <v>0</v>
      </c>
      <c r="G200" s="261"/>
      <c r="H200" s="7"/>
      <c r="I200" s="23">
        <f t="shared" si="62"/>
        <v>0</v>
      </c>
      <c r="J200" s="22"/>
      <c r="K200" s="7"/>
      <c r="L200" s="23">
        <f t="shared" si="63"/>
        <v>0</v>
      </c>
      <c r="M200" s="22"/>
      <c r="N200" s="7"/>
      <c r="O200" s="210">
        <f t="shared" si="64"/>
        <v>0</v>
      </c>
      <c r="P200" s="220"/>
      <c r="Q200" s="221">
        <f t="shared" si="58"/>
        <v>0</v>
      </c>
    </row>
    <row r="201" spans="1:17" ht="12.75">
      <c r="A201" s="37" t="s">
        <v>352</v>
      </c>
      <c r="B201" s="80">
        <v>33063</v>
      </c>
      <c r="C201" s="139"/>
      <c r="D201" s="128">
        <f>12646.55</f>
        <v>12646.55</v>
      </c>
      <c r="E201" s="96"/>
      <c r="F201" s="190">
        <f t="shared" si="61"/>
        <v>12646.55</v>
      </c>
      <c r="G201" s="261"/>
      <c r="H201" s="7"/>
      <c r="I201" s="23">
        <f t="shared" si="62"/>
        <v>12646.55</v>
      </c>
      <c r="J201" s="22"/>
      <c r="K201" s="7"/>
      <c r="L201" s="23">
        <f t="shared" si="63"/>
        <v>12646.55</v>
      </c>
      <c r="M201" s="22"/>
      <c r="N201" s="7"/>
      <c r="O201" s="210">
        <f t="shared" si="64"/>
        <v>12646.55</v>
      </c>
      <c r="P201" s="220"/>
      <c r="Q201" s="221">
        <f t="shared" si="58"/>
        <v>12646.55</v>
      </c>
    </row>
    <row r="202" spans="1:17" ht="12.75">
      <c r="A202" s="37" t="s">
        <v>346</v>
      </c>
      <c r="B202" s="80">
        <v>33167</v>
      </c>
      <c r="C202" s="139"/>
      <c r="D202" s="128">
        <f>15000</f>
        <v>15000</v>
      </c>
      <c r="E202" s="96"/>
      <c r="F202" s="190">
        <f t="shared" si="61"/>
        <v>15000</v>
      </c>
      <c r="G202" s="261"/>
      <c r="H202" s="7"/>
      <c r="I202" s="23"/>
      <c r="J202" s="22"/>
      <c r="K202" s="7"/>
      <c r="L202" s="23"/>
      <c r="M202" s="22"/>
      <c r="N202" s="7"/>
      <c r="O202" s="210"/>
      <c r="P202" s="220"/>
      <c r="Q202" s="221"/>
    </row>
    <row r="203" spans="1:17" ht="12.75" hidden="1">
      <c r="A203" s="37" t="s">
        <v>248</v>
      </c>
      <c r="B203" s="80" t="s">
        <v>249</v>
      </c>
      <c r="C203" s="139"/>
      <c r="D203" s="128"/>
      <c r="E203" s="96"/>
      <c r="F203" s="190">
        <f t="shared" si="61"/>
        <v>0</v>
      </c>
      <c r="G203" s="261"/>
      <c r="H203" s="7"/>
      <c r="I203" s="23">
        <f t="shared" si="62"/>
        <v>0</v>
      </c>
      <c r="J203" s="22"/>
      <c r="K203" s="7"/>
      <c r="L203" s="23">
        <f t="shared" si="63"/>
        <v>0</v>
      </c>
      <c r="M203" s="22"/>
      <c r="N203" s="7"/>
      <c r="O203" s="210">
        <f t="shared" si="64"/>
        <v>0</v>
      </c>
      <c r="P203" s="220"/>
      <c r="Q203" s="221">
        <f t="shared" si="58"/>
        <v>0</v>
      </c>
    </row>
    <row r="204" spans="1:17" ht="12.75" hidden="1">
      <c r="A204" s="37" t="s">
        <v>299</v>
      </c>
      <c r="B204" s="80"/>
      <c r="C204" s="139"/>
      <c r="D204" s="128"/>
      <c r="E204" s="96"/>
      <c r="F204" s="190">
        <f t="shared" si="61"/>
        <v>0</v>
      </c>
      <c r="G204" s="261"/>
      <c r="H204" s="7"/>
      <c r="I204" s="23">
        <f t="shared" si="62"/>
        <v>0</v>
      </c>
      <c r="J204" s="22"/>
      <c r="K204" s="7"/>
      <c r="L204" s="23">
        <f t="shared" si="63"/>
        <v>0</v>
      </c>
      <c r="M204" s="22"/>
      <c r="N204" s="7"/>
      <c r="O204" s="210">
        <f t="shared" si="64"/>
        <v>0</v>
      </c>
      <c r="P204" s="220"/>
      <c r="Q204" s="221">
        <f t="shared" si="58"/>
        <v>0</v>
      </c>
    </row>
    <row r="205" spans="1:17" ht="12.75">
      <c r="A205" s="37" t="s">
        <v>345</v>
      </c>
      <c r="B205" s="80">
        <v>95113</v>
      </c>
      <c r="C205" s="139"/>
      <c r="D205" s="128">
        <f>754.79</f>
        <v>754.79</v>
      </c>
      <c r="E205" s="96"/>
      <c r="F205" s="190">
        <f t="shared" si="61"/>
        <v>754.79</v>
      </c>
      <c r="G205" s="261"/>
      <c r="H205" s="7"/>
      <c r="I205" s="23"/>
      <c r="J205" s="22"/>
      <c r="K205" s="7"/>
      <c r="L205" s="23"/>
      <c r="M205" s="22"/>
      <c r="N205" s="7"/>
      <c r="O205" s="210"/>
      <c r="P205" s="220"/>
      <c r="Q205" s="221"/>
    </row>
    <row r="206" spans="1:17" ht="12.75">
      <c r="A206" s="37" t="s">
        <v>326</v>
      </c>
      <c r="B206" s="80">
        <v>2054</v>
      </c>
      <c r="C206" s="139"/>
      <c r="D206" s="128">
        <f>3552.18</f>
        <v>3552.18</v>
      </c>
      <c r="E206" s="96"/>
      <c r="F206" s="190">
        <f t="shared" si="61"/>
        <v>3552.18</v>
      </c>
      <c r="G206" s="261"/>
      <c r="H206" s="7"/>
      <c r="I206" s="23">
        <f t="shared" si="62"/>
        <v>3552.18</v>
      </c>
      <c r="J206" s="22"/>
      <c r="K206" s="7"/>
      <c r="L206" s="23">
        <f t="shared" si="63"/>
        <v>3552.18</v>
      </c>
      <c r="M206" s="22"/>
      <c r="N206" s="7"/>
      <c r="O206" s="210">
        <f t="shared" si="64"/>
        <v>3552.18</v>
      </c>
      <c r="P206" s="220"/>
      <c r="Q206" s="221">
        <f t="shared" si="58"/>
        <v>3552.18</v>
      </c>
    </row>
    <row r="207" spans="1:17" ht="12.75">
      <c r="A207" s="37" t="s">
        <v>328</v>
      </c>
      <c r="B207" s="80"/>
      <c r="C207" s="139"/>
      <c r="D207" s="128">
        <f>2429.34</f>
        <v>2429.34</v>
      </c>
      <c r="E207" s="96"/>
      <c r="F207" s="190">
        <f t="shared" si="61"/>
        <v>2429.34</v>
      </c>
      <c r="G207" s="261"/>
      <c r="H207" s="7"/>
      <c r="I207" s="23"/>
      <c r="J207" s="22"/>
      <c r="K207" s="7"/>
      <c r="L207" s="23"/>
      <c r="M207" s="22"/>
      <c r="N207" s="7"/>
      <c r="O207" s="210"/>
      <c r="P207" s="220"/>
      <c r="Q207" s="221"/>
    </row>
    <row r="208" spans="1:17" ht="12.75">
      <c r="A208" s="37" t="s">
        <v>327</v>
      </c>
      <c r="B208" s="80">
        <v>2066</v>
      </c>
      <c r="C208" s="139"/>
      <c r="D208" s="128">
        <f>18909.29</f>
        <v>18909.29</v>
      </c>
      <c r="E208" s="96"/>
      <c r="F208" s="190">
        <f t="shared" si="61"/>
        <v>18909.29</v>
      </c>
      <c r="G208" s="261"/>
      <c r="H208" s="7"/>
      <c r="I208" s="23">
        <f t="shared" si="62"/>
        <v>18909.29</v>
      </c>
      <c r="J208" s="22"/>
      <c r="K208" s="7"/>
      <c r="L208" s="23">
        <f t="shared" si="63"/>
        <v>18909.29</v>
      </c>
      <c r="M208" s="22"/>
      <c r="N208" s="7"/>
      <c r="O208" s="210">
        <f t="shared" si="64"/>
        <v>18909.29</v>
      </c>
      <c r="P208" s="220"/>
      <c r="Q208" s="221">
        <f t="shared" si="58"/>
        <v>18909.29</v>
      </c>
    </row>
    <row r="209" spans="1:17" ht="12.75">
      <c r="A209" s="37" t="s">
        <v>72</v>
      </c>
      <c r="B209" s="135" t="s">
        <v>246</v>
      </c>
      <c r="C209" s="139">
        <v>6820</v>
      </c>
      <c r="D209" s="128">
        <f>2000+12054.72+345.99+3113.45+17829.24</f>
        <v>35343.4</v>
      </c>
      <c r="E209" s="96"/>
      <c r="F209" s="190">
        <f t="shared" si="61"/>
        <v>42163.4</v>
      </c>
      <c r="G209" s="261"/>
      <c r="H209" s="7"/>
      <c r="I209" s="23">
        <f>F209+G209+H209</f>
        <v>42163.4</v>
      </c>
      <c r="J209" s="22"/>
      <c r="K209" s="7"/>
      <c r="L209" s="23">
        <f t="shared" si="63"/>
        <v>42163.4</v>
      </c>
      <c r="M209" s="29"/>
      <c r="N209" s="7"/>
      <c r="O209" s="210">
        <f t="shared" si="64"/>
        <v>42163.4</v>
      </c>
      <c r="P209" s="220"/>
      <c r="Q209" s="221">
        <f t="shared" si="58"/>
        <v>42163.4</v>
      </c>
    </row>
    <row r="210" spans="1:17" ht="12.75">
      <c r="A210" s="37" t="s">
        <v>51</v>
      </c>
      <c r="B210" s="80"/>
      <c r="C210" s="139">
        <v>56295.41</v>
      </c>
      <c r="D210" s="128">
        <f>1474+6205.78+2500-16092.87+5000+20000+10000+6000</f>
        <v>35086.909999999996</v>
      </c>
      <c r="E210" s="96"/>
      <c r="F210" s="190">
        <f t="shared" si="61"/>
        <v>91382.32</v>
      </c>
      <c r="G210" s="261"/>
      <c r="H210" s="7"/>
      <c r="I210" s="23">
        <f>F210+G210+H210</f>
        <v>91382.32</v>
      </c>
      <c r="J210" s="22"/>
      <c r="K210" s="7"/>
      <c r="L210" s="23">
        <f>I210+J210+K210</f>
        <v>91382.32</v>
      </c>
      <c r="M210" s="29"/>
      <c r="N210" s="7"/>
      <c r="O210" s="210">
        <f>L210+M210+N210</f>
        <v>91382.32</v>
      </c>
      <c r="P210" s="220"/>
      <c r="Q210" s="221">
        <f t="shared" si="58"/>
        <v>91382.32</v>
      </c>
    </row>
    <row r="211" spans="1:17" ht="12.75">
      <c r="A211" s="40" t="s">
        <v>53</v>
      </c>
      <c r="B211" s="84"/>
      <c r="C211" s="144">
        <f>SUM(C213:C219)</f>
        <v>740</v>
      </c>
      <c r="D211" s="132">
        <f aca="true" t="shared" si="65" ref="D211:Q211">SUM(D213:D219)</f>
        <v>7627.6</v>
      </c>
      <c r="E211" s="106">
        <f t="shared" si="65"/>
        <v>0</v>
      </c>
      <c r="F211" s="194">
        <f t="shared" si="65"/>
        <v>8367.6</v>
      </c>
      <c r="G211" s="228">
        <f t="shared" si="65"/>
        <v>0</v>
      </c>
      <c r="H211" s="106">
        <f t="shared" si="65"/>
        <v>0</v>
      </c>
      <c r="I211" s="167">
        <f t="shared" si="65"/>
        <v>8367.6</v>
      </c>
      <c r="J211" s="105">
        <f t="shared" si="65"/>
        <v>0</v>
      </c>
      <c r="K211" s="106">
        <f t="shared" si="65"/>
        <v>0</v>
      </c>
      <c r="L211" s="167">
        <f t="shared" si="65"/>
        <v>8367.6</v>
      </c>
      <c r="M211" s="105">
        <f t="shared" si="65"/>
        <v>0</v>
      </c>
      <c r="N211" s="106">
        <f t="shared" si="65"/>
        <v>0</v>
      </c>
      <c r="O211" s="194">
        <f t="shared" si="65"/>
        <v>8367.6</v>
      </c>
      <c r="P211" s="228">
        <f t="shared" si="65"/>
        <v>0</v>
      </c>
      <c r="Q211" s="194">
        <f t="shared" si="65"/>
        <v>8367.6</v>
      </c>
    </row>
    <row r="212" spans="1:17" ht="12.75">
      <c r="A212" s="35" t="s">
        <v>26</v>
      </c>
      <c r="B212" s="80"/>
      <c r="C212" s="139"/>
      <c r="D212" s="128"/>
      <c r="E212" s="96"/>
      <c r="F212" s="190"/>
      <c r="G212" s="261"/>
      <c r="H212" s="7"/>
      <c r="I212" s="21"/>
      <c r="J212" s="22"/>
      <c r="K212" s="7"/>
      <c r="L212" s="21"/>
      <c r="M212" s="22"/>
      <c r="N212" s="7"/>
      <c r="O212" s="209"/>
      <c r="P212" s="220"/>
      <c r="Q212" s="221"/>
    </row>
    <row r="213" spans="1:17" ht="12.75">
      <c r="A213" s="37" t="s">
        <v>80</v>
      </c>
      <c r="B213" s="80"/>
      <c r="C213" s="139">
        <v>740</v>
      </c>
      <c r="D213" s="128">
        <f>591+424.61</f>
        <v>1015.61</v>
      </c>
      <c r="E213" s="96"/>
      <c r="F213" s="190">
        <f aca="true" t="shared" si="66" ref="F213:F219">C213+D213+E213</f>
        <v>1755.6100000000001</v>
      </c>
      <c r="G213" s="261"/>
      <c r="H213" s="7"/>
      <c r="I213" s="23">
        <f aca="true" t="shared" si="67" ref="I213:I219">F213+G213+H213</f>
        <v>1755.6100000000001</v>
      </c>
      <c r="J213" s="22"/>
      <c r="K213" s="7"/>
      <c r="L213" s="23">
        <f aca="true" t="shared" si="68" ref="L213:L219">I213+J213+K213</f>
        <v>1755.6100000000001</v>
      </c>
      <c r="M213" s="22"/>
      <c r="N213" s="7"/>
      <c r="O213" s="210">
        <f aca="true" t="shared" si="69" ref="O213:O219">L213+M213+N213</f>
        <v>1755.6100000000001</v>
      </c>
      <c r="P213" s="220"/>
      <c r="Q213" s="221">
        <f t="shared" si="58"/>
        <v>1755.6100000000001</v>
      </c>
    </row>
    <row r="214" spans="1:17" ht="12.75" hidden="1">
      <c r="A214" s="37" t="s">
        <v>248</v>
      </c>
      <c r="B214" s="80" t="s">
        <v>250</v>
      </c>
      <c r="C214" s="139"/>
      <c r="D214" s="128"/>
      <c r="E214" s="96"/>
      <c r="F214" s="190">
        <f t="shared" si="66"/>
        <v>0</v>
      </c>
      <c r="G214" s="261"/>
      <c r="H214" s="7"/>
      <c r="I214" s="23">
        <f t="shared" si="67"/>
        <v>0</v>
      </c>
      <c r="J214" s="22"/>
      <c r="K214" s="7"/>
      <c r="L214" s="23">
        <f t="shared" si="68"/>
        <v>0</v>
      </c>
      <c r="M214" s="22"/>
      <c r="N214" s="7"/>
      <c r="O214" s="210">
        <f t="shared" si="69"/>
        <v>0</v>
      </c>
      <c r="P214" s="220"/>
      <c r="Q214" s="221">
        <f t="shared" si="58"/>
        <v>0</v>
      </c>
    </row>
    <row r="215" spans="1:17" ht="12.75">
      <c r="A215" s="37" t="s">
        <v>327</v>
      </c>
      <c r="B215" s="80"/>
      <c r="C215" s="139"/>
      <c r="D215" s="128">
        <f>1918.64</f>
        <v>1918.64</v>
      </c>
      <c r="E215" s="96"/>
      <c r="F215" s="190">
        <f t="shared" si="66"/>
        <v>1918.64</v>
      </c>
      <c r="G215" s="261"/>
      <c r="H215" s="7"/>
      <c r="I215" s="23">
        <f t="shared" si="67"/>
        <v>1918.64</v>
      </c>
      <c r="J215" s="22"/>
      <c r="K215" s="7"/>
      <c r="L215" s="23">
        <f t="shared" si="68"/>
        <v>1918.64</v>
      </c>
      <c r="M215" s="22"/>
      <c r="N215" s="7"/>
      <c r="O215" s="210">
        <f t="shared" si="69"/>
        <v>1918.64</v>
      </c>
      <c r="P215" s="220"/>
      <c r="Q215" s="221">
        <f t="shared" si="58"/>
        <v>1918.64</v>
      </c>
    </row>
    <row r="216" spans="1:17" ht="12.75" hidden="1">
      <c r="A216" s="37" t="s">
        <v>65</v>
      </c>
      <c r="B216" s="80"/>
      <c r="C216" s="139"/>
      <c r="D216" s="128"/>
      <c r="E216" s="96"/>
      <c r="F216" s="190">
        <f t="shared" si="66"/>
        <v>0</v>
      </c>
      <c r="G216" s="261"/>
      <c r="H216" s="7"/>
      <c r="I216" s="23">
        <f t="shared" si="67"/>
        <v>0</v>
      </c>
      <c r="J216" s="22"/>
      <c r="K216" s="7"/>
      <c r="L216" s="23">
        <f t="shared" si="68"/>
        <v>0</v>
      </c>
      <c r="M216" s="22"/>
      <c r="N216" s="7"/>
      <c r="O216" s="210">
        <f t="shared" si="69"/>
        <v>0</v>
      </c>
      <c r="P216" s="220"/>
      <c r="Q216" s="221">
        <f t="shared" si="58"/>
        <v>0</v>
      </c>
    </row>
    <row r="217" spans="1:17" ht="12.75" hidden="1">
      <c r="A217" s="37" t="s">
        <v>81</v>
      </c>
      <c r="B217" s="80"/>
      <c r="C217" s="139"/>
      <c r="D217" s="128"/>
      <c r="E217" s="96"/>
      <c r="F217" s="190">
        <f t="shared" si="66"/>
        <v>0</v>
      </c>
      <c r="G217" s="261"/>
      <c r="H217" s="7"/>
      <c r="I217" s="23">
        <f t="shared" si="67"/>
        <v>0</v>
      </c>
      <c r="J217" s="22"/>
      <c r="K217" s="7"/>
      <c r="L217" s="23">
        <f t="shared" si="68"/>
        <v>0</v>
      </c>
      <c r="M217" s="22"/>
      <c r="N217" s="7"/>
      <c r="O217" s="210">
        <f t="shared" si="69"/>
        <v>0</v>
      </c>
      <c r="P217" s="220"/>
      <c r="Q217" s="221">
        <f t="shared" si="58"/>
        <v>0</v>
      </c>
    </row>
    <row r="218" spans="1:17" ht="12.75" hidden="1">
      <c r="A218" s="37" t="s">
        <v>54</v>
      </c>
      <c r="B218" s="80"/>
      <c r="C218" s="139"/>
      <c r="D218" s="128"/>
      <c r="E218" s="96"/>
      <c r="F218" s="190">
        <f t="shared" si="66"/>
        <v>0</v>
      </c>
      <c r="G218" s="261"/>
      <c r="H218" s="7"/>
      <c r="I218" s="23">
        <f t="shared" si="67"/>
        <v>0</v>
      </c>
      <c r="J218" s="22"/>
      <c r="K218" s="9"/>
      <c r="L218" s="23">
        <f t="shared" si="68"/>
        <v>0</v>
      </c>
      <c r="M218" s="22"/>
      <c r="N218" s="7"/>
      <c r="O218" s="210">
        <f t="shared" si="69"/>
        <v>0</v>
      </c>
      <c r="P218" s="220"/>
      <c r="Q218" s="221">
        <f t="shared" si="58"/>
        <v>0</v>
      </c>
    </row>
    <row r="219" spans="1:17" ht="12.75">
      <c r="A219" s="43" t="s">
        <v>72</v>
      </c>
      <c r="B219" s="83"/>
      <c r="C219" s="253"/>
      <c r="D219" s="244">
        <f>4693.35</f>
        <v>4693.35</v>
      </c>
      <c r="E219" s="104"/>
      <c r="F219" s="195">
        <f t="shared" si="66"/>
        <v>4693.35</v>
      </c>
      <c r="G219" s="263"/>
      <c r="H219" s="10"/>
      <c r="I219" s="27">
        <f t="shared" si="67"/>
        <v>4693.35</v>
      </c>
      <c r="J219" s="26"/>
      <c r="K219" s="65"/>
      <c r="L219" s="27">
        <f t="shared" si="68"/>
        <v>4693.35</v>
      </c>
      <c r="M219" s="26"/>
      <c r="N219" s="10"/>
      <c r="O219" s="213">
        <f t="shared" si="69"/>
        <v>4693.35</v>
      </c>
      <c r="P219" s="229"/>
      <c r="Q219" s="230">
        <f t="shared" si="58"/>
        <v>4693.35</v>
      </c>
    </row>
    <row r="220" spans="1:17" ht="12.75">
      <c r="A220" s="30" t="s">
        <v>82</v>
      </c>
      <c r="B220" s="84"/>
      <c r="C220" s="138">
        <f>C221+C233</f>
        <v>753600.5</v>
      </c>
      <c r="D220" s="117">
        <f aca="true" t="shared" si="70" ref="D220:Q220">D221+D233</f>
        <v>66483.95</v>
      </c>
      <c r="E220" s="95">
        <f t="shared" si="70"/>
        <v>0</v>
      </c>
      <c r="F220" s="189">
        <f t="shared" si="70"/>
        <v>820084.45</v>
      </c>
      <c r="G220" s="219">
        <f t="shared" si="70"/>
        <v>0</v>
      </c>
      <c r="H220" s="95">
        <f t="shared" si="70"/>
        <v>0</v>
      </c>
      <c r="I220" s="162">
        <f t="shared" si="70"/>
        <v>820084.45</v>
      </c>
      <c r="J220" s="94">
        <f t="shared" si="70"/>
        <v>0</v>
      </c>
      <c r="K220" s="95">
        <f t="shared" si="70"/>
        <v>0</v>
      </c>
      <c r="L220" s="162">
        <f t="shared" si="70"/>
        <v>820084.45</v>
      </c>
      <c r="M220" s="94">
        <f t="shared" si="70"/>
        <v>0</v>
      </c>
      <c r="N220" s="95">
        <f t="shared" si="70"/>
        <v>0</v>
      </c>
      <c r="O220" s="189">
        <f t="shared" si="70"/>
        <v>820084.45</v>
      </c>
      <c r="P220" s="219">
        <f t="shared" si="70"/>
        <v>0</v>
      </c>
      <c r="Q220" s="189">
        <f t="shared" si="70"/>
        <v>820084.45</v>
      </c>
    </row>
    <row r="221" spans="1:17" ht="12.75">
      <c r="A221" s="39" t="s">
        <v>49</v>
      </c>
      <c r="B221" s="84"/>
      <c r="C221" s="143">
        <f>SUM(C223:C232)</f>
        <v>753600.5</v>
      </c>
      <c r="D221" s="131">
        <f aca="true" t="shared" si="71" ref="D221:Q221">SUM(D223:D232)</f>
        <v>65515</v>
      </c>
      <c r="E221" s="103">
        <f t="shared" si="71"/>
        <v>0</v>
      </c>
      <c r="F221" s="193">
        <f t="shared" si="71"/>
        <v>819115.5</v>
      </c>
      <c r="G221" s="227">
        <f t="shared" si="71"/>
        <v>0</v>
      </c>
      <c r="H221" s="103">
        <f t="shared" si="71"/>
        <v>0</v>
      </c>
      <c r="I221" s="166">
        <f t="shared" si="71"/>
        <v>819115.5</v>
      </c>
      <c r="J221" s="102">
        <f t="shared" si="71"/>
        <v>0</v>
      </c>
      <c r="K221" s="103">
        <f t="shared" si="71"/>
        <v>0</v>
      </c>
      <c r="L221" s="166">
        <f t="shared" si="71"/>
        <v>819115.5</v>
      </c>
      <c r="M221" s="102">
        <f t="shared" si="71"/>
        <v>0</v>
      </c>
      <c r="N221" s="103">
        <f t="shared" si="71"/>
        <v>0</v>
      </c>
      <c r="O221" s="193">
        <f t="shared" si="71"/>
        <v>819115.5</v>
      </c>
      <c r="P221" s="227">
        <f t="shared" si="71"/>
        <v>0</v>
      </c>
      <c r="Q221" s="193">
        <f t="shared" si="71"/>
        <v>819115.5</v>
      </c>
    </row>
    <row r="222" spans="1:17" ht="12.75">
      <c r="A222" s="35" t="s">
        <v>26</v>
      </c>
      <c r="B222" s="80"/>
      <c r="C222" s="139"/>
      <c r="D222" s="128"/>
      <c r="E222" s="96"/>
      <c r="F222" s="189"/>
      <c r="G222" s="261"/>
      <c r="H222" s="7"/>
      <c r="I222" s="21"/>
      <c r="J222" s="22"/>
      <c r="K222" s="7"/>
      <c r="L222" s="21"/>
      <c r="M222" s="22"/>
      <c r="N222" s="7"/>
      <c r="O222" s="209"/>
      <c r="P222" s="220"/>
      <c r="Q222" s="221"/>
    </row>
    <row r="223" spans="1:17" ht="12.75">
      <c r="A223" s="32" t="s">
        <v>69</v>
      </c>
      <c r="B223" s="80"/>
      <c r="C223" s="139">
        <v>371000</v>
      </c>
      <c r="D223" s="128">
        <f>1095</f>
        <v>1095</v>
      </c>
      <c r="E223" s="96"/>
      <c r="F223" s="190">
        <f aca="true" t="shared" si="72" ref="F223:F232">C223+D223+E223</f>
        <v>372095</v>
      </c>
      <c r="G223" s="261"/>
      <c r="H223" s="7"/>
      <c r="I223" s="23">
        <f aca="true" t="shared" si="73" ref="I223:I232">F223+G223+H223</f>
        <v>372095</v>
      </c>
      <c r="J223" s="22"/>
      <c r="K223" s="7"/>
      <c r="L223" s="23">
        <f aca="true" t="shared" si="74" ref="L223:L232">I223+J223+K223</f>
        <v>372095</v>
      </c>
      <c r="M223" s="22"/>
      <c r="N223" s="7"/>
      <c r="O223" s="210">
        <f aca="true" t="shared" si="75" ref="O223:O232">L223+M223+N223</f>
        <v>372095</v>
      </c>
      <c r="P223" s="220"/>
      <c r="Q223" s="221">
        <f>O223+P223</f>
        <v>372095</v>
      </c>
    </row>
    <row r="224" spans="1:17" ht="12.75" hidden="1">
      <c r="A224" s="81" t="s">
        <v>195</v>
      </c>
      <c r="B224" s="80"/>
      <c r="C224" s="139"/>
      <c r="D224" s="128"/>
      <c r="E224" s="96"/>
      <c r="F224" s="190">
        <f t="shared" si="72"/>
        <v>0</v>
      </c>
      <c r="G224" s="261"/>
      <c r="H224" s="7"/>
      <c r="I224" s="23">
        <f t="shared" si="73"/>
        <v>0</v>
      </c>
      <c r="J224" s="22"/>
      <c r="K224" s="7"/>
      <c r="L224" s="23">
        <f t="shared" si="74"/>
        <v>0</v>
      </c>
      <c r="M224" s="22"/>
      <c r="N224" s="7"/>
      <c r="O224" s="210">
        <f t="shared" si="75"/>
        <v>0</v>
      </c>
      <c r="P224" s="220"/>
      <c r="Q224" s="221">
        <f aca="true" t="shared" si="76" ref="Q224:Q231">O224+P224</f>
        <v>0</v>
      </c>
    </row>
    <row r="225" spans="1:17" ht="12.75">
      <c r="A225" s="37" t="s">
        <v>62</v>
      </c>
      <c r="B225" s="80"/>
      <c r="C225" s="139">
        <v>231476</v>
      </c>
      <c r="D225" s="128">
        <f>60000</f>
        <v>60000</v>
      </c>
      <c r="E225" s="96">
        <f>32760</f>
        <v>32760</v>
      </c>
      <c r="F225" s="190">
        <f t="shared" si="72"/>
        <v>324236</v>
      </c>
      <c r="G225" s="261"/>
      <c r="H225" s="7"/>
      <c r="I225" s="23">
        <f t="shared" si="73"/>
        <v>324236</v>
      </c>
      <c r="J225" s="22"/>
      <c r="K225" s="7"/>
      <c r="L225" s="23">
        <f t="shared" si="74"/>
        <v>324236</v>
      </c>
      <c r="M225" s="22"/>
      <c r="N225" s="7"/>
      <c r="O225" s="210">
        <f t="shared" si="75"/>
        <v>324236</v>
      </c>
      <c r="P225" s="220"/>
      <c r="Q225" s="221">
        <f t="shared" si="76"/>
        <v>324236</v>
      </c>
    </row>
    <row r="226" spans="1:17" ht="12.75" hidden="1">
      <c r="A226" s="37" t="s">
        <v>162</v>
      </c>
      <c r="B226" s="80"/>
      <c r="C226" s="139">
        <v>0</v>
      </c>
      <c r="D226" s="180"/>
      <c r="E226" s="96"/>
      <c r="F226" s="190">
        <f t="shared" si="72"/>
        <v>0</v>
      </c>
      <c r="G226" s="261"/>
      <c r="H226" s="7"/>
      <c r="I226" s="23">
        <f t="shared" si="73"/>
        <v>0</v>
      </c>
      <c r="J226" s="22"/>
      <c r="K226" s="7"/>
      <c r="L226" s="23">
        <f t="shared" si="74"/>
        <v>0</v>
      </c>
      <c r="M226" s="22"/>
      <c r="N226" s="7"/>
      <c r="O226" s="210">
        <f t="shared" si="75"/>
        <v>0</v>
      </c>
      <c r="P226" s="220"/>
      <c r="Q226" s="221">
        <f t="shared" si="76"/>
        <v>0</v>
      </c>
    </row>
    <row r="227" spans="1:17" ht="12.75">
      <c r="A227" s="37" t="s">
        <v>51</v>
      </c>
      <c r="B227" s="80"/>
      <c r="C227" s="145">
        <v>151124.5</v>
      </c>
      <c r="D227" s="128">
        <f>100+100+1000</f>
        <v>1200</v>
      </c>
      <c r="E227" s="96">
        <f>-32760</f>
        <v>-32760</v>
      </c>
      <c r="F227" s="190">
        <f t="shared" si="72"/>
        <v>119564.5</v>
      </c>
      <c r="G227" s="261"/>
      <c r="H227" s="7"/>
      <c r="I227" s="23">
        <f t="shared" si="73"/>
        <v>119564.5</v>
      </c>
      <c r="J227" s="22"/>
      <c r="K227" s="7"/>
      <c r="L227" s="23">
        <f t="shared" si="74"/>
        <v>119564.5</v>
      </c>
      <c r="M227" s="22"/>
      <c r="N227" s="7"/>
      <c r="O227" s="210">
        <f t="shared" si="75"/>
        <v>119564.5</v>
      </c>
      <c r="P227" s="220"/>
      <c r="Q227" s="221">
        <f t="shared" si="76"/>
        <v>119564.5</v>
      </c>
    </row>
    <row r="228" spans="1:17" ht="12.75" hidden="1">
      <c r="A228" s="37" t="s">
        <v>73</v>
      </c>
      <c r="B228" s="80"/>
      <c r="C228" s="145"/>
      <c r="D228" s="128"/>
      <c r="E228" s="96"/>
      <c r="F228" s="190">
        <f t="shared" si="72"/>
        <v>0</v>
      </c>
      <c r="G228" s="261"/>
      <c r="H228" s="7"/>
      <c r="I228" s="23">
        <f t="shared" si="73"/>
        <v>0</v>
      </c>
      <c r="J228" s="22"/>
      <c r="K228" s="7"/>
      <c r="L228" s="23">
        <f t="shared" si="74"/>
        <v>0</v>
      </c>
      <c r="M228" s="22"/>
      <c r="N228" s="7"/>
      <c r="O228" s="210">
        <f t="shared" si="75"/>
        <v>0</v>
      </c>
      <c r="P228" s="220"/>
      <c r="Q228" s="221">
        <f t="shared" si="76"/>
        <v>0</v>
      </c>
    </row>
    <row r="229" spans="1:17" ht="12.75">
      <c r="A229" s="53" t="s">
        <v>351</v>
      </c>
      <c r="B229" s="80">
        <v>35026</v>
      </c>
      <c r="C229" s="145"/>
      <c r="D229" s="128">
        <f>1096+224</f>
        <v>1320</v>
      </c>
      <c r="E229" s="96"/>
      <c r="F229" s="190">
        <f t="shared" si="72"/>
        <v>1320</v>
      </c>
      <c r="G229" s="261"/>
      <c r="H229" s="7"/>
      <c r="I229" s="23">
        <f t="shared" si="73"/>
        <v>1320</v>
      </c>
      <c r="J229" s="22"/>
      <c r="K229" s="7"/>
      <c r="L229" s="23">
        <f t="shared" si="74"/>
        <v>1320</v>
      </c>
      <c r="M229" s="22"/>
      <c r="N229" s="7"/>
      <c r="O229" s="210">
        <f t="shared" si="75"/>
        <v>1320</v>
      </c>
      <c r="P229" s="220"/>
      <c r="Q229" s="221">
        <f t="shared" si="76"/>
        <v>1320</v>
      </c>
    </row>
    <row r="230" spans="1:17" ht="12.75">
      <c r="A230" s="37" t="s">
        <v>255</v>
      </c>
      <c r="B230" s="80">
        <v>35018</v>
      </c>
      <c r="C230" s="145"/>
      <c r="D230" s="128">
        <f>1900</f>
        <v>1900</v>
      </c>
      <c r="E230" s="96"/>
      <c r="F230" s="190">
        <f t="shared" si="72"/>
        <v>1900</v>
      </c>
      <c r="G230" s="261"/>
      <c r="H230" s="7"/>
      <c r="I230" s="23">
        <f t="shared" si="73"/>
        <v>1900</v>
      </c>
      <c r="J230" s="22"/>
      <c r="K230" s="7"/>
      <c r="L230" s="23">
        <f t="shared" si="74"/>
        <v>1900</v>
      </c>
      <c r="M230" s="22"/>
      <c r="N230" s="7"/>
      <c r="O230" s="210">
        <f t="shared" si="75"/>
        <v>1900</v>
      </c>
      <c r="P230" s="220"/>
      <c r="Q230" s="221">
        <f t="shared" si="76"/>
        <v>1900</v>
      </c>
    </row>
    <row r="231" spans="1:17" ht="12.75" hidden="1">
      <c r="A231" s="37" t="s">
        <v>282</v>
      </c>
      <c r="B231" s="80"/>
      <c r="C231" s="145"/>
      <c r="D231" s="128"/>
      <c r="E231" s="96"/>
      <c r="F231" s="190">
        <f t="shared" si="72"/>
        <v>0</v>
      </c>
      <c r="G231" s="261"/>
      <c r="H231" s="7"/>
      <c r="I231" s="23">
        <f t="shared" si="73"/>
        <v>0</v>
      </c>
      <c r="J231" s="22"/>
      <c r="K231" s="7"/>
      <c r="L231" s="23">
        <f t="shared" si="74"/>
        <v>0</v>
      </c>
      <c r="M231" s="22"/>
      <c r="N231" s="7"/>
      <c r="O231" s="210">
        <f t="shared" si="75"/>
        <v>0</v>
      </c>
      <c r="P231" s="220"/>
      <c r="Q231" s="221">
        <f t="shared" si="76"/>
        <v>0</v>
      </c>
    </row>
    <row r="232" spans="1:17" ht="12.75" hidden="1">
      <c r="A232" s="37" t="s">
        <v>83</v>
      </c>
      <c r="B232" s="80"/>
      <c r="C232" s="139"/>
      <c r="D232" s="128"/>
      <c r="E232" s="96"/>
      <c r="F232" s="190">
        <f t="shared" si="72"/>
        <v>0</v>
      </c>
      <c r="G232" s="261"/>
      <c r="H232" s="7"/>
      <c r="I232" s="23">
        <f t="shared" si="73"/>
        <v>0</v>
      </c>
      <c r="J232" s="22"/>
      <c r="K232" s="7"/>
      <c r="L232" s="23">
        <f t="shared" si="74"/>
        <v>0</v>
      </c>
      <c r="M232" s="22"/>
      <c r="N232" s="7"/>
      <c r="O232" s="210">
        <f t="shared" si="75"/>
        <v>0</v>
      </c>
      <c r="P232" s="220"/>
      <c r="Q232" s="221">
        <f>O232+P232</f>
        <v>0</v>
      </c>
    </row>
    <row r="233" spans="1:17" ht="12.75">
      <c r="A233" s="39" t="s">
        <v>53</v>
      </c>
      <c r="B233" s="84"/>
      <c r="C233" s="143">
        <f>SUM(C235:C239)</f>
        <v>0</v>
      </c>
      <c r="D233" s="131">
        <f aca="true" t="shared" si="77" ref="D233:Q233">SUM(D235:D239)</f>
        <v>968.95</v>
      </c>
      <c r="E233" s="103">
        <f t="shared" si="77"/>
        <v>0</v>
      </c>
      <c r="F233" s="193">
        <f t="shared" si="77"/>
        <v>968.95</v>
      </c>
      <c r="G233" s="227">
        <f t="shared" si="77"/>
        <v>0</v>
      </c>
      <c r="H233" s="103">
        <f t="shared" si="77"/>
        <v>0</v>
      </c>
      <c r="I233" s="166">
        <f t="shared" si="77"/>
        <v>968.95</v>
      </c>
      <c r="J233" s="102">
        <f t="shared" si="77"/>
        <v>0</v>
      </c>
      <c r="K233" s="103">
        <f t="shared" si="77"/>
        <v>0</v>
      </c>
      <c r="L233" s="166">
        <f t="shared" si="77"/>
        <v>968.95</v>
      </c>
      <c r="M233" s="102">
        <f t="shared" si="77"/>
        <v>0</v>
      </c>
      <c r="N233" s="103">
        <f t="shared" si="77"/>
        <v>0</v>
      </c>
      <c r="O233" s="193">
        <f t="shared" si="77"/>
        <v>968.95</v>
      </c>
      <c r="P233" s="227">
        <f t="shared" si="77"/>
        <v>0</v>
      </c>
      <c r="Q233" s="193">
        <f t="shared" si="77"/>
        <v>968.95</v>
      </c>
    </row>
    <row r="234" spans="1:17" ht="12.75">
      <c r="A234" s="35" t="s">
        <v>26</v>
      </c>
      <c r="B234" s="80"/>
      <c r="C234" s="139"/>
      <c r="D234" s="128"/>
      <c r="E234" s="96"/>
      <c r="F234" s="190"/>
      <c r="G234" s="261"/>
      <c r="H234" s="7"/>
      <c r="I234" s="23"/>
      <c r="J234" s="22"/>
      <c r="K234" s="7"/>
      <c r="L234" s="23"/>
      <c r="M234" s="22"/>
      <c r="N234" s="7"/>
      <c r="O234" s="210"/>
      <c r="P234" s="220"/>
      <c r="Q234" s="221"/>
    </row>
    <row r="235" spans="1:17" ht="12.75" hidden="1">
      <c r="A235" s="37" t="s">
        <v>54</v>
      </c>
      <c r="B235" s="80"/>
      <c r="C235" s="139">
        <v>0</v>
      </c>
      <c r="D235" s="128"/>
      <c r="E235" s="96"/>
      <c r="F235" s="190">
        <f>C235+D235+E235</f>
        <v>0</v>
      </c>
      <c r="G235" s="261"/>
      <c r="H235" s="7"/>
      <c r="I235" s="23">
        <f>F235+G235+H235</f>
        <v>0</v>
      </c>
      <c r="J235" s="22"/>
      <c r="K235" s="7"/>
      <c r="L235" s="23">
        <f>I235+J235+K235</f>
        <v>0</v>
      </c>
      <c r="M235" s="22"/>
      <c r="N235" s="7"/>
      <c r="O235" s="210">
        <f>L235+M235+N235</f>
        <v>0</v>
      </c>
      <c r="P235" s="220"/>
      <c r="Q235" s="221">
        <f>O235+P235</f>
        <v>0</v>
      </c>
    </row>
    <row r="236" spans="1:17" ht="12.75">
      <c r="A236" s="43" t="s">
        <v>224</v>
      </c>
      <c r="B236" s="83"/>
      <c r="C236" s="253"/>
      <c r="D236" s="268">
        <f>968.95</f>
        <v>968.95</v>
      </c>
      <c r="E236" s="104"/>
      <c r="F236" s="195">
        <f>C236+D236+E236</f>
        <v>968.95</v>
      </c>
      <c r="G236" s="261"/>
      <c r="H236" s="7"/>
      <c r="I236" s="23">
        <f>F236+G236+H236</f>
        <v>968.95</v>
      </c>
      <c r="J236" s="22"/>
      <c r="K236" s="7"/>
      <c r="L236" s="23">
        <f>I236+J236+K236</f>
        <v>968.95</v>
      </c>
      <c r="M236" s="22"/>
      <c r="N236" s="7"/>
      <c r="O236" s="210">
        <f>L236+M236+N236</f>
        <v>968.95</v>
      </c>
      <c r="P236" s="220"/>
      <c r="Q236" s="221">
        <f>O236+P236</f>
        <v>968.95</v>
      </c>
    </row>
    <row r="237" spans="1:17" ht="12.75" hidden="1">
      <c r="A237" s="37" t="s">
        <v>65</v>
      </c>
      <c r="B237" s="80"/>
      <c r="C237" s="139"/>
      <c r="D237" s="128"/>
      <c r="E237" s="96"/>
      <c r="F237" s="190">
        <f>C237+D237+E237</f>
        <v>0</v>
      </c>
      <c r="G237" s="261"/>
      <c r="H237" s="7"/>
      <c r="I237" s="23">
        <f>F237+G237+H237</f>
        <v>0</v>
      </c>
      <c r="J237" s="22"/>
      <c r="K237" s="7"/>
      <c r="L237" s="23">
        <f>I237+J237+K237</f>
        <v>0</v>
      </c>
      <c r="M237" s="22"/>
      <c r="N237" s="7"/>
      <c r="O237" s="210">
        <f>L237+M237+N237</f>
        <v>0</v>
      </c>
      <c r="P237" s="220"/>
      <c r="Q237" s="221">
        <f>O237+P237</f>
        <v>0</v>
      </c>
    </row>
    <row r="238" spans="1:17" ht="12.75" hidden="1">
      <c r="A238" s="37" t="s">
        <v>197</v>
      </c>
      <c r="B238" s="80"/>
      <c r="C238" s="139"/>
      <c r="D238" s="128"/>
      <c r="E238" s="96"/>
      <c r="F238" s="190">
        <f>C238+D238+E238</f>
        <v>0</v>
      </c>
      <c r="G238" s="261"/>
      <c r="H238" s="7"/>
      <c r="I238" s="23">
        <f>F238+G238+H238</f>
        <v>0</v>
      </c>
      <c r="J238" s="22"/>
      <c r="K238" s="7"/>
      <c r="L238" s="23">
        <f>I238+J238+K238</f>
        <v>0</v>
      </c>
      <c r="M238" s="22"/>
      <c r="N238" s="7"/>
      <c r="O238" s="210">
        <f>L238+M238+N238</f>
        <v>0</v>
      </c>
      <c r="P238" s="220"/>
      <c r="Q238" s="221">
        <f>O238+P238</f>
        <v>0</v>
      </c>
    </row>
    <row r="239" spans="1:17" ht="12.75" hidden="1">
      <c r="A239" s="36" t="s">
        <v>73</v>
      </c>
      <c r="B239" s="83"/>
      <c r="C239" s="253"/>
      <c r="D239" s="244"/>
      <c r="E239" s="104"/>
      <c r="F239" s="195">
        <f>C239+D239+E239</f>
        <v>0</v>
      </c>
      <c r="G239" s="263"/>
      <c r="H239" s="10"/>
      <c r="I239" s="27">
        <f>F239+G239+H239</f>
        <v>0</v>
      </c>
      <c r="J239" s="26"/>
      <c r="K239" s="10"/>
      <c r="L239" s="27">
        <f>I239+J239+K239</f>
        <v>0</v>
      </c>
      <c r="M239" s="26"/>
      <c r="N239" s="10"/>
      <c r="O239" s="213">
        <f>L239+M239+N239</f>
        <v>0</v>
      </c>
      <c r="P239" s="229"/>
      <c r="Q239" s="230">
        <f>O239+P239</f>
        <v>0</v>
      </c>
    </row>
    <row r="240" spans="1:17" ht="12.75">
      <c r="A240" s="44" t="s">
        <v>288</v>
      </c>
      <c r="B240" s="85"/>
      <c r="C240" s="141">
        <f>C241+C255</f>
        <v>264482.6</v>
      </c>
      <c r="D240" s="129">
        <f aca="true" t="shared" si="78" ref="D240:Q240">D241+D255</f>
        <v>43534.76</v>
      </c>
      <c r="E240" s="99">
        <f t="shared" si="78"/>
        <v>0</v>
      </c>
      <c r="F240" s="191">
        <f t="shared" si="78"/>
        <v>308017.36</v>
      </c>
      <c r="G240" s="223">
        <f t="shared" si="78"/>
        <v>0</v>
      </c>
      <c r="H240" s="99">
        <f t="shared" si="78"/>
        <v>0</v>
      </c>
      <c r="I240" s="164">
        <f t="shared" si="78"/>
        <v>306010.49</v>
      </c>
      <c r="J240" s="98">
        <f t="shared" si="78"/>
        <v>0</v>
      </c>
      <c r="K240" s="99">
        <f t="shared" si="78"/>
        <v>0</v>
      </c>
      <c r="L240" s="164">
        <f t="shared" si="78"/>
        <v>306010.49</v>
      </c>
      <c r="M240" s="98">
        <f t="shared" si="78"/>
        <v>0</v>
      </c>
      <c r="N240" s="99">
        <f t="shared" si="78"/>
        <v>0</v>
      </c>
      <c r="O240" s="191">
        <f t="shared" si="78"/>
        <v>306010.49</v>
      </c>
      <c r="P240" s="223">
        <f t="shared" si="78"/>
        <v>0</v>
      </c>
      <c r="Q240" s="191">
        <f t="shared" si="78"/>
        <v>306010.49</v>
      </c>
    </row>
    <row r="241" spans="1:17" ht="12.75">
      <c r="A241" s="39" t="s">
        <v>49</v>
      </c>
      <c r="B241" s="84"/>
      <c r="C241" s="143">
        <f>SUM(C243:C254)</f>
        <v>261632.59999999998</v>
      </c>
      <c r="D241" s="131">
        <f aca="true" t="shared" si="79" ref="D241:Q241">SUM(D243:D254)</f>
        <v>41578.69</v>
      </c>
      <c r="E241" s="103">
        <f t="shared" si="79"/>
        <v>0</v>
      </c>
      <c r="F241" s="193">
        <f t="shared" si="79"/>
        <v>303211.29</v>
      </c>
      <c r="G241" s="227">
        <f t="shared" si="79"/>
        <v>0</v>
      </c>
      <c r="H241" s="103">
        <f t="shared" si="79"/>
        <v>0</v>
      </c>
      <c r="I241" s="166">
        <f t="shared" si="79"/>
        <v>302614.04</v>
      </c>
      <c r="J241" s="102">
        <f t="shared" si="79"/>
        <v>0</v>
      </c>
      <c r="K241" s="103">
        <f t="shared" si="79"/>
        <v>0</v>
      </c>
      <c r="L241" s="166">
        <f t="shared" si="79"/>
        <v>302614.04</v>
      </c>
      <c r="M241" s="102">
        <f t="shared" si="79"/>
        <v>0</v>
      </c>
      <c r="N241" s="103">
        <f t="shared" si="79"/>
        <v>0</v>
      </c>
      <c r="O241" s="193">
        <f t="shared" si="79"/>
        <v>302614.04</v>
      </c>
      <c r="P241" s="227">
        <f t="shared" si="79"/>
        <v>0</v>
      </c>
      <c r="Q241" s="193">
        <f t="shared" si="79"/>
        <v>302614.04</v>
      </c>
    </row>
    <row r="242" spans="1:17" ht="12.75">
      <c r="A242" s="35" t="s">
        <v>26</v>
      </c>
      <c r="B242" s="80"/>
      <c r="C242" s="139"/>
      <c r="D242" s="128"/>
      <c r="E242" s="96"/>
      <c r="F242" s="190"/>
      <c r="G242" s="261"/>
      <c r="H242" s="7"/>
      <c r="I242" s="23"/>
      <c r="J242" s="22"/>
      <c r="K242" s="7"/>
      <c r="L242" s="23"/>
      <c r="M242" s="22"/>
      <c r="N242" s="7"/>
      <c r="O242" s="210"/>
      <c r="P242" s="220"/>
      <c r="Q242" s="221"/>
    </row>
    <row r="243" spans="1:17" ht="12.75">
      <c r="A243" s="37" t="s">
        <v>69</v>
      </c>
      <c r="B243" s="80"/>
      <c r="C243" s="139">
        <v>216759.6</v>
      </c>
      <c r="D243" s="128">
        <f>6097.55+16268.2</f>
        <v>22365.75</v>
      </c>
      <c r="E243" s="96">
        <f>308.2</f>
        <v>308.2</v>
      </c>
      <c r="F243" s="190">
        <f aca="true" t="shared" si="80" ref="F243:F254">C243+D243+E243</f>
        <v>239433.55000000002</v>
      </c>
      <c r="G243" s="261"/>
      <c r="H243" s="7"/>
      <c r="I243" s="23">
        <f>F243+G243+H243</f>
        <v>239433.55000000002</v>
      </c>
      <c r="J243" s="22"/>
      <c r="K243" s="7"/>
      <c r="L243" s="23">
        <f>I243+J243+K243</f>
        <v>239433.55000000002</v>
      </c>
      <c r="M243" s="22"/>
      <c r="N243" s="7"/>
      <c r="O243" s="210">
        <f>L243+M243+N243</f>
        <v>239433.55000000002</v>
      </c>
      <c r="P243" s="220"/>
      <c r="Q243" s="221">
        <f aca="true" t="shared" si="81" ref="Q243:Q254">O243+P243</f>
        <v>239433.55000000002</v>
      </c>
    </row>
    <row r="244" spans="1:17" ht="12.75">
      <c r="A244" s="37" t="s">
        <v>51</v>
      </c>
      <c r="B244" s="80"/>
      <c r="C244" s="139">
        <v>41264.7</v>
      </c>
      <c r="D244" s="128">
        <f>-6327.4-1620+4067.47+1815.87+5209+550+3000+2500</f>
        <v>9194.94</v>
      </c>
      <c r="E244" s="96">
        <f>-308.2</f>
        <v>-308.2</v>
      </c>
      <c r="F244" s="190">
        <f t="shared" si="80"/>
        <v>50151.44</v>
      </c>
      <c r="G244" s="261"/>
      <c r="H244" s="7"/>
      <c r="I244" s="23">
        <f aca="true" t="shared" si="82" ref="I244:I254">F244+G244+H244</f>
        <v>50151.44</v>
      </c>
      <c r="J244" s="22"/>
      <c r="K244" s="7"/>
      <c r="L244" s="23">
        <f aca="true" t="shared" si="83" ref="L244:L254">I244+J244+K244</f>
        <v>50151.44</v>
      </c>
      <c r="M244" s="22"/>
      <c r="N244" s="7"/>
      <c r="O244" s="210">
        <f aca="true" t="shared" si="84" ref="O244:O254">L244+M244+N244</f>
        <v>50151.44</v>
      </c>
      <c r="P244" s="220"/>
      <c r="Q244" s="221">
        <f t="shared" si="81"/>
        <v>50151.44</v>
      </c>
    </row>
    <row r="245" spans="1:17" ht="12.75">
      <c r="A245" s="37" t="s">
        <v>125</v>
      </c>
      <c r="B245" s="80"/>
      <c r="C245" s="139">
        <v>3608.3</v>
      </c>
      <c r="D245" s="128"/>
      <c r="E245" s="96">
        <f>683.7</f>
        <v>683.7</v>
      </c>
      <c r="F245" s="190">
        <f t="shared" si="80"/>
        <v>4292</v>
      </c>
      <c r="G245" s="261"/>
      <c r="H245" s="7"/>
      <c r="I245" s="23">
        <f t="shared" si="82"/>
        <v>4292</v>
      </c>
      <c r="J245" s="22"/>
      <c r="K245" s="7"/>
      <c r="L245" s="23">
        <f t="shared" si="83"/>
        <v>4292</v>
      </c>
      <c r="M245" s="22"/>
      <c r="N245" s="7"/>
      <c r="O245" s="210">
        <f t="shared" si="84"/>
        <v>4292</v>
      </c>
      <c r="P245" s="220"/>
      <c r="Q245" s="221">
        <f t="shared" si="81"/>
        <v>4292</v>
      </c>
    </row>
    <row r="246" spans="1:17" ht="12.75">
      <c r="A246" s="37" t="s">
        <v>63</v>
      </c>
      <c r="B246" s="80"/>
      <c r="C246" s="139"/>
      <c r="D246" s="128">
        <f>6327.4+1620+1093.35</f>
        <v>9040.75</v>
      </c>
      <c r="E246" s="96">
        <f>-683.7</f>
        <v>-683.7</v>
      </c>
      <c r="F246" s="190">
        <f t="shared" si="80"/>
        <v>8357.05</v>
      </c>
      <c r="G246" s="261"/>
      <c r="H246" s="7"/>
      <c r="I246" s="23">
        <f t="shared" si="82"/>
        <v>8357.05</v>
      </c>
      <c r="J246" s="22"/>
      <c r="K246" s="7"/>
      <c r="L246" s="23">
        <f t="shared" si="83"/>
        <v>8357.05</v>
      </c>
      <c r="M246" s="22"/>
      <c r="N246" s="7"/>
      <c r="O246" s="210">
        <f t="shared" si="84"/>
        <v>8357.05</v>
      </c>
      <c r="P246" s="220"/>
      <c r="Q246" s="221">
        <f t="shared" si="81"/>
        <v>8357.05</v>
      </c>
    </row>
    <row r="247" spans="1:17" ht="12.75" hidden="1">
      <c r="A247" s="37" t="s">
        <v>84</v>
      </c>
      <c r="B247" s="80">
        <v>34070</v>
      </c>
      <c r="C247" s="139"/>
      <c r="D247" s="128"/>
      <c r="E247" s="96"/>
      <c r="F247" s="190">
        <f t="shared" si="80"/>
        <v>0</v>
      </c>
      <c r="G247" s="261"/>
      <c r="H247" s="7"/>
      <c r="I247" s="23">
        <f t="shared" si="82"/>
        <v>0</v>
      </c>
      <c r="J247" s="22"/>
      <c r="K247" s="7"/>
      <c r="L247" s="23">
        <f t="shared" si="83"/>
        <v>0</v>
      </c>
      <c r="M247" s="22"/>
      <c r="N247" s="7"/>
      <c r="O247" s="210">
        <f t="shared" si="84"/>
        <v>0</v>
      </c>
      <c r="P247" s="220"/>
      <c r="Q247" s="221">
        <f t="shared" si="81"/>
        <v>0</v>
      </c>
    </row>
    <row r="248" spans="1:17" ht="12.75" hidden="1">
      <c r="A248" s="37" t="s">
        <v>85</v>
      </c>
      <c r="B248" s="80">
        <v>34053</v>
      </c>
      <c r="C248" s="139"/>
      <c r="D248" s="128"/>
      <c r="E248" s="96"/>
      <c r="F248" s="190">
        <f t="shared" si="80"/>
        <v>0</v>
      </c>
      <c r="G248" s="261"/>
      <c r="H248" s="7"/>
      <c r="I248" s="23">
        <f t="shared" si="82"/>
        <v>0</v>
      </c>
      <c r="J248" s="22"/>
      <c r="K248" s="7"/>
      <c r="L248" s="23">
        <f t="shared" si="83"/>
        <v>0</v>
      </c>
      <c r="M248" s="22"/>
      <c r="N248" s="7"/>
      <c r="O248" s="210">
        <f t="shared" si="84"/>
        <v>0</v>
      </c>
      <c r="P248" s="220"/>
      <c r="Q248" s="221">
        <f t="shared" si="81"/>
        <v>0</v>
      </c>
    </row>
    <row r="249" spans="1:17" ht="12.75">
      <c r="A249" s="37" t="s">
        <v>343</v>
      </c>
      <c r="B249" s="80">
        <v>34033</v>
      </c>
      <c r="C249" s="139"/>
      <c r="D249" s="128">
        <f>451.07</f>
        <v>451.07</v>
      </c>
      <c r="E249" s="96"/>
      <c r="F249" s="190">
        <f t="shared" si="80"/>
        <v>451.07</v>
      </c>
      <c r="G249" s="261"/>
      <c r="H249" s="7"/>
      <c r="I249" s="23"/>
      <c r="J249" s="22"/>
      <c r="K249" s="7"/>
      <c r="L249" s="23"/>
      <c r="M249" s="22"/>
      <c r="N249" s="7"/>
      <c r="O249" s="210"/>
      <c r="P249" s="220"/>
      <c r="Q249" s="221"/>
    </row>
    <row r="250" spans="1:17" ht="12.75">
      <c r="A250" s="37" t="s">
        <v>344</v>
      </c>
      <c r="B250" s="80">
        <v>17054</v>
      </c>
      <c r="C250" s="139"/>
      <c r="D250" s="128">
        <f>81.23</f>
        <v>81.23</v>
      </c>
      <c r="E250" s="96"/>
      <c r="F250" s="190">
        <f t="shared" si="80"/>
        <v>81.23</v>
      </c>
      <c r="G250" s="261"/>
      <c r="H250" s="7"/>
      <c r="I250" s="23"/>
      <c r="J250" s="22"/>
      <c r="K250" s="7"/>
      <c r="L250" s="23"/>
      <c r="M250" s="22"/>
      <c r="N250" s="7"/>
      <c r="O250" s="210"/>
      <c r="P250" s="220"/>
      <c r="Q250" s="221"/>
    </row>
    <row r="251" spans="1:17" ht="12.75" hidden="1">
      <c r="A251" s="37" t="s">
        <v>302</v>
      </c>
      <c r="B251" s="80"/>
      <c r="C251" s="139"/>
      <c r="D251" s="128"/>
      <c r="E251" s="96"/>
      <c r="F251" s="190">
        <f t="shared" si="80"/>
        <v>0</v>
      </c>
      <c r="G251" s="261"/>
      <c r="H251" s="7"/>
      <c r="I251" s="23">
        <f t="shared" si="82"/>
        <v>0</v>
      </c>
      <c r="J251" s="22"/>
      <c r="K251" s="7"/>
      <c r="L251" s="23">
        <f t="shared" si="83"/>
        <v>0</v>
      </c>
      <c r="M251" s="22"/>
      <c r="N251" s="7"/>
      <c r="O251" s="210">
        <f t="shared" si="84"/>
        <v>0</v>
      </c>
      <c r="P251" s="220"/>
      <c r="Q251" s="221">
        <f t="shared" si="81"/>
        <v>0</v>
      </c>
    </row>
    <row r="252" spans="1:17" ht="12.75">
      <c r="A252" s="37" t="s">
        <v>322</v>
      </c>
      <c r="B252" s="80"/>
      <c r="C252" s="139"/>
      <c r="D252" s="128">
        <f>55.21+9.74</f>
        <v>64.95</v>
      </c>
      <c r="E252" s="96"/>
      <c r="F252" s="190">
        <f t="shared" si="80"/>
        <v>64.95</v>
      </c>
      <c r="G252" s="261"/>
      <c r="H252" s="7"/>
      <c r="I252" s="23"/>
      <c r="J252" s="22"/>
      <c r="K252" s="7"/>
      <c r="L252" s="23"/>
      <c r="M252" s="22"/>
      <c r="N252" s="7"/>
      <c r="O252" s="210"/>
      <c r="P252" s="220"/>
      <c r="Q252" s="221"/>
    </row>
    <row r="253" spans="1:17" ht="12.75" hidden="1">
      <c r="A253" s="37" t="s">
        <v>254</v>
      </c>
      <c r="B253" s="80"/>
      <c r="C253" s="139"/>
      <c r="D253" s="128"/>
      <c r="E253" s="96"/>
      <c r="F253" s="190">
        <f t="shared" si="80"/>
        <v>0</v>
      </c>
      <c r="G253" s="261"/>
      <c r="H253" s="7"/>
      <c r="I253" s="23">
        <f t="shared" si="82"/>
        <v>0</v>
      </c>
      <c r="J253" s="22"/>
      <c r="K253" s="7"/>
      <c r="L253" s="23">
        <f t="shared" si="83"/>
        <v>0</v>
      </c>
      <c r="M253" s="22"/>
      <c r="N253" s="7"/>
      <c r="O253" s="210">
        <f t="shared" si="84"/>
        <v>0</v>
      </c>
      <c r="P253" s="220"/>
      <c r="Q253" s="221">
        <f t="shared" si="81"/>
        <v>0</v>
      </c>
    </row>
    <row r="254" spans="1:17" ht="12.75">
      <c r="A254" s="37" t="s">
        <v>73</v>
      </c>
      <c r="B254" s="80"/>
      <c r="C254" s="139"/>
      <c r="D254" s="128">
        <f>280+100</f>
        <v>380</v>
      </c>
      <c r="E254" s="96"/>
      <c r="F254" s="190">
        <f t="shared" si="80"/>
        <v>380</v>
      </c>
      <c r="G254" s="261"/>
      <c r="H254" s="7"/>
      <c r="I254" s="23">
        <f t="shared" si="82"/>
        <v>380</v>
      </c>
      <c r="J254" s="22"/>
      <c r="K254" s="7"/>
      <c r="L254" s="23">
        <f t="shared" si="83"/>
        <v>380</v>
      </c>
      <c r="M254" s="22"/>
      <c r="N254" s="7"/>
      <c r="O254" s="210">
        <f t="shared" si="84"/>
        <v>380</v>
      </c>
      <c r="P254" s="220"/>
      <c r="Q254" s="221">
        <f t="shared" si="81"/>
        <v>380</v>
      </c>
    </row>
    <row r="255" spans="1:17" ht="12.75">
      <c r="A255" s="39" t="s">
        <v>53</v>
      </c>
      <c r="B255" s="84"/>
      <c r="C255" s="143">
        <f>SUM(C257:C261)</f>
        <v>2850</v>
      </c>
      <c r="D255" s="131">
        <f aca="true" t="shared" si="85" ref="D255:Q255">SUM(D257:D261)</f>
        <v>1956.07</v>
      </c>
      <c r="E255" s="103">
        <f t="shared" si="85"/>
        <v>0</v>
      </c>
      <c r="F255" s="193">
        <f t="shared" si="85"/>
        <v>4806.07</v>
      </c>
      <c r="G255" s="227">
        <f t="shared" si="85"/>
        <v>0</v>
      </c>
      <c r="H255" s="103">
        <f t="shared" si="85"/>
        <v>0</v>
      </c>
      <c r="I255" s="166">
        <f t="shared" si="85"/>
        <v>3396.45</v>
      </c>
      <c r="J255" s="102">
        <f t="shared" si="85"/>
        <v>0</v>
      </c>
      <c r="K255" s="103">
        <f t="shared" si="85"/>
        <v>0</v>
      </c>
      <c r="L255" s="166">
        <f t="shared" si="85"/>
        <v>3396.45</v>
      </c>
      <c r="M255" s="102">
        <f t="shared" si="85"/>
        <v>0</v>
      </c>
      <c r="N255" s="103">
        <f t="shared" si="85"/>
        <v>0</v>
      </c>
      <c r="O255" s="193">
        <f t="shared" si="85"/>
        <v>3396.45</v>
      </c>
      <c r="P255" s="227">
        <f t="shared" si="85"/>
        <v>0</v>
      </c>
      <c r="Q255" s="193">
        <f t="shared" si="85"/>
        <v>3396.45</v>
      </c>
    </row>
    <row r="256" spans="1:17" ht="12.75">
      <c r="A256" s="35" t="s">
        <v>26</v>
      </c>
      <c r="B256" s="80"/>
      <c r="C256" s="139"/>
      <c r="D256" s="128"/>
      <c r="E256" s="96"/>
      <c r="F256" s="190"/>
      <c r="G256" s="261"/>
      <c r="H256" s="7"/>
      <c r="I256" s="23"/>
      <c r="J256" s="22"/>
      <c r="K256" s="7"/>
      <c r="L256" s="23"/>
      <c r="M256" s="22"/>
      <c r="N256" s="7"/>
      <c r="O256" s="210"/>
      <c r="P256" s="220"/>
      <c r="Q256" s="221"/>
    </row>
    <row r="257" spans="1:17" ht="12.75" hidden="1">
      <c r="A257" s="37" t="s">
        <v>85</v>
      </c>
      <c r="B257" s="80">
        <v>34544</v>
      </c>
      <c r="C257" s="139"/>
      <c r="D257" s="128"/>
      <c r="E257" s="96"/>
      <c r="F257" s="190">
        <f>C257+D257+E257</f>
        <v>0</v>
      </c>
      <c r="G257" s="261"/>
      <c r="H257" s="7"/>
      <c r="I257" s="23">
        <f>F257+G257+H257</f>
        <v>0</v>
      </c>
      <c r="J257" s="22"/>
      <c r="K257" s="7"/>
      <c r="L257" s="23">
        <f>I257+J257+K257</f>
        <v>0</v>
      </c>
      <c r="M257" s="22"/>
      <c r="N257" s="7"/>
      <c r="O257" s="210">
        <f>L257+M257+N257</f>
        <v>0</v>
      </c>
      <c r="P257" s="220"/>
      <c r="Q257" s="221">
        <f>O257+P257</f>
        <v>0</v>
      </c>
    </row>
    <row r="258" spans="1:17" ht="12.75">
      <c r="A258" s="37" t="s">
        <v>344</v>
      </c>
      <c r="B258" s="80">
        <v>17502</v>
      </c>
      <c r="C258" s="139"/>
      <c r="D258" s="128">
        <f>1409.62</f>
        <v>1409.62</v>
      </c>
      <c r="E258" s="96"/>
      <c r="F258" s="190">
        <f>C258+D258+E258</f>
        <v>1409.62</v>
      </c>
      <c r="G258" s="261"/>
      <c r="H258" s="7"/>
      <c r="I258" s="23"/>
      <c r="J258" s="22"/>
      <c r="K258" s="7"/>
      <c r="L258" s="23"/>
      <c r="M258" s="22"/>
      <c r="N258" s="7"/>
      <c r="O258" s="210"/>
      <c r="P258" s="220"/>
      <c r="Q258" s="221"/>
    </row>
    <row r="259" spans="1:17" ht="12.75">
      <c r="A259" s="78" t="s">
        <v>80</v>
      </c>
      <c r="B259" s="80"/>
      <c r="C259" s="139">
        <v>2850</v>
      </c>
      <c r="D259" s="180"/>
      <c r="E259" s="96"/>
      <c r="F259" s="190">
        <f>C259+D259+E259</f>
        <v>2850</v>
      </c>
      <c r="G259" s="261"/>
      <c r="H259" s="7"/>
      <c r="I259" s="23">
        <f>F259+G259+H259</f>
        <v>2850</v>
      </c>
      <c r="J259" s="22"/>
      <c r="K259" s="7"/>
      <c r="L259" s="23">
        <f>I259+J259+K259</f>
        <v>2850</v>
      </c>
      <c r="M259" s="22"/>
      <c r="N259" s="7"/>
      <c r="O259" s="210">
        <f>L259+M259+N259</f>
        <v>2850</v>
      </c>
      <c r="P259" s="220"/>
      <c r="Q259" s="221">
        <f>O259+P259</f>
        <v>2850</v>
      </c>
    </row>
    <row r="260" spans="1:17" ht="12.75">
      <c r="A260" s="78" t="s">
        <v>54</v>
      </c>
      <c r="B260" s="80"/>
      <c r="C260" s="139"/>
      <c r="D260" s="128">
        <f>242+54.45</f>
        <v>296.45</v>
      </c>
      <c r="E260" s="96"/>
      <c r="F260" s="190">
        <f>C260+D260+E260</f>
        <v>296.45</v>
      </c>
      <c r="G260" s="261"/>
      <c r="H260" s="7"/>
      <c r="I260" s="23">
        <f>F260+G260+H260</f>
        <v>296.45</v>
      </c>
      <c r="J260" s="22"/>
      <c r="K260" s="7"/>
      <c r="L260" s="23">
        <f>I260+J260+K260</f>
        <v>296.45</v>
      </c>
      <c r="M260" s="22"/>
      <c r="N260" s="7"/>
      <c r="O260" s="210">
        <f>L260+M260+N260</f>
        <v>296.45</v>
      </c>
      <c r="P260" s="220"/>
      <c r="Q260" s="221">
        <f>O260+P260</f>
        <v>296.45</v>
      </c>
    </row>
    <row r="261" spans="1:17" ht="12.75">
      <c r="A261" s="43" t="s">
        <v>73</v>
      </c>
      <c r="B261" s="83"/>
      <c r="C261" s="253"/>
      <c r="D261" s="244">
        <f>250</f>
        <v>250</v>
      </c>
      <c r="E261" s="104"/>
      <c r="F261" s="195">
        <f>C261+D261+E261</f>
        <v>250</v>
      </c>
      <c r="G261" s="263"/>
      <c r="H261" s="10"/>
      <c r="I261" s="27">
        <f>F261+G261+H261</f>
        <v>250</v>
      </c>
      <c r="J261" s="26"/>
      <c r="K261" s="10"/>
      <c r="L261" s="27">
        <f>I261+J261+K261</f>
        <v>250</v>
      </c>
      <c r="M261" s="68"/>
      <c r="N261" s="10"/>
      <c r="O261" s="213">
        <f>L261+M261+N261</f>
        <v>250</v>
      </c>
      <c r="P261" s="229"/>
      <c r="Q261" s="230">
        <f>O261+P261</f>
        <v>250</v>
      </c>
    </row>
    <row r="262" spans="1:20" ht="12.75">
      <c r="A262" s="30" t="s">
        <v>258</v>
      </c>
      <c r="B262" s="84"/>
      <c r="C262" s="138">
        <f>C263+C266</f>
        <v>1000</v>
      </c>
      <c r="D262" s="117">
        <f aca="true" t="shared" si="86" ref="D262:Q262">D263+D266</f>
        <v>0</v>
      </c>
      <c r="E262" s="95">
        <f t="shared" si="86"/>
        <v>0</v>
      </c>
      <c r="F262" s="189">
        <f t="shared" si="86"/>
        <v>1000</v>
      </c>
      <c r="G262" s="219">
        <f t="shared" si="86"/>
        <v>0</v>
      </c>
      <c r="H262" s="95">
        <f t="shared" si="86"/>
        <v>0</v>
      </c>
      <c r="I262" s="162">
        <f t="shared" si="86"/>
        <v>1000</v>
      </c>
      <c r="J262" s="94">
        <f t="shared" si="86"/>
        <v>0</v>
      </c>
      <c r="K262" s="95">
        <f t="shared" si="86"/>
        <v>0</v>
      </c>
      <c r="L262" s="162">
        <f t="shared" si="86"/>
        <v>1000</v>
      </c>
      <c r="M262" s="94">
        <f t="shared" si="86"/>
        <v>0</v>
      </c>
      <c r="N262" s="95">
        <f t="shared" si="86"/>
        <v>0</v>
      </c>
      <c r="O262" s="189">
        <f t="shared" si="86"/>
        <v>1000</v>
      </c>
      <c r="P262" s="219">
        <f t="shared" si="86"/>
        <v>0</v>
      </c>
      <c r="Q262" s="189">
        <f t="shared" si="86"/>
        <v>1000</v>
      </c>
      <c r="S262" s="140"/>
      <c r="T262" s="121"/>
    </row>
    <row r="263" spans="1:17" ht="12.75">
      <c r="A263" s="39" t="s">
        <v>49</v>
      </c>
      <c r="B263" s="84"/>
      <c r="C263" s="143">
        <f>SUM(C265:C265)</f>
        <v>1000</v>
      </c>
      <c r="D263" s="131">
        <f aca="true" t="shared" si="87" ref="D263:Q263">SUM(D265:D265)</f>
        <v>0</v>
      </c>
      <c r="E263" s="103">
        <f t="shared" si="87"/>
        <v>0</v>
      </c>
      <c r="F263" s="193">
        <f t="shared" si="87"/>
        <v>1000</v>
      </c>
      <c r="G263" s="227">
        <f t="shared" si="87"/>
        <v>0</v>
      </c>
      <c r="H263" s="103">
        <f t="shared" si="87"/>
        <v>0</v>
      </c>
      <c r="I263" s="166">
        <f t="shared" si="87"/>
        <v>1000</v>
      </c>
      <c r="J263" s="102">
        <f t="shared" si="87"/>
        <v>0</v>
      </c>
      <c r="K263" s="103">
        <f t="shared" si="87"/>
        <v>0</v>
      </c>
      <c r="L263" s="166">
        <f t="shared" si="87"/>
        <v>1000</v>
      </c>
      <c r="M263" s="102">
        <f t="shared" si="87"/>
        <v>0</v>
      </c>
      <c r="N263" s="103">
        <f t="shared" si="87"/>
        <v>0</v>
      </c>
      <c r="O263" s="193">
        <f t="shared" si="87"/>
        <v>1000</v>
      </c>
      <c r="P263" s="227">
        <f t="shared" si="87"/>
        <v>0</v>
      </c>
      <c r="Q263" s="193">
        <f t="shared" si="87"/>
        <v>1000</v>
      </c>
    </row>
    <row r="264" spans="1:17" ht="12.75">
      <c r="A264" s="35" t="s">
        <v>26</v>
      </c>
      <c r="B264" s="80"/>
      <c r="C264" s="139"/>
      <c r="D264" s="128"/>
      <c r="E264" s="96"/>
      <c r="F264" s="190"/>
      <c r="G264" s="261"/>
      <c r="H264" s="7"/>
      <c r="I264" s="23"/>
      <c r="J264" s="22"/>
      <c r="K264" s="7"/>
      <c r="L264" s="23"/>
      <c r="M264" s="29"/>
      <c r="N264" s="7"/>
      <c r="O264" s="210"/>
      <c r="P264" s="220"/>
      <c r="Q264" s="221"/>
    </row>
    <row r="265" spans="1:17" ht="12.75">
      <c r="A265" s="36" t="s">
        <v>51</v>
      </c>
      <c r="B265" s="83"/>
      <c r="C265" s="253">
        <v>1000</v>
      </c>
      <c r="D265" s="244"/>
      <c r="E265" s="104"/>
      <c r="F265" s="195">
        <f>C265+D265+E265</f>
        <v>1000</v>
      </c>
      <c r="G265" s="261"/>
      <c r="H265" s="7"/>
      <c r="I265" s="23">
        <f>F265+G265+H265</f>
        <v>1000</v>
      </c>
      <c r="J265" s="22"/>
      <c r="K265" s="7"/>
      <c r="L265" s="23">
        <f>I265+J265+K265</f>
        <v>1000</v>
      </c>
      <c r="M265" s="29"/>
      <c r="N265" s="7"/>
      <c r="O265" s="210">
        <f>L265+M265+N265</f>
        <v>1000</v>
      </c>
      <c r="P265" s="220"/>
      <c r="Q265" s="221">
        <f>O265+P265</f>
        <v>1000</v>
      </c>
    </row>
    <row r="266" spans="1:17" ht="12.75" hidden="1">
      <c r="A266" s="39" t="s">
        <v>53</v>
      </c>
      <c r="B266" s="84"/>
      <c r="C266" s="143">
        <f>C268</f>
        <v>0</v>
      </c>
      <c r="D266" s="131">
        <f aca="true" t="shared" si="88" ref="D266:Q266">D268</f>
        <v>0</v>
      </c>
      <c r="E266" s="103">
        <f t="shared" si="88"/>
        <v>0</v>
      </c>
      <c r="F266" s="193">
        <f t="shared" si="88"/>
        <v>0</v>
      </c>
      <c r="G266" s="227">
        <f t="shared" si="88"/>
        <v>0</v>
      </c>
      <c r="H266" s="103">
        <f t="shared" si="88"/>
        <v>0</v>
      </c>
      <c r="I266" s="166">
        <f t="shared" si="88"/>
        <v>0</v>
      </c>
      <c r="J266" s="102">
        <f t="shared" si="88"/>
        <v>0</v>
      </c>
      <c r="K266" s="103">
        <f t="shared" si="88"/>
        <v>0</v>
      </c>
      <c r="L266" s="166">
        <f t="shared" si="88"/>
        <v>0</v>
      </c>
      <c r="M266" s="102">
        <f t="shared" si="88"/>
        <v>0</v>
      </c>
      <c r="N266" s="103">
        <f t="shared" si="88"/>
        <v>0</v>
      </c>
      <c r="O266" s="193">
        <f t="shared" si="88"/>
        <v>0</v>
      </c>
      <c r="P266" s="227">
        <f t="shared" si="88"/>
        <v>0</v>
      </c>
      <c r="Q266" s="193">
        <f t="shared" si="88"/>
        <v>0</v>
      </c>
    </row>
    <row r="267" spans="1:17" ht="12.75" hidden="1">
      <c r="A267" s="35" t="s">
        <v>26</v>
      </c>
      <c r="B267" s="80"/>
      <c r="C267" s="139"/>
      <c r="D267" s="128"/>
      <c r="E267" s="96"/>
      <c r="F267" s="190"/>
      <c r="G267" s="261"/>
      <c r="H267" s="7"/>
      <c r="I267" s="23"/>
      <c r="J267" s="22"/>
      <c r="K267" s="7"/>
      <c r="L267" s="23"/>
      <c r="M267" s="22"/>
      <c r="N267" s="7"/>
      <c r="O267" s="210"/>
      <c r="P267" s="220"/>
      <c r="Q267" s="221"/>
    </row>
    <row r="268" spans="1:17" ht="12.75" hidden="1">
      <c r="A268" s="137" t="s">
        <v>54</v>
      </c>
      <c r="B268" s="83"/>
      <c r="C268" s="253"/>
      <c r="D268" s="244"/>
      <c r="E268" s="104"/>
      <c r="F268" s="195">
        <f>C268+D268+E268</f>
        <v>0</v>
      </c>
      <c r="G268" s="263"/>
      <c r="H268" s="10"/>
      <c r="I268" s="27">
        <f>F268+G268+H268</f>
        <v>0</v>
      </c>
      <c r="J268" s="26"/>
      <c r="K268" s="10"/>
      <c r="L268" s="27">
        <f>I268+J268+K268</f>
        <v>0</v>
      </c>
      <c r="M268" s="26"/>
      <c r="N268" s="10"/>
      <c r="O268" s="213">
        <f>L268+M268+N268</f>
        <v>0</v>
      </c>
      <c r="P268" s="229"/>
      <c r="Q268" s="230">
        <f>O268+P268</f>
        <v>0</v>
      </c>
    </row>
    <row r="269" spans="1:17" ht="12.75">
      <c r="A269" s="30" t="s">
        <v>48</v>
      </c>
      <c r="B269" s="82"/>
      <c r="C269" s="138">
        <f>C270+C283</f>
        <v>103456.29</v>
      </c>
      <c r="D269" s="117">
        <f aca="true" t="shared" si="89" ref="D269:Q269">D270+D283</f>
        <v>210179.7</v>
      </c>
      <c r="E269" s="95">
        <f t="shared" si="89"/>
        <v>0</v>
      </c>
      <c r="F269" s="189">
        <f t="shared" si="89"/>
        <v>313635.99</v>
      </c>
      <c r="G269" s="219">
        <f t="shared" si="89"/>
        <v>0</v>
      </c>
      <c r="H269" s="95">
        <f t="shared" si="89"/>
        <v>0</v>
      </c>
      <c r="I269" s="162">
        <f t="shared" si="89"/>
        <v>313635.99</v>
      </c>
      <c r="J269" s="94">
        <f t="shared" si="89"/>
        <v>0</v>
      </c>
      <c r="K269" s="95">
        <f t="shared" si="89"/>
        <v>0</v>
      </c>
      <c r="L269" s="162">
        <f t="shared" si="89"/>
        <v>313635.99</v>
      </c>
      <c r="M269" s="94">
        <f t="shared" si="89"/>
        <v>0</v>
      </c>
      <c r="N269" s="95">
        <f t="shared" si="89"/>
        <v>0</v>
      </c>
      <c r="O269" s="189">
        <f t="shared" si="89"/>
        <v>313635.99</v>
      </c>
      <c r="P269" s="219">
        <f t="shared" si="89"/>
        <v>0</v>
      </c>
      <c r="Q269" s="189">
        <f t="shared" si="89"/>
        <v>313635.99</v>
      </c>
    </row>
    <row r="270" spans="1:17" ht="12.75">
      <c r="A270" s="39" t="s">
        <v>49</v>
      </c>
      <c r="B270" s="82"/>
      <c r="C270" s="143">
        <f>SUM(C272:C282)</f>
        <v>102656.29</v>
      </c>
      <c r="D270" s="131">
        <f aca="true" t="shared" si="90" ref="D270:Q270">SUM(D272:D282)</f>
        <v>209979.7</v>
      </c>
      <c r="E270" s="103">
        <f t="shared" si="90"/>
        <v>0</v>
      </c>
      <c r="F270" s="193">
        <f t="shared" si="90"/>
        <v>312635.99</v>
      </c>
      <c r="G270" s="227">
        <f t="shared" si="90"/>
        <v>0</v>
      </c>
      <c r="H270" s="103">
        <f t="shared" si="90"/>
        <v>0</v>
      </c>
      <c r="I270" s="166">
        <f t="shared" si="90"/>
        <v>312635.99</v>
      </c>
      <c r="J270" s="102">
        <f t="shared" si="90"/>
        <v>0</v>
      </c>
      <c r="K270" s="103">
        <f t="shared" si="90"/>
        <v>0</v>
      </c>
      <c r="L270" s="166">
        <f t="shared" si="90"/>
        <v>312635.99</v>
      </c>
      <c r="M270" s="102">
        <f t="shared" si="90"/>
        <v>0</v>
      </c>
      <c r="N270" s="103">
        <f t="shared" si="90"/>
        <v>0</v>
      </c>
      <c r="O270" s="193">
        <f t="shared" si="90"/>
        <v>312635.99</v>
      </c>
      <c r="P270" s="227">
        <f t="shared" si="90"/>
        <v>0</v>
      </c>
      <c r="Q270" s="193">
        <f t="shared" si="90"/>
        <v>312635.99</v>
      </c>
    </row>
    <row r="271" spans="1:17" ht="12.75">
      <c r="A271" s="35" t="s">
        <v>26</v>
      </c>
      <c r="B271" s="67"/>
      <c r="C271" s="139"/>
      <c r="D271" s="128"/>
      <c r="E271" s="96"/>
      <c r="F271" s="190"/>
      <c r="G271" s="261"/>
      <c r="H271" s="7"/>
      <c r="I271" s="23"/>
      <c r="J271" s="22"/>
      <c r="K271" s="7"/>
      <c r="L271" s="23"/>
      <c r="M271" s="22"/>
      <c r="N271" s="7"/>
      <c r="O271" s="210"/>
      <c r="P271" s="220"/>
      <c r="Q271" s="221"/>
    </row>
    <row r="272" spans="1:17" ht="12.75">
      <c r="A272" s="33" t="s">
        <v>128</v>
      </c>
      <c r="B272" s="80"/>
      <c r="C272" s="139">
        <v>29177.47</v>
      </c>
      <c r="D272" s="180">
        <f>2540.4</f>
        <v>2540.4</v>
      </c>
      <c r="E272" s="96"/>
      <c r="F272" s="190">
        <f aca="true" t="shared" si="91" ref="F272:F282">C272+D272+E272</f>
        <v>31717.870000000003</v>
      </c>
      <c r="G272" s="261"/>
      <c r="H272" s="7"/>
      <c r="I272" s="23">
        <f>F272+G272+H272</f>
        <v>31717.870000000003</v>
      </c>
      <c r="J272" s="22"/>
      <c r="K272" s="7"/>
      <c r="L272" s="23">
        <f>I272+J272+K272</f>
        <v>31717.870000000003</v>
      </c>
      <c r="M272" s="22"/>
      <c r="N272" s="7"/>
      <c r="O272" s="210">
        <f>L272+M272+N272</f>
        <v>31717.870000000003</v>
      </c>
      <c r="P272" s="220"/>
      <c r="Q272" s="221">
        <f>O272+P272</f>
        <v>31717.870000000003</v>
      </c>
    </row>
    <row r="273" spans="1:17" ht="12.75">
      <c r="A273" s="33" t="s">
        <v>50</v>
      </c>
      <c r="B273" s="80"/>
      <c r="C273" s="139">
        <v>7487.34</v>
      </c>
      <c r="D273" s="128">
        <f>605</f>
        <v>605</v>
      </c>
      <c r="E273" s="96"/>
      <c r="F273" s="190">
        <f t="shared" si="91"/>
        <v>8092.34</v>
      </c>
      <c r="G273" s="261"/>
      <c r="H273" s="7"/>
      <c r="I273" s="23">
        <f aca="true" t="shared" si="92" ref="I273:I282">F273+G273+H273</f>
        <v>8092.34</v>
      </c>
      <c r="J273" s="22"/>
      <c r="K273" s="7"/>
      <c r="L273" s="23">
        <f aca="true" t="shared" si="93" ref="L273:L282">I273+J273+K273</f>
        <v>8092.34</v>
      </c>
      <c r="M273" s="22"/>
      <c r="N273" s="7"/>
      <c r="O273" s="210">
        <f aca="true" t="shared" si="94" ref="O273:O281">L273+M273+N273</f>
        <v>8092.34</v>
      </c>
      <c r="P273" s="220"/>
      <c r="Q273" s="221">
        <f aca="true" t="shared" si="95" ref="Q273:Q282">O273+P273</f>
        <v>8092.34</v>
      </c>
    </row>
    <row r="274" spans="1:17" ht="12.75">
      <c r="A274" s="33" t="s">
        <v>231</v>
      </c>
      <c r="B274" s="80"/>
      <c r="C274" s="139">
        <v>1450</v>
      </c>
      <c r="D274" s="128">
        <f>300</f>
        <v>300</v>
      </c>
      <c r="E274" s="96"/>
      <c r="F274" s="190">
        <f t="shared" si="91"/>
        <v>1750</v>
      </c>
      <c r="G274" s="261"/>
      <c r="H274" s="7"/>
      <c r="I274" s="23">
        <f t="shared" si="92"/>
        <v>1750</v>
      </c>
      <c r="J274" s="22"/>
      <c r="K274" s="7"/>
      <c r="L274" s="23">
        <f t="shared" si="93"/>
        <v>1750</v>
      </c>
      <c r="M274" s="22"/>
      <c r="N274" s="7"/>
      <c r="O274" s="210">
        <f t="shared" si="94"/>
        <v>1750</v>
      </c>
      <c r="P274" s="220"/>
      <c r="Q274" s="221">
        <f t="shared" si="95"/>
        <v>1750</v>
      </c>
    </row>
    <row r="275" spans="1:17" ht="12.75">
      <c r="A275" s="33" t="s">
        <v>51</v>
      </c>
      <c r="B275" s="80"/>
      <c r="C275" s="139">
        <v>15241.48</v>
      </c>
      <c r="D275" s="128">
        <f>2000+54.6</f>
        <v>2054.6</v>
      </c>
      <c r="E275" s="96"/>
      <c r="F275" s="190">
        <f t="shared" si="91"/>
        <v>17296.079999999998</v>
      </c>
      <c r="G275" s="261"/>
      <c r="H275" s="7"/>
      <c r="I275" s="23">
        <f t="shared" si="92"/>
        <v>17296.079999999998</v>
      </c>
      <c r="J275" s="22"/>
      <c r="K275" s="7"/>
      <c r="L275" s="23">
        <f t="shared" si="93"/>
        <v>17296.079999999998</v>
      </c>
      <c r="M275" s="22"/>
      <c r="N275" s="7"/>
      <c r="O275" s="210">
        <f t="shared" si="94"/>
        <v>17296.079999999998</v>
      </c>
      <c r="P275" s="220"/>
      <c r="Q275" s="221">
        <f t="shared" si="95"/>
        <v>17296.079999999998</v>
      </c>
    </row>
    <row r="276" spans="1:17" ht="12.75">
      <c r="A276" s="33" t="s">
        <v>73</v>
      </c>
      <c r="B276" s="80"/>
      <c r="C276" s="139"/>
      <c r="D276" s="128">
        <f>2404.19</f>
        <v>2404.19</v>
      </c>
      <c r="E276" s="96"/>
      <c r="F276" s="190">
        <f t="shared" si="91"/>
        <v>2404.19</v>
      </c>
      <c r="G276" s="261"/>
      <c r="H276" s="7"/>
      <c r="I276" s="23">
        <f t="shared" si="92"/>
        <v>2404.19</v>
      </c>
      <c r="J276" s="22"/>
      <c r="K276" s="7"/>
      <c r="L276" s="23">
        <f t="shared" si="93"/>
        <v>2404.19</v>
      </c>
      <c r="M276" s="22"/>
      <c r="N276" s="7"/>
      <c r="O276" s="210">
        <f t="shared" si="94"/>
        <v>2404.19</v>
      </c>
      <c r="P276" s="220"/>
      <c r="Q276" s="221">
        <f t="shared" si="95"/>
        <v>2404.19</v>
      </c>
    </row>
    <row r="277" spans="1:17" ht="12.75">
      <c r="A277" s="33" t="s">
        <v>325</v>
      </c>
      <c r="B277" s="80"/>
      <c r="C277" s="139">
        <v>35500</v>
      </c>
      <c r="D277" s="128">
        <f>88922.11+20000+32053.4+60000</f>
        <v>200975.51</v>
      </c>
      <c r="E277" s="96"/>
      <c r="F277" s="190">
        <f t="shared" si="91"/>
        <v>236475.51</v>
      </c>
      <c r="G277" s="261"/>
      <c r="H277" s="7"/>
      <c r="I277" s="23">
        <f t="shared" si="92"/>
        <v>236475.51</v>
      </c>
      <c r="J277" s="22"/>
      <c r="K277" s="7"/>
      <c r="L277" s="23">
        <f t="shared" si="93"/>
        <v>236475.51</v>
      </c>
      <c r="M277" s="22"/>
      <c r="N277" s="7"/>
      <c r="O277" s="210">
        <f t="shared" si="94"/>
        <v>236475.51</v>
      </c>
      <c r="P277" s="220"/>
      <c r="Q277" s="221">
        <f t="shared" si="95"/>
        <v>236475.51</v>
      </c>
    </row>
    <row r="278" spans="1:17" ht="12.75" hidden="1">
      <c r="A278" s="33" t="s">
        <v>286</v>
      </c>
      <c r="B278" s="80">
        <v>98032</v>
      </c>
      <c r="C278" s="139"/>
      <c r="D278" s="128"/>
      <c r="E278" s="96"/>
      <c r="F278" s="190">
        <f t="shared" si="91"/>
        <v>0</v>
      </c>
      <c r="G278" s="261"/>
      <c r="H278" s="7"/>
      <c r="I278" s="23">
        <f t="shared" si="92"/>
        <v>0</v>
      </c>
      <c r="J278" s="22"/>
      <c r="K278" s="7"/>
      <c r="L278" s="23">
        <f t="shared" si="93"/>
        <v>0</v>
      </c>
      <c r="M278" s="22"/>
      <c r="N278" s="7"/>
      <c r="O278" s="210">
        <f t="shared" si="94"/>
        <v>0</v>
      </c>
      <c r="P278" s="220"/>
      <c r="Q278" s="221">
        <f t="shared" si="95"/>
        <v>0</v>
      </c>
    </row>
    <row r="279" spans="1:17" ht="12.75">
      <c r="A279" s="33" t="s">
        <v>283</v>
      </c>
      <c r="B279" s="80"/>
      <c r="C279" s="139">
        <v>5000</v>
      </c>
      <c r="D279" s="128"/>
      <c r="E279" s="96"/>
      <c r="F279" s="190">
        <f t="shared" si="91"/>
        <v>5000</v>
      </c>
      <c r="G279" s="261"/>
      <c r="H279" s="7"/>
      <c r="I279" s="23">
        <f t="shared" si="92"/>
        <v>5000</v>
      </c>
      <c r="J279" s="22"/>
      <c r="K279" s="7"/>
      <c r="L279" s="23">
        <f t="shared" si="93"/>
        <v>5000</v>
      </c>
      <c r="M279" s="22"/>
      <c r="N279" s="7"/>
      <c r="O279" s="210">
        <f t="shared" si="94"/>
        <v>5000</v>
      </c>
      <c r="P279" s="220"/>
      <c r="Q279" s="221">
        <f t="shared" si="95"/>
        <v>5000</v>
      </c>
    </row>
    <row r="280" spans="1:17" ht="12.75">
      <c r="A280" s="33" t="s">
        <v>232</v>
      </c>
      <c r="B280" s="80"/>
      <c r="C280" s="139">
        <v>8200</v>
      </c>
      <c r="D280" s="128">
        <f>700</f>
        <v>700</v>
      </c>
      <c r="E280" s="96"/>
      <c r="F280" s="190">
        <f t="shared" si="91"/>
        <v>8900</v>
      </c>
      <c r="G280" s="261"/>
      <c r="H280" s="7"/>
      <c r="I280" s="23">
        <f t="shared" si="92"/>
        <v>8900</v>
      </c>
      <c r="J280" s="22"/>
      <c r="K280" s="7"/>
      <c r="L280" s="23">
        <f t="shared" si="93"/>
        <v>8900</v>
      </c>
      <c r="M280" s="22"/>
      <c r="N280" s="7"/>
      <c r="O280" s="210">
        <f t="shared" si="94"/>
        <v>8900</v>
      </c>
      <c r="P280" s="220"/>
      <c r="Q280" s="221">
        <f t="shared" si="95"/>
        <v>8900</v>
      </c>
    </row>
    <row r="281" spans="1:17" ht="12.75">
      <c r="A281" s="33" t="s">
        <v>233</v>
      </c>
      <c r="B281" s="80"/>
      <c r="C281" s="139">
        <v>600</v>
      </c>
      <c r="D281" s="128">
        <f>400</f>
        <v>400</v>
      </c>
      <c r="E281" s="96"/>
      <c r="F281" s="190">
        <f t="shared" si="91"/>
        <v>1000</v>
      </c>
      <c r="G281" s="261"/>
      <c r="H281" s="7"/>
      <c r="I281" s="23">
        <f t="shared" si="92"/>
        <v>1000</v>
      </c>
      <c r="J281" s="22"/>
      <c r="K281" s="7"/>
      <c r="L281" s="23">
        <f t="shared" si="93"/>
        <v>1000</v>
      </c>
      <c r="M281" s="22"/>
      <c r="N281" s="7"/>
      <c r="O281" s="210">
        <f t="shared" si="94"/>
        <v>1000</v>
      </c>
      <c r="P281" s="220"/>
      <c r="Q281" s="221">
        <f t="shared" si="95"/>
        <v>1000</v>
      </c>
    </row>
    <row r="282" spans="1:17" ht="12.75" hidden="1">
      <c r="A282" s="33" t="s">
        <v>52</v>
      </c>
      <c r="B282" s="80"/>
      <c r="C282" s="139"/>
      <c r="D282" s="128"/>
      <c r="E282" s="96"/>
      <c r="F282" s="190">
        <f t="shared" si="91"/>
        <v>0</v>
      </c>
      <c r="G282" s="261"/>
      <c r="H282" s="7"/>
      <c r="I282" s="23">
        <f t="shared" si="92"/>
        <v>0</v>
      </c>
      <c r="J282" s="22"/>
      <c r="K282" s="7"/>
      <c r="L282" s="23">
        <f t="shared" si="93"/>
        <v>0</v>
      </c>
      <c r="M282" s="22"/>
      <c r="N282" s="7"/>
      <c r="O282" s="210">
        <f>L282+M282+N282</f>
        <v>0</v>
      </c>
      <c r="P282" s="220"/>
      <c r="Q282" s="221">
        <f t="shared" si="95"/>
        <v>0</v>
      </c>
    </row>
    <row r="283" spans="1:17" ht="12.75">
      <c r="A283" s="40" t="s">
        <v>53</v>
      </c>
      <c r="B283" s="84"/>
      <c r="C283" s="144">
        <f aca="true" t="shared" si="96" ref="C283:Q283">SUM(C285:C289)</f>
        <v>800</v>
      </c>
      <c r="D283" s="132">
        <f t="shared" si="96"/>
        <v>200</v>
      </c>
      <c r="E283" s="106">
        <f t="shared" si="96"/>
        <v>0</v>
      </c>
      <c r="F283" s="194">
        <f t="shared" si="96"/>
        <v>1000</v>
      </c>
      <c r="G283" s="228">
        <f t="shared" si="96"/>
        <v>0</v>
      </c>
      <c r="H283" s="106">
        <f t="shared" si="96"/>
        <v>0</v>
      </c>
      <c r="I283" s="167">
        <f t="shared" si="96"/>
        <v>1000</v>
      </c>
      <c r="J283" s="105">
        <f t="shared" si="96"/>
        <v>0</v>
      </c>
      <c r="K283" s="106">
        <f t="shared" si="96"/>
        <v>0</v>
      </c>
      <c r="L283" s="167">
        <f t="shared" si="96"/>
        <v>1000</v>
      </c>
      <c r="M283" s="105">
        <f t="shared" si="96"/>
        <v>0</v>
      </c>
      <c r="N283" s="106">
        <f t="shared" si="96"/>
        <v>0</v>
      </c>
      <c r="O283" s="194">
        <f t="shared" si="96"/>
        <v>1000</v>
      </c>
      <c r="P283" s="228">
        <f t="shared" si="96"/>
        <v>0</v>
      </c>
      <c r="Q283" s="194">
        <f t="shared" si="96"/>
        <v>1000</v>
      </c>
    </row>
    <row r="284" spans="1:17" ht="12.75">
      <c r="A284" s="31" t="s">
        <v>26</v>
      </c>
      <c r="B284" s="80"/>
      <c r="C284" s="141"/>
      <c r="D284" s="129"/>
      <c r="E284" s="99"/>
      <c r="F284" s="191"/>
      <c r="G284" s="262"/>
      <c r="H284" s="8"/>
      <c r="I284" s="25"/>
      <c r="J284" s="24"/>
      <c r="K284" s="8"/>
      <c r="L284" s="25"/>
      <c r="M284" s="24"/>
      <c r="N284" s="8"/>
      <c r="O284" s="212"/>
      <c r="P284" s="220"/>
      <c r="Q284" s="221"/>
    </row>
    <row r="285" spans="1:17" ht="12.75" hidden="1">
      <c r="A285" s="33" t="s">
        <v>147</v>
      </c>
      <c r="B285" s="80"/>
      <c r="C285" s="139"/>
      <c r="D285" s="128"/>
      <c r="E285" s="96"/>
      <c r="F285" s="190">
        <f>C285+D285+E285</f>
        <v>0</v>
      </c>
      <c r="G285" s="261"/>
      <c r="H285" s="7"/>
      <c r="I285" s="23">
        <f>F285+G285+H285</f>
        <v>0</v>
      </c>
      <c r="J285" s="22"/>
      <c r="K285" s="7"/>
      <c r="L285" s="23">
        <f>I285+J285+K285</f>
        <v>0</v>
      </c>
      <c r="M285" s="22"/>
      <c r="N285" s="7"/>
      <c r="O285" s="210">
        <f>L285+M285+N285</f>
        <v>0</v>
      </c>
      <c r="P285" s="220"/>
      <c r="Q285" s="221">
        <f>O285+P285</f>
        <v>0</v>
      </c>
    </row>
    <row r="286" spans="1:17" ht="13.5" thickBot="1">
      <c r="A286" s="277" t="s">
        <v>232</v>
      </c>
      <c r="B286" s="271"/>
      <c r="C286" s="272">
        <v>800</v>
      </c>
      <c r="D286" s="273">
        <f>200</f>
        <v>200</v>
      </c>
      <c r="E286" s="274"/>
      <c r="F286" s="275">
        <f>C286+D286+E286</f>
        <v>1000</v>
      </c>
      <c r="G286" s="261"/>
      <c r="H286" s="7"/>
      <c r="I286" s="23">
        <f>F286+G286+H286</f>
        <v>1000</v>
      </c>
      <c r="J286" s="22"/>
      <c r="K286" s="7"/>
      <c r="L286" s="23">
        <f>I286+J286+K286</f>
        <v>1000</v>
      </c>
      <c r="M286" s="22"/>
      <c r="N286" s="7"/>
      <c r="O286" s="210">
        <f>L286+M286+N286</f>
        <v>1000</v>
      </c>
      <c r="P286" s="220"/>
      <c r="Q286" s="221">
        <f>O286+P286</f>
        <v>1000</v>
      </c>
    </row>
    <row r="287" spans="1:17" ht="12.75" hidden="1">
      <c r="A287" s="33" t="s">
        <v>233</v>
      </c>
      <c r="B287" s="80"/>
      <c r="C287" s="139"/>
      <c r="D287" s="128"/>
      <c r="E287" s="96"/>
      <c r="F287" s="190">
        <f>C287+D287+E287</f>
        <v>0</v>
      </c>
      <c r="G287" s="261"/>
      <c r="H287" s="7"/>
      <c r="I287" s="23">
        <f>F287+G287+H287</f>
        <v>0</v>
      </c>
      <c r="J287" s="22"/>
      <c r="K287" s="7"/>
      <c r="L287" s="23">
        <f>I287+J287+K287</f>
        <v>0</v>
      </c>
      <c r="M287" s="22"/>
      <c r="N287" s="7"/>
      <c r="O287" s="210">
        <f>L287+M287+N287</f>
        <v>0</v>
      </c>
      <c r="P287" s="220"/>
      <c r="Q287" s="221">
        <f>O287+P287</f>
        <v>0</v>
      </c>
    </row>
    <row r="288" spans="1:17" ht="12.75" hidden="1">
      <c r="A288" s="33" t="s">
        <v>52</v>
      </c>
      <c r="B288" s="80"/>
      <c r="C288" s="139"/>
      <c r="D288" s="128"/>
      <c r="E288" s="96"/>
      <c r="F288" s="190">
        <f>C288+D288+E288</f>
        <v>0</v>
      </c>
      <c r="G288" s="261"/>
      <c r="H288" s="7"/>
      <c r="I288" s="23">
        <f>F288+G288+H288</f>
        <v>0</v>
      </c>
      <c r="J288" s="22"/>
      <c r="K288" s="7"/>
      <c r="L288" s="23">
        <f>I288+J288+K288</f>
        <v>0</v>
      </c>
      <c r="M288" s="22"/>
      <c r="N288" s="7"/>
      <c r="O288" s="210">
        <f>L288+M288+N288</f>
        <v>0</v>
      </c>
      <c r="P288" s="220"/>
      <c r="Q288" s="221">
        <f>O288+P288</f>
        <v>0</v>
      </c>
    </row>
    <row r="289" spans="1:17" ht="12.75" hidden="1">
      <c r="A289" s="36" t="s">
        <v>54</v>
      </c>
      <c r="B289" s="83"/>
      <c r="C289" s="253"/>
      <c r="D289" s="244"/>
      <c r="E289" s="104"/>
      <c r="F289" s="195">
        <f>C289+D289+E289</f>
        <v>0</v>
      </c>
      <c r="G289" s="263"/>
      <c r="H289" s="10"/>
      <c r="I289" s="27">
        <f>F289+G289+H289</f>
        <v>0</v>
      </c>
      <c r="J289" s="26"/>
      <c r="K289" s="10"/>
      <c r="L289" s="27">
        <f>I289+J289+K289</f>
        <v>0</v>
      </c>
      <c r="M289" s="26"/>
      <c r="N289" s="10"/>
      <c r="O289" s="213">
        <f>L289+M289+N289</f>
        <v>0</v>
      </c>
      <c r="P289" s="220"/>
      <c r="Q289" s="221">
        <f>O289+P289</f>
        <v>0</v>
      </c>
    </row>
    <row r="290" spans="1:17" ht="12.75">
      <c r="A290" s="30" t="s">
        <v>236</v>
      </c>
      <c r="B290" s="84"/>
      <c r="C290" s="138">
        <f aca="true" t="shared" si="97" ref="C290:Q290">C291+C307</f>
        <v>491947.48</v>
      </c>
      <c r="D290" s="117">
        <f t="shared" si="97"/>
        <v>9355.5</v>
      </c>
      <c r="E290" s="95">
        <f t="shared" si="97"/>
        <v>0</v>
      </c>
      <c r="F290" s="189">
        <f t="shared" si="97"/>
        <v>501302.98</v>
      </c>
      <c r="G290" s="219">
        <f t="shared" si="97"/>
        <v>0</v>
      </c>
      <c r="H290" s="95">
        <f t="shared" si="97"/>
        <v>0</v>
      </c>
      <c r="I290" s="162">
        <f t="shared" si="97"/>
        <v>501302.98</v>
      </c>
      <c r="J290" s="94">
        <f t="shared" si="97"/>
        <v>0</v>
      </c>
      <c r="K290" s="95">
        <f t="shared" si="97"/>
        <v>0</v>
      </c>
      <c r="L290" s="162">
        <f t="shared" si="97"/>
        <v>501302.98</v>
      </c>
      <c r="M290" s="94">
        <f t="shared" si="97"/>
        <v>0</v>
      </c>
      <c r="N290" s="95">
        <f t="shared" si="97"/>
        <v>0</v>
      </c>
      <c r="O290" s="189">
        <f t="shared" si="97"/>
        <v>501302.98</v>
      </c>
      <c r="P290" s="219">
        <f t="shared" si="97"/>
        <v>0</v>
      </c>
      <c r="Q290" s="189">
        <f t="shared" si="97"/>
        <v>501302.98</v>
      </c>
    </row>
    <row r="291" spans="1:17" ht="12.75">
      <c r="A291" s="39" t="s">
        <v>49</v>
      </c>
      <c r="B291" s="84"/>
      <c r="C291" s="143">
        <f aca="true" t="shared" si="98" ref="C291:Q291">SUM(C293:C306)</f>
        <v>491947.48</v>
      </c>
      <c r="D291" s="131">
        <f t="shared" si="98"/>
        <v>9355.5</v>
      </c>
      <c r="E291" s="103">
        <f t="shared" si="98"/>
        <v>0</v>
      </c>
      <c r="F291" s="193">
        <f t="shared" si="98"/>
        <v>501302.98</v>
      </c>
      <c r="G291" s="227">
        <f t="shared" si="98"/>
        <v>0</v>
      </c>
      <c r="H291" s="103">
        <f t="shared" si="98"/>
        <v>0</v>
      </c>
      <c r="I291" s="166">
        <f t="shared" si="98"/>
        <v>501302.98</v>
      </c>
      <c r="J291" s="102">
        <f t="shared" si="98"/>
        <v>0</v>
      </c>
      <c r="K291" s="103">
        <f t="shared" si="98"/>
        <v>0</v>
      </c>
      <c r="L291" s="166">
        <f t="shared" si="98"/>
        <v>501302.98</v>
      </c>
      <c r="M291" s="102">
        <f t="shared" si="98"/>
        <v>0</v>
      </c>
      <c r="N291" s="103">
        <f t="shared" si="98"/>
        <v>0</v>
      </c>
      <c r="O291" s="193">
        <f t="shared" si="98"/>
        <v>501302.98</v>
      </c>
      <c r="P291" s="227">
        <f t="shared" si="98"/>
        <v>0</v>
      </c>
      <c r="Q291" s="193">
        <f t="shared" si="98"/>
        <v>501302.98</v>
      </c>
    </row>
    <row r="292" spans="1:17" ht="12.75">
      <c r="A292" s="35" t="s">
        <v>26</v>
      </c>
      <c r="B292" s="80"/>
      <c r="C292" s="139"/>
      <c r="D292" s="128"/>
      <c r="E292" s="96"/>
      <c r="F292" s="190"/>
      <c r="G292" s="261"/>
      <c r="H292" s="7"/>
      <c r="I292" s="23"/>
      <c r="J292" s="22"/>
      <c r="K292" s="7"/>
      <c r="L292" s="23"/>
      <c r="M292" s="22"/>
      <c r="N292" s="7"/>
      <c r="O292" s="210"/>
      <c r="P292" s="220"/>
      <c r="Q292" s="221"/>
    </row>
    <row r="293" spans="1:17" ht="12.75">
      <c r="A293" s="81" t="s">
        <v>129</v>
      </c>
      <c r="B293" s="80"/>
      <c r="C293" s="139">
        <v>286095.26</v>
      </c>
      <c r="D293" s="180">
        <f>1339.5</f>
        <v>1339.5</v>
      </c>
      <c r="E293" s="96"/>
      <c r="F293" s="190">
        <f aca="true" t="shared" si="99" ref="F293:F306">C293+D293+E293</f>
        <v>287434.76</v>
      </c>
      <c r="G293" s="261"/>
      <c r="H293" s="7"/>
      <c r="I293" s="23">
        <f>F293+G293+H293</f>
        <v>287434.76</v>
      </c>
      <c r="J293" s="22"/>
      <c r="K293" s="7"/>
      <c r="L293" s="23">
        <f>I293+J293+K293</f>
        <v>287434.76</v>
      </c>
      <c r="M293" s="22"/>
      <c r="N293" s="7"/>
      <c r="O293" s="210">
        <f>L293+M293+N293</f>
        <v>287434.76</v>
      </c>
      <c r="P293" s="220"/>
      <c r="Q293" s="221">
        <f aca="true" t="shared" si="100" ref="Q293:Q305">O293+P293</f>
        <v>287434.76</v>
      </c>
    </row>
    <row r="294" spans="1:17" ht="12.75">
      <c r="A294" s="33" t="s">
        <v>50</v>
      </c>
      <c r="B294" s="80"/>
      <c r="C294" s="139">
        <v>96478.54</v>
      </c>
      <c r="D294" s="128"/>
      <c r="E294" s="96"/>
      <c r="F294" s="190">
        <f t="shared" si="99"/>
        <v>96478.54</v>
      </c>
      <c r="G294" s="261"/>
      <c r="H294" s="7"/>
      <c r="I294" s="23">
        <f aca="true" t="shared" si="101" ref="I294:I303">F294+G294+H294</f>
        <v>96478.54</v>
      </c>
      <c r="J294" s="22"/>
      <c r="K294" s="7"/>
      <c r="L294" s="23">
        <f aca="true" t="shared" si="102" ref="L294:L306">I294+J294+K294</f>
        <v>96478.54</v>
      </c>
      <c r="M294" s="22"/>
      <c r="N294" s="7"/>
      <c r="O294" s="210">
        <f aca="true" t="shared" si="103" ref="O294:O306">L294+M294+N294</f>
        <v>96478.54</v>
      </c>
      <c r="P294" s="220"/>
      <c r="Q294" s="221">
        <f t="shared" si="100"/>
        <v>96478.54</v>
      </c>
    </row>
    <row r="295" spans="1:17" ht="12.75">
      <c r="A295" s="33" t="s">
        <v>231</v>
      </c>
      <c r="B295" s="80"/>
      <c r="C295" s="139">
        <v>196</v>
      </c>
      <c r="D295" s="128"/>
      <c r="E295" s="96"/>
      <c r="F295" s="190">
        <f t="shared" si="99"/>
        <v>196</v>
      </c>
      <c r="G295" s="261"/>
      <c r="H295" s="7"/>
      <c r="I295" s="23">
        <f t="shared" si="101"/>
        <v>196</v>
      </c>
      <c r="J295" s="22"/>
      <c r="K295" s="7"/>
      <c r="L295" s="23">
        <f t="shared" si="102"/>
        <v>196</v>
      </c>
      <c r="M295" s="22"/>
      <c r="N295" s="7"/>
      <c r="O295" s="210">
        <f t="shared" si="103"/>
        <v>196</v>
      </c>
      <c r="P295" s="220"/>
      <c r="Q295" s="221">
        <f t="shared" si="100"/>
        <v>196</v>
      </c>
    </row>
    <row r="296" spans="1:17" ht="12.75">
      <c r="A296" s="33" t="s">
        <v>51</v>
      </c>
      <c r="B296" s="80"/>
      <c r="C296" s="139">
        <v>44294.28</v>
      </c>
      <c r="D296" s="243">
        <f>3500</f>
        <v>3500</v>
      </c>
      <c r="E296" s="96"/>
      <c r="F296" s="190">
        <f t="shared" si="99"/>
        <v>47794.28</v>
      </c>
      <c r="G296" s="261"/>
      <c r="H296" s="7"/>
      <c r="I296" s="23">
        <f t="shared" si="101"/>
        <v>47794.28</v>
      </c>
      <c r="J296" s="22"/>
      <c r="K296" s="7"/>
      <c r="L296" s="23">
        <f t="shared" si="102"/>
        <v>47794.28</v>
      </c>
      <c r="M296" s="22"/>
      <c r="N296" s="7"/>
      <c r="O296" s="210">
        <f t="shared" si="103"/>
        <v>47794.28</v>
      </c>
      <c r="P296" s="220"/>
      <c r="Q296" s="221">
        <f t="shared" si="100"/>
        <v>47794.28</v>
      </c>
    </row>
    <row r="297" spans="1:17" ht="12.75">
      <c r="A297" s="33" t="s">
        <v>55</v>
      </c>
      <c r="B297" s="80">
        <v>1115</v>
      </c>
      <c r="C297" s="139">
        <v>343</v>
      </c>
      <c r="D297" s="128">
        <f>201</f>
        <v>201</v>
      </c>
      <c r="E297" s="96"/>
      <c r="F297" s="190">
        <f t="shared" si="99"/>
        <v>544</v>
      </c>
      <c r="G297" s="261"/>
      <c r="H297" s="7"/>
      <c r="I297" s="23">
        <f t="shared" si="101"/>
        <v>544</v>
      </c>
      <c r="J297" s="22"/>
      <c r="K297" s="7"/>
      <c r="L297" s="23">
        <f t="shared" si="102"/>
        <v>544</v>
      </c>
      <c r="M297" s="22"/>
      <c r="N297" s="7"/>
      <c r="O297" s="210">
        <f t="shared" si="103"/>
        <v>544</v>
      </c>
      <c r="P297" s="220"/>
      <c r="Q297" s="221">
        <f t="shared" si="100"/>
        <v>544</v>
      </c>
    </row>
    <row r="298" spans="1:17" ht="12.75">
      <c r="A298" s="33" t="s">
        <v>56</v>
      </c>
      <c r="B298" s="80">
        <v>51</v>
      </c>
      <c r="C298" s="139">
        <v>64540.4</v>
      </c>
      <c r="D298" s="128">
        <f>3500</f>
        <v>3500</v>
      </c>
      <c r="E298" s="96"/>
      <c r="F298" s="190">
        <f t="shared" si="99"/>
        <v>68040.4</v>
      </c>
      <c r="G298" s="261"/>
      <c r="H298" s="7"/>
      <c r="I298" s="23">
        <f t="shared" si="101"/>
        <v>68040.4</v>
      </c>
      <c r="J298" s="22"/>
      <c r="K298" s="7"/>
      <c r="L298" s="23">
        <f t="shared" si="102"/>
        <v>68040.4</v>
      </c>
      <c r="M298" s="22"/>
      <c r="N298" s="7"/>
      <c r="O298" s="210">
        <f t="shared" si="103"/>
        <v>68040.4</v>
      </c>
      <c r="P298" s="220"/>
      <c r="Q298" s="221">
        <f t="shared" si="100"/>
        <v>68040.4</v>
      </c>
    </row>
    <row r="299" spans="1:17" ht="12.75" hidden="1">
      <c r="A299" s="33" t="s">
        <v>72</v>
      </c>
      <c r="B299" s="80"/>
      <c r="C299" s="139"/>
      <c r="D299" s="128"/>
      <c r="E299" s="96"/>
      <c r="F299" s="190">
        <f t="shared" si="99"/>
        <v>0</v>
      </c>
      <c r="G299" s="261"/>
      <c r="H299" s="7"/>
      <c r="I299" s="23">
        <f t="shared" si="101"/>
        <v>0</v>
      </c>
      <c r="J299" s="22"/>
      <c r="K299" s="7"/>
      <c r="L299" s="23">
        <f t="shared" si="102"/>
        <v>0</v>
      </c>
      <c r="M299" s="22"/>
      <c r="N299" s="7"/>
      <c r="O299" s="210">
        <f t="shared" si="103"/>
        <v>0</v>
      </c>
      <c r="P299" s="220"/>
      <c r="Q299" s="221">
        <f t="shared" si="100"/>
        <v>0</v>
      </c>
    </row>
    <row r="300" spans="1:17" ht="12.75" hidden="1">
      <c r="A300" s="33" t="s">
        <v>188</v>
      </c>
      <c r="B300" s="80">
        <v>13234</v>
      </c>
      <c r="C300" s="139"/>
      <c r="D300" s="128"/>
      <c r="E300" s="96"/>
      <c r="F300" s="190">
        <f t="shared" si="99"/>
        <v>0</v>
      </c>
      <c r="G300" s="261"/>
      <c r="H300" s="7"/>
      <c r="I300" s="23">
        <f t="shared" si="101"/>
        <v>0</v>
      </c>
      <c r="J300" s="22"/>
      <c r="K300" s="7"/>
      <c r="L300" s="23">
        <f t="shared" si="102"/>
        <v>0</v>
      </c>
      <c r="M300" s="22"/>
      <c r="N300" s="7"/>
      <c r="O300" s="210">
        <f t="shared" si="103"/>
        <v>0</v>
      </c>
      <c r="P300" s="220"/>
      <c r="Q300" s="221">
        <f t="shared" si="100"/>
        <v>0</v>
      </c>
    </row>
    <row r="301" spans="1:17" ht="12.75" hidden="1">
      <c r="A301" s="33" t="s">
        <v>57</v>
      </c>
      <c r="B301" s="80"/>
      <c r="C301" s="139"/>
      <c r="D301" s="128"/>
      <c r="E301" s="96"/>
      <c r="F301" s="190">
        <f t="shared" si="99"/>
        <v>0</v>
      </c>
      <c r="G301" s="261"/>
      <c r="H301" s="7"/>
      <c r="I301" s="23">
        <f t="shared" si="101"/>
        <v>0</v>
      </c>
      <c r="J301" s="22"/>
      <c r="K301" s="7"/>
      <c r="L301" s="23">
        <f t="shared" si="102"/>
        <v>0</v>
      </c>
      <c r="M301" s="22"/>
      <c r="N301" s="7"/>
      <c r="O301" s="210">
        <f t="shared" si="103"/>
        <v>0</v>
      </c>
      <c r="P301" s="220"/>
      <c r="Q301" s="221">
        <f t="shared" si="100"/>
        <v>0</v>
      </c>
    </row>
    <row r="302" spans="1:17" ht="12.75">
      <c r="A302" s="33" t="s">
        <v>239</v>
      </c>
      <c r="B302" s="80">
        <v>98008</v>
      </c>
      <c r="C302" s="139"/>
      <c r="D302" s="128">
        <f>800</f>
        <v>800</v>
      </c>
      <c r="E302" s="96"/>
      <c r="F302" s="190">
        <f t="shared" si="99"/>
        <v>800</v>
      </c>
      <c r="G302" s="261"/>
      <c r="H302" s="7"/>
      <c r="I302" s="23">
        <f t="shared" si="101"/>
        <v>800</v>
      </c>
      <c r="J302" s="22"/>
      <c r="K302" s="7"/>
      <c r="L302" s="23">
        <f t="shared" si="102"/>
        <v>800</v>
      </c>
      <c r="M302" s="22"/>
      <c r="N302" s="7"/>
      <c r="O302" s="210">
        <f t="shared" si="103"/>
        <v>800</v>
      </c>
      <c r="P302" s="220"/>
      <c r="Q302" s="221">
        <f t="shared" si="100"/>
        <v>800</v>
      </c>
    </row>
    <row r="303" spans="1:17" ht="12.75" hidden="1">
      <c r="A303" s="33" t="s">
        <v>240</v>
      </c>
      <c r="B303" s="80">
        <v>98071</v>
      </c>
      <c r="C303" s="139"/>
      <c r="D303" s="128"/>
      <c r="E303" s="96"/>
      <c r="F303" s="190">
        <f t="shared" si="99"/>
        <v>0</v>
      </c>
      <c r="G303" s="261"/>
      <c r="H303" s="7"/>
      <c r="I303" s="23">
        <f t="shared" si="101"/>
        <v>0</v>
      </c>
      <c r="J303" s="22"/>
      <c r="K303" s="7"/>
      <c r="L303" s="23">
        <f t="shared" si="102"/>
        <v>0</v>
      </c>
      <c r="M303" s="22"/>
      <c r="N303" s="7"/>
      <c r="O303" s="210">
        <f t="shared" si="103"/>
        <v>0</v>
      </c>
      <c r="P303" s="220"/>
      <c r="Q303" s="221">
        <f t="shared" si="100"/>
        <v>0</v>
      </c>
    </row>
    <row r="304" spans="1:17" ht="12.75">
      <c r="A304" s="36" t="s">
        <v>58</v>
      </c>
      <c r="B304" s="83">
        <v>98074</v>
      </c>
      <c r="C304" s="253"/>
      <c r="D304" s="244">
        <f>15</f>
        <v>15</v>
      </c>
      <c r="E304" s="104"/>
      <c r="F304" s="195">
        <f t="shared" si="99"/>
        <v>15</v>
      </c>
      <c r="G304" s="261"/>
      <c r="H304" s="7"/>
      <c r="I304" s="23">
        <f>F304+G304+H304</f>
        <v>15</v>
      </c>
      <c r="J304" s="22"/>
      <c r="K304" s="7"/>
      <c r="L304" s="23">
        <f t="shared" si="102"/>
        <v>15</v>
      </c>
      <c r="M304" s="22"/>
      <c r="N304" s="7"/>
      <c r="O304" s="210">
        <f t="shared" si="103"/>
        <v>15</v>
      </c>
      <c r="P304" s="220"/>
      <c r="Q304" s="221">
        <f t="shared" si="100"/>
        <v>15</v>
      </c>
    </row>
    <row r="305" spans="1:17" ht="12.75" hidden="1">
      <c r="A305" s="33" t="s">
        <v>59</v>
      </c>
      <c r="B305" s="80"/>
      <c r="C305" s="139"/>
      <c r="D305" s="128"/>
      <c r="E305" s="96"/>
      <c r="F305" s="190">
        <f t="shared" si="99"/>
        <v>0</v>
      </c>
      <c r="G305" s="261"/>
      <c r="H305" s="7"/>
      <c r="I305" s="23">
        <f>F305+G305+H305</f>
        <v>0</v>
      </c>
      <c r="J305" s="22"/>
      <c r="K305" s="7"/>
      <c r="L305" s="23">
        <f t="shared" si="102"/>
        <v>0</v>
      </c>
      <c r="M305" s="22"/>
      <c r="N305" s="7"/>
      <c r="O305" s="210">
        <f t="shared" si="103"/>
        <v>0</v>
      </c>
      <c r="P305" s="220"/>
      <c r="Q305" s="221">
        <f t="shared" si="100"/>
        <v>0</v>
      </c>
    </row>
    <row r="306" spans="1:17" ht="12.75" hidden="1">
      <c r="A306" s="33" t="s">
        <v>60</v>
      </c>
      <c r="B306" s="80">
        <v>4001</v>
      </c>
      <c r="C306" s="139"/>
      <c r="D306" s="128"/>
      <c r="E306" s="96"/>
      <c r="F306" s="190">
        <f t="shared" si="99"/>
        <v>0</v>
      </c>
      <c r="G306" s="261"/>
      <c r="H306" s="7"/>
      <c r="I306" s="23">
        <f>F306+G306+H306</f>
        <v>0</v>
      </c>
      <c r="J306" s="22"/>
      <c r="K306" s="7"/>
      <c r="L306" s="23">
        <f t="shared" si="102"/>
        <v>0</v>
      </c>
      <c r="M306" s="22"/>
      <c r="N306" s="7"/>
      <c r="O306" s="210">
        <f t="shared" si="103"/>
        <v>0</v>
      </c>
      <c r="P306" s="220"/>
      <c r="Q306" s="221">
        <f>O306+P306</f>
        <v>0</v>
      </c>
    </row>
    <row r="307" spans="1:17" ht="12.75" hidden="1">
      <c r="A307" s="39" t="s">
        <v>53</v>
      </c>
      <c r="B307" s="84"/>
      <c r="C307" s="143">
        <f>C310+C309</f>
        <v>0</v>
      </c>
      <c r="D307" s="131">
        <f aca="true" t="shared" si="104" ref="D307:Q307">D310+D309</f>
        <v>0</v>
      </c>
      <c r="E307" s="103">
        <f t="shared" si="104"/>
        <v>0</v>
      </c>
      <c r="F307" s="193">
        <f t="shared" si="104"/>
        <v>0</v>
      </c>
      <c r="G307" s="227">
        <f t="shared" si="104"/>
        <v>0</v>
      </c>
      <c r="H307" s="103">
        <f t="shared" si="104"/>
        <v>0</v>
      </c>
      <c r="I307" s="166">
        <f t="shared" si="104"/>
        <v>0</v>
      </c>
      <c r="J307" s="102">
        <f t="shared" si="104"/>
        <v>0</v>
      </c>
      <c r="K307" s="103">
        <f t="shared" si="104"/>
        <v>0</v>
      </c>
      <c r="L307" s="166">
        <f t="shared" si="104"/>
        <v>0</v>
      </c>
      <c r="M307" s="102">
        <f t="shared" si="104"/>
        <v>0</v>
      </c>
      <c r="N307" s="103">
        <f t="shared" si="104"/>
        <v>0</v>
      </c>
      <c r="O307" s="193">
        <f t="shared" si="104"/>
        <v>0</v>
      </c>
      <c r="P307" s="227">
        <f t="shared" si="104"/>
        <v>0</v>
      </c>
      <c r="Q307" s="193">
        <f t="shared" si="104"/>
        <v>0</v>
      </c>
    </row>
    <row r="308" spans="1:17" ht="12.75" hidden="1">
      <c r="A308" s="35" t="s">
        <v>26</v>
      </c>
      <c r="B308" s="80"/>
      <c r="C308" s="139"/>
      <c r="D308" s="128"/>
      <c r="E308" s="96"/>
      <c r="F308" s="189"/>
      <c r="G308" s="261"/>
      <c r="H308" s="7"/>
      <c r="I308" s="21"/>
      <c r="J308" s="22"/>
      <c r="K308" s="7"/>
      <c r="L308" s="21"/>
      <c r="M308" s="22"/>
      <c r="N308" s="7"/>
      <c r="O308" s="209"/>
      <c r="P308" s="220"/>
      <c r="Q308" s="221"/>
    </row>
    <row r="309" spans="1:17" ht="12.75" hidden="1">
      <c r="A309" s="32" t="s">
        <v>54</v>
      </c>
      <c r="B309" s="80"/>
      <c r="C309" s="139"/>
      <c r="D309" s="128"/>
      <c r="E309" s="96"/>
      <c r="F309" s="190">
        <f>C309+D309+E309</f>
        <v>0</v>
      </c>
      <c r="G309" s="261"/>
      <c r="H309" s="7"/>
      <c r="I309" s="23">
        <f>F309+G309+H309</f>
        <v>0</v>
      </c>
      <c r="J309" s="22"/>
      <c r="K309" s="7"/>
      <c r="L309" s="23">
        <f>I309+J309+K309</f>
        <v>0</v>
      </c>
      <c r="M309" s="22"/>
      <c r="N309" s="7"/>
      <c r="O309" s="210">
        <f>L309+M309+N309</f>
        <v>0</v>
      </c>
      <c r="P309" s="220"/>
      <c r="Q309" s="221">
        <f>O309+P309</f>
        <v>0</v>
      </c>
    </row>
    <row r="310" spans="1:17" ht="12.75" hidden="1">
      <c r="A310" s="36" t="s">
        <v>73</v>
      </c>
      <c r="B310" s="83"/>
      <c r="C310" s="253"/>
      <c r="D310" s="244"/>
      <c r="E310" s="104"/>
      <c r="F310" s="195">
        <f>C310+D310+E310</f>
        <v>0</v>
      </c>
      <c r="G310" s="263"/>
      <c r="H310" s="10"/>
      <c r="I310" s="27">
        <f>F310+G310+H310</f>
        <v>0</v>
      </c>
      <c r="J310" s="26"/>
      <c r="K310" s="10"/>
      <c r="L310" s="27">
        <f>I310+J310+K310</f>
        <v>0</v>
      </c>
      <c r="M310" s="26"/>
      <c r="N310" s="10"/>
      <c r="O310" s="213">
        <f>L310+M310+N310</f>
        <v>0</v>
      </c>
      <c r="P310" s="229"/>
      <c r="Q310" s="230">
        <f>O310+P310</f>
        <v>0</v>
      </c>
    </row>
    <row r="311" spans="1:17" ht="12.75">
      <c r="A311" s="44" t="s">
        <v>157</v>
      </c>
      <c r="B311" s="85"/>
      <c r="C311" s="138">
        <f>C312+C340</f>
        <v>552007.16</v>
      </c>
      <c r="D311" s="117">
        <f aca="true" t="shared" si="105" ref="D311:Q311">D312+D340</f>
        <v>1590894.3599999999</v>
      </c>
      <c r="E311" s="95">
        <f t="shared" si="105"/>
        <v>0</v>
      </c>
      <c r="F311" s="189">
        <f t="shared" si="105"/>
        <v>2142901.52</v>
      </c>
      <c r="G311" s="219">
        <f t="shared" si="105"/>
        <v>0</v>
      </c>
      <c r="H311" s="95">
        <f t="shared" si="105"/>
        <v>0</v>
      </c>
      <c r="I311" s="162">
        <f t="shared" si="105"/>
        <v>2139440.4</v>
      </c>
      <c r="J311" s="94">
        <f t="shared" si="105"/>
        <v>0</v>
      </c>
      <c r="K311" s="95">
        <f t="shared" si="105"/>
        <v>0</v>
      </c>
      <c r="L311" s="162">
        <f t="shared" si="105"/>
        <v>2139440.4</v>
      </c>
      <c r="M311" s="94">
        <f t="shared" si="105"/>
        <v>0</v>
      </c>
      <c r="N311" s="95">
        <f t="shared" si="105"/>
        <v>0</v>
      </c>
      <c r="O311" s="189">
        <f t="shared" si="105"/>
        <v>2139440.4</v>
      </c>
      <c r="P311" s="219">
        <f t="shared" si="105"/>
        <v>0</v>
      </c>
      <c r="Q311" s="189">
        <f t="shared" si="105"/>
        <v>2139440.4</v>
      </c>
    </row>
    <row r="312" spans="1:17" ht="12.75">
      <c r="A312" s="39" t="s">
        <v>49</v>
      </c>
      <c r="B312" s="84"/>
      <c r="C312" s="143">
        <f>SUM(C314:C328)</f>
        <v>95289.24</v>
      </c>
      <c r="D312" s="131">
        <f aca="true" t="shared" si="106" ref="D312:Q312">SUM(D314:D328)</f>
        <v>50573.979999999996</v>
      </c>
      <c r="E312" s="103">
        <f t="shared" si="106"/>
        <v>0</v>
      </c>
      <c r="F312" s="193">
        <f t="shared" si="106"/>
        <v>145863.22</v>
      </c>
      <c r="G312" s="227">
        <f t="shared" si="106"/>
        <v>0</v>
      </c>
      <c r="H312" s="103">
        <f t="shared" si="106"/>
        <v>0</v>
      </c>
      <c r="I312" s="166">
        <f t="shared" si="106"/>
        <v>144316.46000000002</v>
      </c>
      <c r="J312" s="102">
        <f t="shared" si="106"/>
        <v>0</v>
      </c>
      <c r="K312" s="103">
        <f t="shared" si="106"/>
        <v>0</v>
      </c>
      <c r="L312" s="166">
        <f t="shared" si="106"/>
        <v>144316.46000000002</v>
      </c>
      <c r="M312" s="102">
        <f t="shared" si="106"/>
        <v>0</v>
      </c>
      <c r="N312" s="103">
        <f t="shared" si="106"/>
        <v>0</v>
      </c>
      <c r="O312" s="193">
        <f t="shared" si="106"/>
        <v>144316.46000000002</v>
      </c>
      <c r="P312" s="227">
        <f t="shared" si="106"/>
        <v>0</v>
      </c>
      <c r="Q312" s="193">
        <f t="shared" si="106"/>
        <v>144316.46000000002</v>
      </c>
    </row>
    <row r="313" spans="1:17" ht="12.75">
      <c r="A313" s="35" t="s">
        <v>26</v>
      </c>
      <c r="B313" s="80"/>
      <c r="C313" s="143"/>
      <c r="D313" s="245"/>
      <c r="E313" s="115"/>
      <c r="F313" s="193"/>
      <c r="G313" s="261"/>
      <c r="H313" s="7"/>
      <c r="I313" s="23"/>
      <c r="J313" s="22"/>
      <c r="K313" s="7"/>
      <c r="L313" s="23"/>
      <c r="M313" s="29"/>
      <c r="N313" s="7"/>
      <c r="O313" s="210"/>
      <c r="P313" s="220"/>
      <c r="Q313" s="221"/>
    </row>
    <row r="314" spans="1:17" ht="12.75">
      <c r="A314" s="37" t="s">
        <v>51</v>
      </c>
      <c r="B314" s="80"/>
      <c r="C314" s="139">
        <v>10512.95</v>
      </c>
      <c r="D314" s="180">
        <f>3890.43+6647.9+1000</f>
        <v>11538.33</v>
      </c>
      <c r="E314" s="107"/>
      <c r="F314" s="190">
        <f aca="true" t="shared" si="107" ref="F314:F339">C314+D314+E314</f>
        <v>22051.28</v>
      </c>
      <c r="G314" s="261"/>
      <c r="H314" s="7"/>
      <c r="I314" s="23">
        <f>F314+G314+H314</f>
        <v>22051.28</v>
      </c>
      <c r="J314" s="22"/>
      <c r="K314" s="7"/>
      <c r="L314" s="23">
        <f aca="true" t="shared" si="108" ref="L314:L327">I314+J314+K314</f>
        <v>22051.28</v>
      </c>
      <c r="M314" s="29"/>
      <c r="N314" s="7"/>
      <c r="O314" s="210">
        <f>L314+M314+N314</f>
        <v>22051.28</v>
      </c>
      <c r="P314" s="220"/>
      <c r="Q314" s="221">
        <f>O314+P314</f>
        <v>22051.28</v>
      </c>
    </row>
    <row r="315" spans="1:17" ht="12.75">
      <c r="A315" s="37" t="s">
        <v>324</v>
      </c>
      <c r="B315" s="80"/>
      <c r="C315" s="139"/>
      <c r="D315" s="180">
        <f>1246.76-1246.76</f>
        <v>0</v>
      </c>
      <c r="E315" s="107"/>
      <c r="F315" s="190">
        <f t="shared" si="107"/>
        <v>0</v>
      </c>
      <c r="G315" s="261"/>
      <c r="H315" s="7"/>
      <c r="I315" s="23"/>
      <c r="J315" s="22"/>
      <c r="K315" s="7"/>
      <c r="L315" s="23"/>
      <c r="M315" s="29"/>
      <c r="N315" s="7"/>
      <c r="O315" s="210"/>
      <c r="P315" s="220"/>
      <c r="Q315" s="221"/>
    </row>
    <row r="316" spans="1:17" ht="12.75">
      <c r="A316" s="37" t="s">
        <v>313</v>
      </c>
      <c r="B316" s="80">
        <v>1080</v>
      </c>
      <c r="C316" s="139">
        <v>1000</v>
      </c>
      <c r="D316" s="180"/>
      <c r="E316" s="107"/>
      <c r="F316" s="190">
        <f t="shared" si="107"/>
        <v>1000</v>
      </c>
      <c r="G316" s="261"/>
      <c r="H316" s="7"/>
      <c r="I316" s="23">
        <f aca="true" t="shared" si="109" ref="I316:I339">F316+G316+H316</f>
        <v>1000</v>
      </c>
      <c r="J316" s="22"/>
      <c r="K316" s="7"/>
      <c r="L316" s="23">
        <f t="shared" si="108"/>
        <v>1000</v>
      </c>
      <c r="M316" s="29"/>
      <c r="N316" s="7"/>
      <c r="O316" s="210">
        <f aca="true" t="shared" si="110" ref="O316:O339">L316+M316+N316</f>
        <v>1000</v>
      </c>
      <c r="P316" s="220"/>
      <c r="Q316" s="221">
        <f aca="true" t="shared" si="111" ref="Q316:Q339">O316+P316</f>
        <v>1000</v>
      </c>
    </row>
    <row r="317" spans="1:17" ht="12.75">
      <c r="A317" s="37" t="s">
        <v>316</v>
      </c>
      <c r="B317" s="80"/>
      <c r="C317" s="139"/>
      <c r="D317" s="180">
        <f>1246.76</f>
        <v>1246.76</v>
      </c>
      <c r="E317" s="107"/>
      <c r="F317" s="190">
        <f t="shared" si="107"/>
        <v>1246.76</v>
      </c>
      <c r="G317" s="261"/>
      <c r="H317" s="7"/>
      <c r="I317" s="23"/>
      <c r="J317" s="22"/>
      <c r="K317" s="7"/>
      <c r="L317" s="23"/>
      <c r="M317" s="29"/>
      <c r="N317" s="7"/>
      <c r="O317" s="210"/>
      <c r="P317" s="220"/>
      <c r="Q317" s="221"/>
    </row>
    <row r="318" spans="1:17" ht="12.75">
      <c r="A318" s="37" t="s">
        <v>163</v>
      </c>
      <c r="B318" s="136">
        <v>1081.1202</v>
      </c>
      <c r="C318" s="139"/>
      <c r="D318" s="180">
        <f>229.01</f>
        <v>229.01</v>
      </c>
      <c r="E318" s="107"/>
      <c r="F318" s="190">
        <f t="shared" si="107"/>
        <v>229.01</v>
      </c>
      <c r="G318" s="261"/>
      <c r="H318" s="7"/>
      <c r="I318" s="23">
        <f t="shared" si="109"/>
        <v>229.01</v>
      </c>
      <c r="J318" s="22"/>
      <c r="K318" s="7"/>
      <c r="L318" s="23">
        <f t="shared" si="108"/>
        <v>229.01</v>
      </c>
      <c r="M318" s="29"/>
      <c r="N318" s="7"/>
      <c r="O318" s="210">
        <f t="shared" si="110"/>
        <v>229.01</v>
      </c>
      <c r="P318" s="220"/>
      <c r="Q318" s="221">
        <f t="shared" si="111"/>
        <v>229.01</v>
      </c>
    </row>
    <row r="319" spans="1:17" ht="12.75">
      <c r="A319" s="37" t="s">
        <v>323</v>
      </c>
      <c r="B319" s="136"/>
      <c r="C319" s="139"/>
      <c r="D319" s="180">
        <f>300</f>
        <v>300</v>
      </c>
      <c r="E319" s="107"/>
      <c r="F319" s="190">
        <f t="shared" si="107"/>
        <v>300</v>
      </c>
      <c r="G319" s="261"/>
      <c r="H319" s="7"/>
      <c r="I319" s="23"/>
      <c r="J319" s="22"/>
      <c r="K319" s="7"/>
      <c r="L319" s="23"/>
      <c r="M319" s="29"/>
      <c r="N319" s="7"/>
      <c r="O319" s="210"/>
      <c r="P319" s="220"/>
      <c r="Q319" s="221"/>
    </row>
    <row r="320" spans="1:17" ht="12.75" hidden="1">
      <c r="A320" s="81" t="s">
        <v>76</v>
      </c>
      <c r="B320" s="80"/>
      <c r="C320" s="139"/>
      <c r="D320" s="180"/>
      <c r="E320" s="107"/>
      <c r="F320" s="190">
        <f t="shared" si="107"/>
        <v>0</v>
      </c>
      <c r="G320" s="261"/>
      <c r="H320" s="7"/>
      <c r="I320" s="23">
        <f t="shared" si="109"/>
        <v>0</v>
      </c>
      <c r="J320" s="22"/>
      <c r="K320" s="7"/>
      <c r="L320" s="23">
        <f t="shared" si="108"/>
        <v>0</v>
      </c>
      <c r="M320" s="29"/>
      <c r="N320" s="7"/>
      <c r="O320" s="210">
        <f t="shared" si="110"/>
        <v>0</v>
      </c>
      <c r="P320" s="220"/>
      <c r="Q320" s="221">
        <f t="shared" si="111"/>
        <v>0</v>
      </c>
    </row>
    <row r="321" spans="1:17" ht="12.75">
      <c r="A321" s="33" t="s">
        <v>169</v>
      </c>
      <c r="B321" s="80"/>
      <c r="C321" s="139">
        <v>55101.29</v>
      </c>
      <c r="D321" s="180">
        <f>1000</f>
        <v>1000</v>
      </c>
      <c r="E321" s="107"/>
      <c r="F321" s="190">
        <f t="shared" si="107"/>
        <v>56101.29</v>
      </c>
      <c r="G321" s="261"/>
      <c r="H321" s="7"/>
      <c r="I321" s="23">
        <f t="shared" si="109"/>
        <v>56101.29</v>
      </c>
      <c r="J321" s="22"/>
      <c r="K321" s="7"/>
      <c r="L321" s="23">
        <f t="shared" si="108"/>
        <v>56101.29</v>
      </c>
      <c r="M321" s="29"/>
      <c r="N321" s="7"/>
      <c r="O321" s="210">
        <f t="shared" si="110"/>
        <v>56101.29</v>
      </c>
      <c r="P321" s="220"/>
      <c r="Q321" s="221">
        <f t="shared" si="111"/>
        <v>56101.29</v>
      </c>
    </row>
    <row r="322" spans="1:17" ht="12.75">
      <c r="A322" s="37" t="s">
        <v>216</v>
      </c>
      <c r="B322" s="80"/>
      <c r="C322" s="139"/>
      <c r="D322" s="180">
        <f>21331.5+100</f>
        <v>21431.5</v>
      </c>
      <c r="E322" s="107"/>
      <c r="F322" s="190">
        <f t="shared" si="107"/>
        <v>21431.5</v>
      </c>
      <c r="G322" s="261"/>
      <c r="H322" s="7"/>
      <c r="I322" s="23">
        <f t="shared" si="109"/>
        <v>21431.5</v>
      </c>
      <c r="J322" s="22"/>
      <c r="K322" s="7"/>
      <c r="L322" s="23">
        <f t="shared" si="108"/>
        <v>21431.5</v>
      </c>
      <c r="M322" s="29"/>
      <c r="N322" s="7"/>
      <c r="O322" s="210">
        <f t="shared" si="110"/>
        <v>21431.5</v>
      </c>
      <c r="P322" s="220"/>
      <c r="Q322" s="221">
        <f t="shared" si="111"/>
        <v>21431.5</v>
      </c>
    </row>
    <row r="323" spans="1:17" ht="12.75">
      <c r="A323" s="33" t="s">
        <v>185</v>
      </c>
      <c r="B323" s="124">
        <v>212163</v>
      </c>
      <c r="C323" s="139"/>
      <c r="D323" s="180">
        <f>637.35</f>
        <v>637.35</v>
      </c>
      <c r="E323" s="107"/>
      <c r="F323" s="190">
        <f t="shared" si="107"/>
        <v>637.35</v>
      </c>
      <c r="G323" s="261"/>
      <c r="H323" s="7"/>
      <c r="I323" s="23">
        <f t="shared" si="109"/>
        <v>637.35</v>
      </c>
      <c r="J323" s="22"/>
      <c r="K323" s="7"/>
      <c r="L323" s="23">
        <f t="shared" si="108"/>
        <v>637.35</v>
      </c>
      <c r="M323" s="29"/>
      <c r="N323" s="7"/>
      <c r="O323" s="210">
        <f t="shared" si="110"/>
        <v>637.35</v>
      </c>
      <c r="P323" s="220"/>
      <c r="Q323" s="221">
        <f t="shared" si="111"/>
        <v>637.35</v>
      </c>
    </row>
    <row r="324" spans="1:17" ht="12.75" hidden="1">
      <c r="A324" s="37" t="s">
        <v>160</v>
      </c>
      <c r="B324" s="124">
        <v>212162</v>
      </c>
      <c r="C324" s="139"/>
      <c r="D324" s="180"/>
      <c r="E324" s="107"/>
      <c r="F324" s="190">
        <f t="shared" si="107"/>
        <v>0</v>
      </c>
      <c r="G324" s="261"/>
      <c r="H324" s="7"/>
      <c r="I324" s="23">
        <f t="shared" si="109"/>
        <v>0</v>
      </c>
      <c r="J324" s="22"/>
      <c r="K324" s="7"/>
      <c r="L324" s="23">
        <f t="shared" si="108"/>
        <v>0</v>
      </c>
      <c r="M324" s="29"/>
      <c r="N324" s="7"/>
      <c r="O324" s="210">
        <f t="shared" si="110"/>
        <v>0</v>
      </c>
      <c r="P324" s="220"/>
      <c r="Q324" s="221">
        <f t="shared" si="111"/>
        <v>0</v>
      </c>
    </row>
    <row r="325" spans="1:17" ht="12.75" hidden="1">
      <c r="A325" s="37" t="s">
        <v>281</v>
      </c>
      <c r="B325" s="124"/>
      <c r="C325" s="139"/>
      <c r="D325" s="180"/>
      <c r="E325" s="107"/>
      <c r="F325" s="190">
        <f t="shared" si="107"/>
        <v>0</v>
      </c>
      <c r="G325" s="261"/>
      <c r="H325" s="7"/>
      <c r="I325" s="23">
        <f t="shared" si="109"/>
        <v>0</v>
      </c>
      <c r="J325" s="22"/>
      <c r="K325" s="7"/>
      <c r="L325" s="23">
        <f t="shared" si="108"/>
        <v>0</v>
      </c>
      <c r="M325" s="29"/>
      <c r="N325" s="7"/>
      <c r="O325" s="210">
        <f t="shared" si="110"/>
        <v>0</v>
      </c>
      <c r="P325" s="220"/>
      <c r="Q325" s="221">
        <f t="shared" si="111"/>
        <v>0</v>
      </c>
    </row>
    <row r="326" spans="1:17" ht="12.75" hidden="1">
      <c r="A326" s="37" t="s">
        <v>308</v>
      </c>
      <c r="B326" s="124"/>
      <c r="C326" s="139"/>
      <c r="D326" s="180"/>
      <c r="E326" s="107"/>
      <c r="F326" s="190">
        <f t="shared" si="107"/>
        <v>0</v>
      </c>
      <c r="G326" s="261"/>
      <c r="H326" s="7"/>
      <c r="I326" s="23">
        <f t="shared" si="109"/>
        <v>0</v>
      </c>
      <c r="J326" s="22"/>
      <c r="K326" s="7"/>
      <c r="L326" s="23">
        <f t="shared" si="108"/>
        <v>0</v>
      </c>
      <c r="M326" s="29"/>
      <c r="N326" s="7"/>
      <c r="O326" s="210">
        <f t="shared" si="110"/>
        <v>0</v>
      </c>
      <c r="P326" s="220"/>
      <c r="Q326" s="221">
        <f t="shared" si="111"/>
        <v>0</v>
      </c>
    </row>
    <row r="327" spans="1:17" ht="12.75" hidden="1">
      <c r="A327" s="37" t="s">
        <v>269</v>
      </c>
      <c r="B327" s="124"/>
      <c r="C327" s="139"/>
      <c r="D327" s="180"/>
      <c r="E327" s="107"/>
      <c r="F327" s="190">
        <f t="shared" si="107"/>
        <v>0</v>
      </c>
      <c r="G327" s="261"/>
      <c r="H327" s="7"/>
      <c r="I327" s="23">
        <f t="shared" si="109"/>
        <v>0</v>
      </c>
      <c r="J327" s="22"/>
      <c r="K327" s="7"/>
      <c r="L327" s="23">
        <f t="shared" si="108"/>
        <v>0</v>
      </c>
      <c r="M327" s="29"/>
      <c r="N327" s="7"/>
      <c r="O327" s="210">
        <f t="shared" si="110"/>
        <v>0</v>
      </c>
      <c r="P327" s="220"/>
      <c r="Q327" s="221">
        <f t="shared" si="111"/>
        <v>0</v>
      </c>
    </row>
    <row r="328" spans="1:17" ht="12.75">
      <c r="A328" s="33" t="s">
        <v>73</v>
      </c>
      <c r="B328" s="80"/>
      <c r="C328" s="145">
        <f>SUM(C329:C339)</f>
        <v>28675</v>
      </c>
      <c r="D328" s="180">
        <f aca="true" t="shared" si="112" ref="D328:Q328">SUM(D329:D339)</f>
        <v>14191.029999999999</v>
      </c>
      <c r="E328" s="107">
        <f t="shared" si="112"/>
        <v>0</v>
      </c>
      <c r="F328" s="196">
        <f t="shared" si="112"/>
        <v>42866.03</v>
      </c>
      <c r="G328" s="231">
        <f t="shared" si="112"/>
        <v>0</v>
      </c>
      <c r="H328" s="107">
        <f t="shared" si="112"/>
        <v>0</v>
      </c>
      <c r="I328" s="169">
        <f t="shared" si="112"/>
        <v>42866.03</v>
      </c>
      <c r="J328" s="168">
        <f t="shared" si="112"/>
        <v>0</v>
      </c>
      <c r="K328" s="107">
        <f t="shared" si="112"/>
        <v>0</v>
      </c>
      <c r="L328" s="169">
        <f t="shared" si="112"/>
        <v>42866.03</v>
      </c>
      <c r="M328" s="168">
        <f t="shared" si="112"/>
        <v>0</v>
      </c>
      <c r="N328" s="107">
        <f t="shared" si="112"/>
        <v>0</v>
      </c>
      <c r="O328" s="196">
        <f t="shared" si="112"/>
        <v>42866.03</v>
      </c>
      <c r="P328" s="231">
        <f t="shared" si="112"/>
        <v>0</v>
      </c>
      <c r="Q328" s="196">
        <f t="shared" si="112"/>
        <v>42866.03</v>
      </c>
    </row>
    <row r="329" spans="1:17" ht="12.75">
      <c r="A329" s="33" t="s">
        <v>203</v>
      </c>
      <c r="B329" s="80"/>
      <c r="C329" s="145">
        <v>7500</v>
      </c>
      <c r="D329" s="180">
        <f>1200</f>
        <v>1200</v>
      </c>
      <c r="E329" s="96"/>
      <c r="F329" s="190">
        <f t="shared" si="107"/>
        <v>8700</v>
      </c>
      <c r="G329" s="261"/>
      <c r="H329" s="7"/>
      <c r="I329" s="23">
        <f t="shared" si="109"/>
        <v>8700</v>
      </c>
      <c r="J329" s="22"/>
      <c r="K329" s="7"/>
      <c r="L329" s="23">
        <f aca="true" t="shared" si="113" ref="L329:L339">I329+J329+K329</f>
        <v>8700</v>
      </c>
      <c r="M329" s="29"/>
      <c r="N329" s="7"/>
      <c r="O329" s="210">
        <f t="shared" si="110"/>
        <v>8700</v>
      </c>
      <c r="P329" s="220"/>
      <c r="Q329" s="221">
        <f t="shared" si="111"/>
        <v>8700</v>
      </c>
    </row>
    <row r="330" spans="1:17" ht="12.75">
      <c r="A330" s="33" t="s">
        <v>168</v>
      </c>
      <c r="B330" s="80"/>
      <c r="C330" s="145"/>
      <c r="D330" s="180">
        <f>9848.17-1200-1000</f>
        <v>7648.17</v>
      </c>
      <c r="E330" s="96"/>
      <c r="F330" s="190">
        <f t="shared" si="107"/>
        <v>7648.17</v>
      </c>
      <c r="G330" s="261"/>
      <c r="H330" s="7"/>
      <c r="I330" s="23">
        <f t="shared" si="109"/>
        <v>7648.17</v>
      </c>
      <c r="J330" s="22"/>
      <c r="K330" s="7"/>
      <c r="L330" s="23">
        <f t="shared" si="113"/>
        <v>7648.17</v>
      </c>
      <c r="M330" s="29"/>
      <c r="N330" s="7"/>
      <c r="O330" s="210">
        <f t="shared" si="110"/>
        <v>7648.17</v>
      </c>
      <c r="P330" s="220"/>
      <c r="Q330" s="221">
        <f t="shared" si="111"/>
        <v>7648.17</v>
      </c>
    </row>
    <row r="331" spans="1:17" ht="12.75" hidden="1">
      <c r="A331" s="33" t="s">
        <v>251</v>
      </c>
      <c r="B331" s="80"/>
      <c r="C331" s="145"/>
      <c r="D331" s="246"/>
      <c r="E331" s="96"/>
      <c r="F331" s="190">
        <f t="shared" si="107"/>
        <v>0</v>
      </c>
      <c r="G331" s="261"/>
      <c r="H331" s="7"/>
      <c r="I331" s="23">
        <f t="shared" si="109"/>
        <v>0</v>
      </c>
      <c r="J331" s="22"/>
      <c r="K331" s="7"/>
      <c r="L331" s="23">
        <f t="shared" si="113"/>
        <v>0</v>
      </c>
      <c r="M331" s="29"/>
      <c r="N331" s="7"/>
      <c r="O331" s="210">
        <f t="shared" si="110"/>
        <v>0</v>
      </c>
      <c r="P331" s="220"/>
      <c r="Q331" s="221">
        <f t="shared" si="111"/>
        <v>0</v>
      </c>
    </row>
    <row r="332" spans="1:17" ht="12.75" hidden="1">
      <c r="A332" s="33" t="s">
        <v>194</v>
      </c>
      <c r="B332" s="80"/>
      <c r="C332" s="145"/>
      <c r="D332" s="180"/>
      <c r="E332" s="96"/>
      <c r="F332" s="190">
        <f t="shared" si="107"/>
        <v>0</v>
      </c>
      <c r="G332" s="261"/>
      <c r="H332" s="7"/>
      <c r="I332" s="23">
        <f t="shared" si="109"/>
        <v>0</v>
      </c>
      <c r="J332" s="22"/>
      <c r="K332" s="7"/>
      <c r="L332" s="23">
        <f t="shared" si="113"/>
        <v>0</v>
      </c>
      <c r="M332" s="29"/>
      <c r="N332" s="7"/>
      <c r="O332" s="210">
        <f t="shared" si="110"/>
        <v>0</v>
      </c>
      <c r="P332" s="220"/>
      <c r="Q332" s="221">
        <f t="shared" si="111"/>
        <v>0</v>
      </c>
    </row>
    <row r="333" spans="1:17" ht="12.75">
      <c r="A333" s="33" t="s">
        <v>215</v>
      </c>
      <c r="B333" s="80"/>
      <c r="C333" s="145"/>
      <c r="D333" s="180">
        <f>3732.11</f>
        <v>3732.11</v>
      </c>
      <c r="E333" s="96"/>
      <c r="F333" s="190">
        <f t="shared" si="107"/>
        <v>3732.11</v>
      </c>
      <c r="G333" s="261"/>
      <c r="H333" s="7"/>
      <c r="I333" s="23">
        <f t="shared" si="109"/>
        <v>3732.11</v>
      </c>
      <c r="J333" s="22"/>
      <c r="K333" s="7"/>
      <c r="L333" s="23">
        <f t="shared" si="113"/>
        <v>3732.11</v>
      </c>
      <c r="M333" s="29"/>
      <c r="N333" s="7"/>
      <c r="O333" s="210">
        <f t="shared" si="110"/>
        <v>3732.11</v>
      </c>
      <c r="P333" s="220"/>
      <c r="Q333" s="221">
        <f t="shared" si="111"/>
        <v>3732.11</v>
      </c>
    </row>
    <row r="334" spans="1:17" ht="12.75">
      <c r="A334" s="33" t="s">
        <v>167</v>
      </c>
      <c r="B334" s="80"/>
      <c r="C334" s="145"/>
      <c r="D334" s="180">
        <f>735.39-36.3</f>
        <v>699.09</v>
      </c>
      <c r="E334" s="96"/>
      <c r="F334" s="190">
        <f t="shared" si="107"/>
        <v>699.09</v>
      </c>
      <c r="G334" s="261"/>
      <c r="H334" s="7"/>
      <c r="I334" s="23">
        <f t="shared" si="109"/>
        <v>699.09</v>
      </c>
      <c r="J334" s="22"/>
      <c r="K334" s="7"/>
      <c r="L334" s="23">
        <f t="shared" si="113"/>
        <v>699.09</v>
      </c>
      <c r="M334" s="29"/>
      <c r="N334" s="7"/>
      <c r="O334" s="210">
        <f t="shared" si="110"/>
        <v>699.09</v>
      </c>
      <c r="P334" s="220"/>
      <c r="Q334" s="221">
        <f t="shared" si="111"/>
        <v>699.09</v>
      </c>
    </row>
    <row r="335" spans="1:17" ht="12.75">
      <c r="A335" s="33" t="s">
        <v>291</v>
      </c>
      <c r="B335" s="80"/>
      <c r="C335" s="145"/>
      <c r="D335" s="180">
        <f>2416.38</f>
        <v>2416.38</v>
      </c>
      <c r="E335" s="96"/>
      <c r="F335" s="190">
        <f t="shared" si="107"/>
        <v>2416.38</v>
      </c>
      <c r="G335" s="261"/>
      <c r="H335" s="7"/>
      <c r="I335" s="23">
        <f t="shared" si="109"/>
        <v>2416.38</v>
      </c>
      <c r="J335" s="22"/>
      <c r="K335" s="7"/>
      <c r="L335" s="23">
        <f t="shared" si="113"/>
        <v>2416.38</v>
      </c>
      <c r="M335" s="29"/>
      <c r="N335" s="7"/>
      <c r="O335" s="210">
        <f t="shared" si="110"/>
        <v>2416.38</v>
      </c>
      <c r="P335" s="220"/>
      <c r="Q335" s="221">
        <f t="shared" si="111"/>
        <v>2416.38</v>
      </c>
    </row>
    <row r="336" spans="1:17" ht="12.75">
      <c r="A336" s="33" t="s">
        <v>174</v>
      </c>
      <c r="B336" s="80"/>
      <c r="C336" s="145">
        <v>2000</v>
      </c>
      <c r="D336" s="180">
        <f>1773.96+6730</f>
        <v>8503.96</v>
      </c>
      <c r="E336" s="96"/>
      <c r="F336" s="190">
        <f t="shared" si="107"/>
        <v>10503.96</v>
      </c>
      <c r="G336" s="261"/>
      <c r="H336" s="7"/>
      <c r="I336" s="23">
        <f t="shared" si="109"/>
        <v>10503.96</v>
      </c>
      <c r="J336" s="22"/>
      <c r="K336" s="7"/>
      <c r="L336" s="23">
        <f t="shared" si="113"/>
        <v>10503.96</v>
      </c>
      <c r="M336" s="29"/>
      <c r="N336" s="7"/>
      <c r="O336" s="210">
        <f t="shared" si="110"/>
        <v>10503.96</v>
      </c>
      <c r="P336" s="220"/>
      <c r="Q336" s="221">
        <f t="shared" si="111"/>
        <v>10503.96</v>
      </c>
    </row>
    <row r="337" spans="1:17" ht="12.75">
      <c r="A337" s="33" t="s">
        <v>173</v>
      </c>
      <c r="B337" s="80"/>
      <c r="C337" s="145">
        <v>17200</v>
      </c>
      <c r="D337" s="180">
        <f>-17130+8721.32</f>
        <v>-8408.68</v>
      </c>
      <c r="E337" s="96"/>
      <c r="F337" s="190">
        <f t="shared" si="107"/>
        <v>8791.32</v>
      </c>
      <c r="G337" s="261"/>
      <c r="H337" s="7"/>
      <c r="I337" s="23">
        <f t="shared" si="109"/>
        <v>8791.32</v>
      </c>
      <c r="J337" s="22"/>
      <c r="K337" s="7"/>
      <c r="L337" s="23">
        <f t="shared" si="113"/>
        <v>8791.32</v>
      </c>
      <c r="M337" s="29"/>
      <c r="N337" s="7"/>
      <c r="O337" s="210">
        <f t="shared" si="110"/>
        <v>8791.32</v>
      </c>
      <c r="P337" s="220"/>
      <c r="Q337" s="221">
        <f t="shared" si="111"/>
        <v>8791.32</v>
      </c>
    </row>
    <row r="338" spans="1:17" ht="12.75">
      <c r="A338" s="33" t="s">
        <v>290</v>
      </c>
      <c r="B338" s="80"/>
      <c r="C338" s="145">
        <v>1975</v>
      </c>
      <c r="D338" s="180">
        <f>-1200-400</f>
        <v>-1600</v>
      </c>
      <c r="E338" s="96"/>
      <c r="F338" s="190">
        <f t="shared" si="107"/>
        <v>375</v>
      </c>
      <c r="G338" s="261"/>
      <c r="H338" s="7"/>
      <c r="I338" s="23">
        <f t="shared" si="109"/>
        <v>375</v>
      </c>
      <c r="J338" s="22"/>
      <c r="K338" s="7"/>
      <c r="L338" s="23">
        <f t="shared" si="113"/>
        <v>375</v>
      </c>
      <c r="M338" s="29"/>
      <c r="N338" s="7"/>
      <c r="O338" s="210">
        <f t="shared" si="110"/>
        <v>375</v>
      </c>
      <c r="P338" s="220"/>
      <c r="Q338" s="221">
        <f t="shared" si="111"/>
        <v>375</v>
      </c>
    </row>
    <row r="339" spans="1:17" ht="12.75" hidden="1">
      <c r="A339" s="33" t="s">
        <v>226</v>
      </c>
      <c r="B339" s="80"/>
      <c r="C339" s="145"/>
      <c r="D339" s="246"/>
      <c r="E339" s="96"/>
      <c r="F339" s="190">
        <f t="shared" si="107"/>
        <v>0</v>
      </c>
      <c r="G339" s="261"/>
      <c r="H339" s="7"/>
      <c r="I339" s="23">
        <f t="shared" si="109"/>
        <v>0</v>
      </c>
      <c r="J339" s="22"/>
      <c r="K339" s="7"/>
      <c r="L339" s="23">
        <f t="shared" si="113"/>
        <v>0</v>
      </c>
      <c r="M339" s="29"/>
      <c r="N339" s="7"/>
      <c r="O339" s="210">
        <f t="shared" si="110"/>
        <v>0</v>
      </c>
      <c r="P339" s="220"/>
      <c r="Q339" s="221">
        <f t="shared" si="111"/>
        <v>0</v>
      </c>
    </row>
    <row r="340" spans="1:17" ht="12.75">
      <c r="A340" s="39" t="s">
        <v>53</v>
      </c>
      <c r="B340" s="84"/>
      <c r="C340" s="143">
        <f aca="true" t="shared" si="114" ref="C340:Q340">SUM(C342:C358)</f>
        <v>456717.92000000004</v>
      </c>
      <c r="D340" s="131">
        <f t="shared" si="114"/>
        <v>1540320.38</v>
      </c>
      <c r="E340" s="103">
        <f t="shared" si="114"/>
        <v>0</v>
      </c>
      <c r="F340" s="193">
        <f t="shared" si="114"/>
        <v>1997038.3</v>
      </c>
      <c r="G340" s="227">
        <f t="shared" si="114"/>
        <v>0</v>
      </c>
      <c r="H340" s="103">
        <f t="shared" si="114"/>
        <v>0</v>
      </c>
      <c r="I340" s="166">
        <f t="shared" si="114"/>
        <v>1995123.94</v>
      </c>
      <c r="J340" s="102">
        <f t="shared" si="114"/>
        <v>0</v>
      </c>
      <c r="K340" s="103">
        <f t="shared" si="114"/>
        <v>0</v>
      </c>
      <c r="L340" s="166">
        <f t="shared" si="114"/>
        <v>1995123.94</v>
      </c>
      <c r="M340" s="102">
        <f t="shared" si="114"/>
        <v>0</v>
      </c>
      <c r="N340" s="103">
        <f t="shared" si="114"/>
        <v>0</v>
      </c>
      <c r="O340" s="193">
        <f t="shared" si="114"/>
        <v>1995123.94</v>
      </c>
      <c r="P340" s="227">
        <f t="shared" si="114"/>
        <v>0</v>
      </c>
      <c r="Q340" s="193">
        <f t="shared" si="114"/>
        <v>1995123.94</v>
      </c>
    </row>
    <row r="341" spans="1:17" ht="12.75">
      <c r="A341" s="37" t="s">
        <v>26</v>
      </c>
      <c r="B341" s="80"/>
      <c r="C341" s="139"/>
      <c r="D341" s="128"/>
      <c r="E341" s="96"/>
      <c r="F341" s="190"/>
      <c r="G341" s="261"/>
      <c r="H341" s="7"/>
      <c r="I341" s="23"/>
      <c r="J341" s="22"/>
      <c r="K341" s="7"/>
      <c r="L341" s="23"/>
      <c r="M341" s="29"/>
      <c r="N341" s="7"/>
      <c r="O341" s="210"/>
      <c r="P341" s="220"/>
      <c r="Q341" s="221"/>
    </row>
    <row r="342" spans="1:17" ht="12.75" hidden="1">
      <c r="A342" s="37" t="s">
        <v>164</v>
      </c>
      <c r="B342" s="80"/>
      <c r="C342" s="139"/>
      <c r="D342" s="128"/>
      <c r="E342" s="96"/>
      <c r="F342" s="190">
        <f aca="true" t="shared" si="115" ref="F342:F372">C342+D342+E342</f>
        <v>0</v>
      </c>
      <c r="G342" s="261"/>
      <c r="H342" s="7"/>
      <c r="I342" s="23">
        <f aca="true" t="shared" si="116" ref="I342:I372">F342+G342+H342</f>
        <v>0</v>
      </c>
      <c r="J342" s="22"/>
      <c r="K342" s="7"/>
      <c r="L342" s="23">
        <f aca="true" t="shared" si="117" ref="L342:L372">I342+J342+K342</f>
        <v>0</v>
      </c>
      <c r="M342" s="29"/>
      <c r="N342" s="7"/>
      <c r="O342" s="210">
        <f aca="true" t="shared" si="118" ref="O342:O372">L342+M342+N342</f>
        <v>0</v>
      </c>
      <c r="P342" s="220"/>
      <c r="Q342" s="221">
        <f aca="true" t="shared" si="119" ref="Q342:Q372">O342+P342</f>
        <v>0</v>
      </c>
    </row>
    <row r="343" spans="1:17" ht="12.75">
      <c r="A343" s="37" t="s">
        <v>54</v>
      </c>
      <c r="B343" s="80"/>
      <c r="C343" s="139"/>
      <c r="D343" s="128">
        <f>1914.36</f>
        <v>1914.36</v>
      </c>
      <c r="E343" s="96"/>
      <c r="F343" s="190">
        <f t="shared" si="115"/>
        <v>1914.36</v>
      </c>
      <c r="G343" s="261"/>
      <c r="H343" s="7"/>
      <c r="I343" s="23"/>
      <c r="J343" s="22"/>
      <c r="K343" s="7"/>
      <c r="L343" s="23"/>
      <c r="M343" s="29"/>
      <c r="N343" s="7"/>
      <c r="O343" s="210"/>
      <c r="P343" s="220"/>
      <c r="Q343" s="221"/>
    </row>
    <row r="344" spans="1:17" ht="12.75">
      <c r="A344" s="37" t="s">
        <v>163</v>
      </c>
      <c r="B344" s="136">
        <v>1081.1202</v>
      </c>
      <c r="C344" s="139"/>
      <c r="D344" s="128">
        <f>457</f>
        <v>457</v>
      </c>
      <c r="E344" s="96"/>
      <c r="F344" s="190">
        <f t="shared" si="115"/>
        <v>457</v>
      </c>
      <c r="G344" s="261"/>
      <c r="H344" s="7"/>
      <c r="I344" s="23">
        <f t="shared" si="116"/>
        <v>457</v>
      </c>
      <c r="J344" s="22"/>
      <c r="K344" s="7"/>
      <c r="L344" s="23">
        <f t="shared" si="117"/>
        <v>457</v>
      </c>
      <c r="M344" s="29"/>
      <c r="N344" s="7"/>
      <c r="O344" s="210">
        <f t="shared" si="118"/>
        <v>457</v>
      </c>
      <c r="P344" s="220"/>
      <c r="Q344" s="221">
        <f t="shared" si="119"/>
        <v>457</v>
      </c>
    </row>
    <row r="345" spans="1:17" ht="12.75">
      <c r="A345" s="37" t="s">
        <v>159</v>
      </c>
      <c r="B345" s="80"/>
      <c r="C345" s="139">
        <v>19868.59</v>
      </c>
      <c r="D345" s="128">
        <f>688.28</f>
        <v>688.28</v>
      </c>
      <c r="E345" s="96"/>
      <c r="F345" s="190">
        <f t="shared" si="115"/>
        <v>20556.87</v>
      </c>
      <c r="G345" s="261"/>
      <c r="H345" s="7"/>
      <c r="I345" s="23">
        <f t="shared" si="116"/>
        <v>20556.87</v>
      </c>
      <c r="J345" s="22"/>
      <c r="K345" s="7"/>
      <c r="L345" s="23">
        <f t="shared" si="117"/>
        <v>20556.87</v>
      </c>
      <c r="M345" s="29"/>
      <c r="N345" s="7"/>
      <c r="O345" s="210">
        <f t="shared" si="118"/>
        <v>20556.87</v>
      </c>
      <c r="P345" s="220"/>
      <c r="Q345" s="221">
        <f t="shared" si="119"/>
        <v>20556.87</v>
      </c>
    </row>
    <row r="346" spans="1:17" ht="12.75">
      <c r="A346" s="37" t="s">
        <v>313</v>
      </c>
      <c r="B346" s="80"/>
      <c r="C346" s="139">
        <v>7000</v>
      </c>
      <c r="D346" s="128">
        <f>10000</f>
        <v>10000</v>
      </c>
      <c r="E346" s="96"/>
      <c r="F346" s="190">
        <f t="shared" si="115"/>
        <v>17000</v>
      </c>
      <c r="G346" s="261"/>
      <c r="H346" s="7"/>
      <c r="I346" s="23">
        <f t="shared" si="116"/>
        <v>17000</v>
      </c>
      <c r="J346" s="22"/>
      <c r="K346" s="7"/>
      <c r="L346" s="23">
        <f t="shared" si="117"/>
        <v>17000</v>
      </c>
      <c r="M346" s="29"/>
      <c r="N346" s="7"/>
      <c r="O346" s="210">
        <f t="shared" si="118"/>
        <v>17000</v>
      </c>
      <c r="P346" s="220"/>
      <c r="Q346" s="221">
        <f t="shared" si="119"/>
        <v>17000</v>
      </c>
    </row>
    <row r="347" spans="1:17" ht="12.75">
      <c r="A347" s="37" t="s">
        <v>316</v>
      </c>
      <c r="B347" s="80"/>
      <c r="C347" s="139">
        <v>10000</v>
      </c>
      <c r="D347" s="128">
        <f>10000</f>
        <v>10000</v>
      </c>
      <c r="E347" s="96"/>
      <c r="F347" s="190">
        <f t="shared" si="115"/>
        <v>20000</v>
      </c>
      <c r="G347" s="261"/>
      <c r="H347" s="7"/>
      <c r="I347" s="23">
        <f t="shared" si="116"/>
        <v>20000</v>
      </c>
      <c r="J347" s="22"/>
      <c r="K347" s="7"/>
      <c r="L347" s="23">
        <f t="shared" si="117"/>
        <v>20000</v>
      </c>
      <c r="M347" s="29"/>
      <c r="N347" s="7"/>
      <c r="O347" s="210">
        <f t="shared" si="118"/>
        <v>20000</v>
      </c>
      <c r="P347" s="220"/>
      <c r="Q347" s="221">
        <f t="shared" si="119"/>
        <v>20000</v>
      </c>
    </row>
    <row r="348" spans="1:17" ht="12.75" hidden="1">
      <c r="A348" s="37" t="s">
        <v>265</v>
      </c>
      <c r="B348" s="80"/>
      <c r="C348" s="139"/>
      <c r="D348" s="180"/>
      <c r="E348" s="107"/>
      <c r="F348" s="190">
        <f t="shared" si="115"/>
        <v>0</v>
      </c>
      <c r="G348" s="261"/>
      <c r="H348" s="7"/>
      <c r="I348" s="23">
        <f t="shared" si="116"/>
        <v>0</v>
      </c>
      <c r="J348" s="22"/>
      <c r="K348" s="7"/>
      <c r="L348" s="23">
        <f t="shared" si="117"/>
        <v>0</v>
      </c>
      <c r="M348" s="29"/>
      <c r="N348" s="7"/>
      <c r="O348" s="210">
        <f t="shared" si="118"/>
        <v>0</v>
      </c>
      <c r="P348" s="220"/>
      <c r="Q348" s="221">
        <f t="shared" si="119"/>
        <v>0</v>
      </c>
    </row>
    <row r="349" spans="1:17" ht="12.75">
      <c r="A349" s="122" t="s">
        <v>216</v>
      </c>
      <c r="B349" s="80"/>
      <c r="C349" s="139"/>
      <c r="D349" s="246">
        <f>5500+1744.52</f>
        <v>7244.52</v>
      </c>
      <c r="E349" s="116"/>
      <c r="F349" s="190">
        <f t="shared" si="115"/>
        <v>7244.52</v>
      </c>
      <c r="G349" s="261"/>
      <c r="H349" s="7"/>
      <c r="I349" s="23">
        <f t="shared" si="116"/>
        <v>7244.52</v>
      </c>
      <c r="J349" s="22"/>
      <c r="K349" s="7"/>
      <c r="L349" s="23">
        <f t="shared" si="117"/>
        <v>7244.52</v>
      </c>
      <c r="M349" s="29"/>
      <c r="N349" s="7"/>
      <c r="O349" s="210">
        <f t="shared" si="118"/>
        <v>7244.52</v>
      </c>
      <c r="P349" s="220"/>
      <c r="Q349" s="221">
        <f t="shared" si="119"/>
        <v>7244.52</v>
      </c>
    </row>
    <row r="350" spans="1:17" ht="12.75">
      <c r="A350" s="37" t="s">
        <v>314</v>
      </c>
      <c r="B350" s="124">
        <v>212163</v>
      </c>
      <c r="C350" s="139">
        <v>60000</v>
      </c>
      <c r="D350" s="180">
        <f>256306.21</f>
        <v>256306.21</v>
      </c>
      <c r="E350" s="107"/>
      <c r="F350" s="190">
        <f t="shared" si="115"/>
        <v>316306.20999999996</v>
      </c>
      <c r="G350" s="261"/>
      <c r="H350" s="7"/>
      <c r="I350" s="23">
        <f t="shared" si="116"/>
        <v>316306.20999999996</v>
      </c>
      <c r="J350" s="22"/>
      <c r="K350" s="7"/>
      <c r="L350" s="23">
        <f t="shared" si="117"/>
        <v>316306.20999999996</v>
      </c>
      <c r="M350" s="29"/>
      <c r="N350" s="7"/>
      <c r="O350" s="210">
        <f t="shared" si="118"/>
        <v>316306.20999999996</v>
      </c>
      <c r="P350" s="220"/>
      <c r="Q350" s="221">
        <f t="shared" si="119"/>
        <v>316306.20999999996</v>
      </c>
    </row>
    <row r="351" spans="1:17" ht="12.75">
      <c r="A351" s="37" t="s">
        <v>221</v>
      </c>
      <c r="B351" s="124">
        <v>22777</v>
      </c>
      <c r="C351" s="139"/>
      <c r="D351" s="180">
        <f>360000</f>
        <v>360000</v>
      </c>
      <c r="E351" s="107"/>
      <c r="F351" s="190">
        <f t="shared" si="115"/>
        <v>360000</v>
      </c>
      <c r="G351" s="261"/>
      <c r="H351" s="7"/>
      <c r="I351" s="23">
        <f t="shared" si="116"/>
        <v>360000</v>
      </c>
      <c r="J351" s="22"/>
      <c r="K351" s="7"/>
      <c r="L351" s="23">
        <f t="shared" si="117"/>
        <v>360000</v>
      </c>
      <c r="M351" s="29"/>
      <c r="N351" s="7"/>
      <c r="O351" s="210">
        <f t="shared" si="118"/>
        <v>360000</v>
      </c>
      <c r="P351" s="220"/>
      <c r="Q351" s="221">
        <f t="shared" si="119"/>
        <v>360000</v>
      </c>
    </row>
    <row r="352" spans="1:17" ht="12.75">
      <c r="A352" s="37" t="s">
        <v>160</v>
      </c>
      <c r="B352" s="124">
        <v>212162</v>
      </c>
      <c r="C352" s="139"/>
      <c r="D352" s="180">
        <f>2072.3</f>
        <v>2072.3</v>
      </c>
      <c r="E352" s="107"/>
      <c r="F352" s="190">
        <f t="shared" si="115"/>
        <v>2072.3</v>
      </c>
      <c r="G352" s="261"/>
      <c r="H352" s="7"/>
      <c r="I352" s="23">
        <f t="shared" si="116"/>
        <v>2072.3</v>
      </c>
      <c r="J352" s="22"/>
      <c r="K352" s="7"/>
      <c r="L352" s="23">
        <f t="shared" si="117"/>
        <v>2072.3</v>
      </c>
      <c r="M352" s="29"/>
      <c r="N352" s="7"/>
      <c r="O352" s="210">
        <f t="shared" si="118"/>
        <v>2072.3</v>
      </c>
      <c r="P352" s="220"/>
      <c r="Q352" s="221">
        <f t="shared" si="119"/>
        <v>2072.3</v>
      </c>
    </row>
    <row r="353" spans="1:17" ht="12.75" hidden="1">
      <c r="A353" s="37" t="s">
        <v>281</v>
      </c>
      <c r="B353" s="124"/>
      <c r="C353" s="139"/>
      <c r="D353" s="180"/>
      <c r="E353" s="107"/>
      <c r="F353" s="190">
        <f t="shared" si="115"/>
        <v>0</v>
      </c>
      <c r="G353" s="261"/>
      <c r="H353" s="7"/>
      <c r="I353" s="23">
        <f t="shared" si="116"/>
        <v>0</v>
      </c>
      <c r="J353" s="22"/>
      <c r="K353" s="7"/>
      <c r="L353" s="23">
        <f t="shared" si="117"/>
        <v>0</v>
      </c>
      <c r="M353" s="29"/>
      <c r="N353" s="7"/>
      <c r="O353" s="210">
        <f t="shared" si="118"/>
        <v>0</v>
      </c>
      <c r="P353" s="220"/>
      <c r="Q353" s="221">
        <f t="shared" si="119"/>
        <v>0</v>
      </c>
    </row>
    <row r="354" spans="1:17" ht="12.75" hidden="1">
      <c r="A354" s="37" t="s">
        <v>269</v>
      </c>
      <c r="B354" s="124"/>
      <c r="C354" s="139"/>
      <c r="D354" s="180"/>
      <c r="E354" s="107"/>
      <c r="F354" s="190">
        <f t="shared" si="115"/>
        <v>0</v>
      </c>
      <c r="G354" s="261"/>
      <c r="H354" s="7"/>
      <c r="I354" s="23">
        <f t="shared" si="116"/>
        <v>0</v>
      </c>
      <c r="J354" s="22"/>
      <c r="K354" s="7"/>
      <c r="L354" s="23">
        <f t="shared" si="117"/>
        <v>0</v>
      </c>
      <c r="M354" s="29"/>
      <c r="N354" s="7"/>
      <c r="O354" s="210">
        <f t="shared" si="118"/>
        <v>0</v>
      </c>
      <c r="P354" s="220"/>
      <c r="Q354" s="221">
        <f t="shared" si="119"/>
        <v>0</v>
      </c>
    </row>
    <row r="355" spans="1:17" ht="12.75" hidden="1">
      <c r="A355" s="37" t="s">
        <v>270</v>
      </c>
      <c r="B355" s="124">
        <v>91628</v>
      </c>
      <c r="C355" s="139"/>
      <c r="D355" s="180"/>
      <c r="E355" s="107"/>
      <c r="F355" s="190">
        <f t="shared" si="115"/>
        <v>0</v>
      </c>
      <c r="G355" s="261"/>
      <c r="H355" s="7"/>
      <c r="I355" s="23">
        <f t="shared" si="116"/>
        <v>0</v>
      </c>
      <c r="J355" s="22"/>
      <c r="K355" s="7"/>
      <c r="L355" s="23">
        <f t="shared" si="117"/>
        <v>0</v>
      </c>
      <c r="M355" s="29"/>
      <c r="N355" s="7"/>
      <c r="O355" s="210">
        <f t="shared" si="118"/>
        <v>0</v>
      </c>
      <c r="P355" s="220"/>
      <c r="Q355" s="221">
        <f t="shared" si="119"/>
        <v>0</v>
      </c>
    </row>
    <row r="356" spans="1:17" ht="12.75" hidden="1">
      <c r="A356" s="37" t="s">
        <v>292</v>
      </c>
      <c r="B356" s="124">
        <v>91628</v>
      </c>
      <c r="C356" s="139"/>
      <c r="D356" s="180"/>
      <c r="E356" s="107"/>
      <c r="F356" s="190">
        <f t="shared" si="115"/>
        <v>0</v>
      </c>
      <c r="G356" s="261"/>
      <c r="H356" s="7"/>
      <c r="I356" s="23">
        <f t="shared" si="116"/>
        <v>0</v>
      </c>
      <c r="J356" s="22"/>
      <c r="K356" s="7"/>
      <c r="L356" s="23">
        <f t="shared" si="117"/>
        <v>0</v>
      </c>
      <c r="M356" s="29"/>
      <c r="N356" s="7"/>
      <c r="O356" s="210">
        <f t="shared" si="118"/>
        <v>0</v>
      </c>
      <c r="P356" s="220"/>
      <c r="Q356" s="221">
        <f t="shared" si="119"/>
        <v>0</v>
      </c>
    </row>
    <row r="357" spans="1:17" ht="12.75" hidden="1">
      <c r="A357" s="37" t="s">
        <v>190</v>
      </c>
      <c r="B357" s="80"/>
      <c r="C357" s="139"/>
      <c r="D357" s="180"/>
      <c r="E357" s="107"/>
      <c r="F357" s="190">
        <f t="shared" si="115"/>
        <v>0</v>
      </c>
      <c r="G357" s="261"/>
      <c r="H357" s="7"/>
      <c r="I357" s="23">
        <f t="shared" si="116"/>
        <v>0</v>
      </c>
      <c r="J357" s="22"/>
      <c r="K357" s="7"/>
      <c r="L357" s="23">
        <f t="shared" si="117"/>
        <v>0</v>
      </c>
      <c r="M357" s="29"/>
      <c r="N357" s="7"/>
      <c r="O357" s="210">
        <f t="shared" si="118"/>
        <v>0</v>
      </c>
      <c r="P357" s="220"/>
      <c r="Q357" s="221">
        <f t="shared" si="119"/>
        <v>0</v>
      </c>
    </row>
    <row r="358" spans="1:17" ht="12.75">
      <c r="A358" s="37" t="s">
        <v>161</v>
      </c>
      <c r="B358" s="80"/>
      <c r="C358" s="139">
        <f>SUM(C359:C372)</f>
        <v>359849.33</v>
      </c>
      <c r="D358" s="128">
        <f aca="true" t="shared" si="120" ref="D358:Q358">SUM(D359:D372)</f>
        <v>891637.71</v>
      </c>
      <c r="E358" s="96">
        <f t="shared" si="120"/>
        <v>0</v>
      </c>
      <c r="F358" s="190">
        <f t="shared" si="120"/>
        <v>1251487.04</v>
      </c>
      <c r="G358" s="222">
        <f t="shared" si="120"/>
        <v>0</v>
      </c>
      <c r="H358" s="96">
        <f t="shared" si="120"/>
        <v>0</v>
      </c>
      <c r="I358" s="163">
        <f t="shared" si="120"/>
        <v>1251487.04</v>
      </c>
      <c r="J358" s="97">
        <f t="shared" si="120"/>
        <v>0</v>
      </c>
      <c r="K358" s="96">
        <f t="shared" si="120"/>
        <v>0</v>
      </c>
      <c r="L358" s="163">
        <f t="shared" si="120"/>
        <v>1251487.04</v>
      </c>
      <c r="M358" s="97">
        <f t="shared" si="120"/>
        <v>0</v>
      </c>
      <c r="N358" s="96">
        <f t="shared" si="120"/>
        <v>0</v>
      </c>
      <c r="O358" s="190">
        <f t="shared" si="120"/>
        <v>1251487.04</v>
      </c>
      <c r="P358" s="222">
        <f t="shared" si="120"/>
        <v>0</v>
      </c>
      <c r="Q358" s="190">
        <f t="shared" si="120"/>
        <v>1251487.04</v>
      </c>
    </row>
    <row r="359" spans="1:17" ht="12.75">
      <c r="A359" s="33" t="s">
        <v>203</v>
      </c>
      <c r="B359" s="80"/>
      <c r="C359" s="145">
        <v>1500</v>
      </c>
      <c r="D359" s="180"/>
      <c r="E359" s="96"/>
      <c r="F359" s="190">
        <f>C359+D359+E359</f>
        <v>1500</v>
      </c>
      <c r="G359" s="261"/>
      <c r="H359" s="7"/>
      <c r="I359" s="23">
        <f t="shared" si="116"/>
        <v>1500</v>
      </c>
      <c r="J359" s="22"/>
      <c r="K359" s="7"/>
      <c r="L359" s="23">
        <f t="shared" si="117"/>
        <v>1500</v>
      </c>
      <c r="M359" s="29"/>
      <c r="N359" s="7"/>
      <c r="O359" s="210">
        <f t="shared" si="118"/>
        <v>1500</v>
      </c>
      <c r="P359" s="220"/>
      <c r="Q359" s="221">
        <f t="shared" si="119"/>
        <v>1500</v>
      </c>
    </row>
    <row r="360" spans="1:17" ht="12.75">
      <c r="A360" s="33" t="s">
        <v>168</v>
      </c>
      <c r="B360" s="80"/>
      <c r="C360" s="145">
        <v>10000</v>
      </c>
      <c r="D360" s="180">
        <f>92311.3+1000</f>
        <v>93311.3</v>
      </c>
      <c r="E360" s="96"/>
      <c r="F360" s="190">
        <f>C360+D360+E360</f>
        <v>103311.3</v>
      </c>
      <c r="G360" s="261"/>
      <c r="H360" s="7"/>
      <c r="I360" s="23">
        <f t="shared" si="116"/>
        <v>103311.3</v>
      </c>
      <c r="J360" s="22"/>
      <c r="K360" s="7"/>
      <c r="L360" s="23">
        <f t="shared" si="117"/>
        <v>103311.3</v>
      </c>
      <c r="M360" s="29"/>
      <c r="N360" s="7"/>
      <c r="O360" s="210">
        <f t="shared" si="118"/>
        <v>103311.3</v>
      </c>
      <c r="P360" s="220"/>
      <c r="Q360" s="221">
        <f t="shared" si="119"/>
        <v>103311.3</v>
      </c>
    </row>
    <row r="361" spans="1:17" ht="12.75">
      <c r="A361" s="33" t="s">
        <v>284</v>
      </c>
      <c r="B361" s="80"/>
      <c r="C361" s="145">
        <v>5000</v>
      </c>
      <c r="D361" s="180">
        <f>5229</f>
        <v>5229</v>
      </c>
      <c r="E361" s="96"/>
      <c r="F361" s="190">
        <f>C361+D361+E361</f>
        <v>10229</v>
      </c>
      <c r="G361" s="261"/>
      <c r="H361" s="7"/>
      <c r="I361" s="23">
        <f t="shared" si="116"/>
        <v>10229</v>
      </c>
      <c r="J361" s="22"/>
      <c r="K361" s="7"/>
      <c r="L361" s="23">
        <f t="shared" si="117"/>
        <v>10229</v>
      </c>
      <c r="M361" s="29"/>
      <c r="N361" s="7"/>
      <c r="O361" s="210">
        <f t="shared" si="118"/>
        <v>10229</v>
      </c>
      <c r="P361" s="220"/>
      <c r="Q361" s="221">
        <f t="shared" si="119"/>
        <v>10229</v>
      </c>
    </row>
    <row r="362" spans="1:17" ht="12.75" hidden="1">
      <c r="A362" s="33" t="s">
        <v>309</v>
      </c>
      <c r="B362" s="80"/>
      <c r="C362" s="145"/>
      <c r="D362" s="180"/>
      <c r="E362" s="96"/>
      <c r="F362" s="190">
        <f>C362+D362+E362</f>
        <v>0</v>
      </c>
      <c r="G362" s="261"/>
      <c r="H362" s="7"/>
      <c r="I362" s="23">
        <f t="shared" si="116"/>
        <v>0</v>
      </c>
      <c r="J362" s="22"/>
      <c r="K362" s="7"/>
      <c r="L362" s="23">
        <f t="shared" si="117"/>
        <v>0</v>
      </c>
      <c r="M362" s="29"/>
      <c r="N362" s="7"/>
      <c r="O362" s="210">
        <f t="shared" si="118"/>
        <v>0</v>
      </c>
      <c r="P362" s="220"/>
      <c r="Q362" s="221">
        <f t="shared" si="119"/>
        <v>0</v>
      </c>
    </row>
    <row r="363" spans="1:17" ht="12.75" hidden="1">
      <c r="A363" s="33" t="s">
        <v>251</v>
      </c>
      <c r="B363" s="80"/>
      <c r="C363" s="145"/>
      <c r="D363" s="180"/>
      <c r="E363" s="96"/>
      <c r="F363" s="190">
        <f t="shared" si="115"/>
        <v>0</v>
      </c>
      <c r="G363" s="261"/>
      <c r="H363" s="7"/>
      <c r="I363" s="23">
        <f t="shared" si="116"/>
        <v>0</v>
      </c>
      <c r="J363" s="22"/>
      <c r="K363" s="7"/>
      <c r="L363" s="23">
        <f t="shared" si="117"/>
        <v>0</v>
      </c>
      <c r="M363" s="29"/>
      <c r="N363" s="7"/>
      <c r="O363" s="210">
        <f t="shared" si="118"/>
        <v>0</v>
      </c>
      <c r="P363" s="220"/>
      <c r="Q363" s="221">
        <f t="shared" si="119"/>
        <v>0</v>
      </c>
    </row>
    <row r="364" spans="1:17" ht="12.75">
      <c r="A364" s="33" t="s">
        <v>215</v>
      </c>
      <c r="B364" s="80"/>
      <c r="C364" s="145">
        <v>120000</v>
      </c>
      <c r="D364" s="180">
        <f>76570.33+14500-6449.08+50000</f>
        <v>134621.25</v>
      </c>
      <c r="E364" s="96"/>
      <c r="F364" s="190">
        <f t="shared" si="115"/>
        <v>254621.25</v>
      </c>
      <c r="G364" s="261"/>
      <c r="H364" s="7"/>
      <c r="I364" s="23">
        <f t="shared" si="116"/>
        <v>254621.25</v>
      </c>
      <c r="J364" s="22"/>
      <c r="K364" s="7"/>
      <c r="L364" s="23">
        <f t="shared" si="117"/>
        <v>254621.25</v>
      </c>
      <c r="M364" s="29"/>
      <c r="N364" s="7"/>
      <c r="O364" s="210">
        <f t="shared" si="118"/>
        <v>254621.25</v>
      </c>
      <c r="P364" s="220"/>
      <c r="Q364" s="221">
        <f t="shared" si="119"/>
        <v>254621.25</v>
      </c>
    </row>
    <row r="365" spans="1:17" ht="12.75">
      <c r="A365" s="33" t="s">
        <v>167</v>
      </c>
      <c r="B365" s="80"/>
      <c r="C365" s="145">
        <v>32130</v>
      </c>
      <c r="D365" s="180">
        <f>-700+7984.48+1348.06+83.43+29.04+3463.62+41.14+2772.35+1052.12+3620.21-5109.34+23.23</f>
        <v>14608.34</v>
      </c>
      <c r="E365" s="96"/>
      <c r="F365" s="190">
        <f t="shared" si="115"/>
        <v>46738.34</v>
      </c>
      <c r="G365" s="261"/>
      <c r="H365" s="7"/>
      <c r="I365" s="23">
        <f t="shared" si="116"/>
        <v>46738.34</v>
      </c>
      <c r="J365" s="22"/>
      <c r="K365" s="7"/>
      <c r="L365" s="23">
        <f t="shared" si="117"/>
        <v>46738.34</v>
      </c>
      <c r="M365" s="29"/>
      <c r="N365" s="7"/>
      <c r="O365" s="210">
        <f t="shared" si="118"/>
        <v>46738.34</v>
      </c>
      <c r="P365" s="220"/>
      <c r="Q365" s="221">
        <f t="shared" si="119"/>
        <v>46738.34</v>
      </c>
    </row>
    <row r="366" spans="1:17" ht="12.75">
      <c r="A366" s="33" t="s">
        <v>170</v>
      </c>
      <c r="B366" s="80"/>
      <c r="C366" s="145">
        <v>15030</v>
      </c>
      <c r="D366" s="180">
        <f>-530+90916.15</f>
        <v>90386.15</v>
      </c>
      <c r="E366" s="96"/>
      <c r="F366" s="190">
        <f t="shared" si="115"/>
        <v>105416.15</v>
      </c>
      <c r="G366" s="261"/>
      <c r="H366" s="7"/>
      <c r="I366" s="23">
        <f t="shared" si="116"/>
        <v>105416.15</v>
      </c>
      <c r="J366" s="22"/>
      <c r="K366" s="7"/>
      <c r="L366" s="23">
        <f t="shared" si="117"/>
        <v>105416.15</v>
      </c>
      <c r="M366" s="29"/>
      <c r="N366" s="7"/>
      <c r="O366" s="210">
        <f t="shared" si="118"/>
        <v>105416.15</v>
      </c>
      <c r="P366" s="220"/>
      <c r="Q366" s="221">
        <f t="shared" si="119"/>
        <v>105416.15</v>
      </c>
    </row>
    <row r="367" spans="1:17" ht="12.75">
      <c r="A367" s="33" t="s">
        <v>174</v>
      </c>
      <c r="B367" s="80"/>
      <c r="C367" s="145">
        <v>29900</v>
      </c>
      <c r="D367" s="180">
        <f>5303.09+37101.69+4498.66+24270</f>
        <v>71173.44</v>
      </c>
      <c r="E367" s="96"/>
      <c r="F367" s="190">
        <f t="shared" si="115"/>
        <v>101073.44</v>
      </c>
      <c r="G367" s="261"/>
      <c r="H367" s="7"/>
      <c r="I367" s="23">
        <f t="shared" si="116"/>
        <v>101073.44</v>
      </c>
      <c r="J367" s="22"/>
      <c r="K367" s="7"/>
      <c r="L367" s="23">
        <f t="shared" si="117"/>
        <v>101073.44</v>
      </c>
      <c r="M367" s="29"/>
      <c r="N367" s="7"/>
      <c r="O367" s="210">
        <f t="shared" si="118"/>
        <v>101073.44</v>
      </c>
      <c r="P367" s="220"/>
      <c r="Q367" s="221">
        <f t="shared" si="119"/>
        <v>101073.44</v>
      </c>
    </row>
    <row r="368" spans="1:17" ht="12.75">
      <c r="A368" s="33" t="s">
        <v>173</v>
      </c>
      <c r="B368" s="80"/>
      <c r="C368" s="145">
        <v>46200</v>
      </c>
      <c r="D368" s="128">
        <f>111229.84+1787.28+1140.79+2788.49+2538.29</f>
        <v>119484.68999999999</v>
      </c>
      <c r="E368" s="96"/>
      <c r="F368" s="190">
        <f t="shared" si="115"/>
        <v>165684.69</v>
      </c>
      <c r="G368" s="261"/>
      <c r="H368" s="7"/>
      <c r="I368" s="23">
        <f t="shared" si="116"/>
        <v>165684.69</v>
      </c>
      <c r="J368" s="22"/>
      <c r="K368" s="7"/>
      <c r="L368" s="23">
        <f t="shared" si="117"/>
        <v>165684.69</v>
      </c>
      <c r="M368" s="29"/>
      <c r="N368" s="7"/>
      <c r="O368" s="210">
        <f t="shared" si="118"/>
        <v>165684.69</v>
      </c>
      <c r="P368" s="220"/>
      <c r="Q368" s="221">
        <f t="shared" si="119"/>
        <v>165684.69</v>
      </c>
    </row>
    <row r="369" spans="1:17" ht="12.75" hidden="1">
      <c r="A369" s="33" t="s">
        <v>290</v>
      </c>
      <c r="B369" s="80"/>
      <c r="C369" s="145"/>
      <c r="D369" s="128"/>
      <c r="E369" s="96"/>
      <c r="F369" s="190">
        <f t="shared" si="115"/>
        <v>0</v>
      </c>
      <c r="G369" s="261"/>
      <c r="H369" s="7"/>
      <c r="I369" s="23">
        <f t="shared" si="116"/>
        <v>0</v>
      </c>
      <c r="J369" s="22"/>
      <c r="K369" s="7"/>
      <c r="L369" s="23">
        <f t="shared" si="117"/>
        <v>0</v>
      </c>
      <c r="M369" s="29"/>
      <c r="N369" s="7"/>
      <c r="O369" s="210">
        <f t="shared" si="118"/>
        <v>0</v>
      </c>
      <c r="P369" s="220"/>
      <c r="Q369" s="221">
        <f t="shared" si="119"/>
        <v>0</v>
      </c>
    </row>
    <row r="370" spans="1:17" ht="12.75">
      <c r="A370" s="33" t="s">
        <v>259</v>
      </c>
      <c r="B370" s="80">
        <v>2088</v>
      </c>
      <c r="C370" s="145"/>
      <c r="D370" s="128">
        <f>1620.82+51333.31</f>
        <v>52954.13</v>
      </c>
      <c r="E370" s="96"/>
      <c r="F370" s="190">
        <f t="shared" si="115"/>
        <v>52954.13</v>
      </c>
      <c r="G370" s="261"/>
      <c r="H370" s="7"/>
      <c r="I370" s="23">
        <f t="shared" si="116"/>
        <v>52954.13</v>
      </c>
      <c r="J370" s="22"/>
      <c r="K370" s="7"/>
      <c r="L370" s="23">
        <f t="shared" si="117"/>
        <v>52954.13</v>
      </c>
      <c r="M370" s="29"/>
      <c r="N370" s="7"/>
      <c r="O370" s="210">
        <f t="shared" si="118"/>
        <v>52954.13</v>
      </c>
      <c r="P370" s="220"/>
      <c r="Q370" s="221">
        <f t="shared" si="119"/>
        <v>52954.13</v>
      </c>
    </row>
    <row r="371" spans="1:17" ht="12.75">
      <c r="A371" s="37" t="s">
        <v>226</v>
      </c>
      <c r="B371" s="80">
        <v>2077</v>
      </c>
      <c r="C371" s="145">
        <v>100089.33</v>
      </c>
      <c r="D371" s="128">
        <f>183392.29-1000-3900-36.44-7132.51-1338.77-49.4-13.79-1746.12-29.52-2758.22-491.12-3608.52+6449.08+4741.14+404.5-13.94-100-50000-400</f>
        <v>122368.66000000003</v>
      </c>
      <c r="E371" s="96"/>
      <c r="F371" s="190">
        <f t="shared" si="115"/>
        <v>222457.99000000005</v>
      </c>
      <c r="G371" s="261"/>
      <c r="H371" s="7"/>
      <c r="I371" s="23">
        <f t="shared" si="116"/>
        <v>222457.99000000005</v>
      </c>
      <c r="J371" s="22"/>
      <c r="K371" s="7"/>
      <c r="L371" s="23">
        <f t="shared" si="117"/>
        <v>222457.99000000005</v>
      </c>
      <c r="M371" s="29"/>
      <c r="N371" s="7"/>
      <c r="O371" s="210">
        <f t="shared" si="118"/>
        <v>222457.99000000005</v>
      </c>
      <c r="P371" s="220"/>
      <c r="Q371" s="221">
        <f t="shared" si="119"/>
        <v>222457.99000000005</v>
      </c>
    </row>
    <row r="372" spans="1:17" ht="12.75">
      <c r="A372" s="43" t="s">
        <v>260</v>
      </c>
      <c r="B372" s="83">
        <v>2099</v>
      </c>
      <c r="C372" s="253"/>
      <c r="D372" s="244">
        <f>13200+106180.49+3900+34500-2000-4000-37101.69-206.47-10630.94-9.29-34.03-15.25-1787.28-1140.79-1717.5-11.62-14.13+1016.76-2445.98-2782.99-1052.12-4498.66-11.69-2788.49+500+3000-2538.29-9.29+50000+50000</f>
        <v>187500.75</v>
      </c>
      <c r="E372" s="104"/>
      <c r="F372" s="195">
        <f t="shared" si="115"/>
        <v>187500.75</v>
      </c>
      <c r="G372" s="263"/>
      <c r="H372" s="10"/>
      <c r="I372" s="27">
        <f t="shared" si="116"/>
        <v>187500.75</v>
      </c>
      <c r="J372" s="26"/>
      <c r="K372" s="10"/>
      <c r="L372" s="27">
        <f t="shared" si="117"/>
        <v>187500.75</v>
      </c>
      <c r="M372" s="68"/>
      <c r="N372" s="10"/>
      <c r="O372" s="213">
        <f t="shared" si="118"/>
        <v>187500.75</v>
      </c>
      <c r="P372" s="229"/>
      <c r="Q372" s="230">
        <f t="shared" si="119"/>
        <v>187500.75</v>
      </c>
    </row>
    <row r="373" spans="1:17" ht="12.75">
      <c r="A373" s="30" t="s">
        <v>86</v>
      </c>
      <c r="B373" s="84"/>
      <c r="C373" s="138">
        <f>C374+C405</f>
        <v>371434</v>
      </c>
      <c r="D373" s="117">
        <f aca="true" t="shared" si="121" ref="D373:Q373">D374+D405</f>
        <v>1602417.67</v>
      </c>
      <c r="E373" s="95">
        <f t="shared" si="121"/>
        <v>0</v>
      </c>
      <c r="F373" s="189">
        <f t="shared" si="121"/>
        <v>1973851.6700000002</v>
      </c>
      <c r="G373" s="219">
        <f t="shared" si="121"/>
        <v>0</v>
      </c>
      <c r="H373" s="95">
        <f t="shared" si="121"/>
        <v>0</v>
      </c>
      <c r="I373" s="162">
        <f t="shared" si="121"/>
        <v>1828256.6300000001</v>
      </c>
      <c r="J373" s="94">
        <f t="shared" si="121"/>
        <v>0</v>
      </c>
      <c r="K373" s="95">
        <f t="shared" si="121"/>
        <v>0</v>
      </c>
      <c r="L373" s="162">
        <f t="shared" si="121"/>
        <v>1828256.6300000001</v>
      </c>
      <c r="M373" s="94">
        <f t="shared" si="121"/>
        <v>0</v>
      </c>
      <c r="N373" s="95">
        <f t="shared" si="121"/>
        <v>0</v>
      </c>
      <c r="O373" s="189">
        <f t="shared" si="121"/>
        <v>1828256.6300000001</v>
      </c>
      <c r="P373" s="219">
        <f t="shared" si="121"/>
        <v>0</v>
      </c>
      <c r="Q373" s="189">
        <f t="shared" si="121"/>
        <v>1828256.6300000001</v>
      </c>
    </row>
    <row r="374" spans="1:17" ht="12.75">
      <c r="A374" s="39" t="s">
        <v>49</v>
      </c>
      <c r="B374" s="84"/>
      <c r="C374" s="143">
        <f>SUM(C376:C404)</f>
        <v>371434</v>
      </c>
      <c r="D374" s="131">
        <f aca="true" t="shared" si="122" ref="D374:Q374">SUM(D376:D404)</f>
        <v>1588097.17</v>
      </c>
      <c r="E374" s="103">
        <f t="shared" si="122"/>
        <v>0</v>
      </c>
      <c r="F374" s="193">
        <f t="shared" si="122"/>
        <v>1959531.1700000002</v>
      </c>
      <c r="G374" s="227">
        <f t="shared" si="122"/>
        <v>0</v>
      </c>
      <c r="H374" s="103">
        <f t="shared" si="122"/>
        <v>0</v>
      </c>
      <c r="I374" s="166">
        <f t="shared" si="122"/>
        <v>1813936.1300000001</v>
      </c>
      <c r="J374" s="102">
        <f t="shared" si="122"/>
        <v>0</v>
      </c>
      <c r="K374" s="103">
        <f t="shared" si="122"/>
        <v>0</v>
      </c>
      <c r="L374" s="166">
        <f t="shared" si="122"/>
        <v>1813936.1300000001</v>
      </c>
      <c r="M374" s="102">
        <f t="shared" si="122"/>
        <v>0</v>
      </c>
      <c r="N374" s="103">
        <f t="shared" si="122"/>
        <v>0</v>
      </c>
      <c r="O374" s="193">
        <f t="shared" si="122"/>
        <v>1813936.1300000001</v>
      </c>
      <c r="P374" s="227">
        <f t="shared" si="122"/>
        <v>0</v>
      </c>
      <c r="Q374" s="193">
        <f t="shared" si="122"/>
        <v>1813936.1300000001</v>
      </c>
    </row>
    <row r="375" spans="1:17" ht="12.75">
      <c r="A375" s="35" t="s">
        <v>26</v>
      </c>
      <c r="B375" s="80"/>
      <c r="C375" s="139"/>
      <c r="D375" s="128"/>
      <c r="E375" s="96"/>
      <c r="F375" s="190"/>
      <c r="G375" s="261"/>
      <c r="H375" s="7"/>
      <c r="I375" s="23"/>
      <c r="J375" s="22"/>
      <c r="K375" s="7"/>
      <c r="L375" s="23"/>
      <c r="M375" s="22"/>
      <c r="N375" s="7"/>
      <c r="O375" s="210"/>
      <c r="P375" s="220"/>
      <c r="Q375" s="221"/>
    </row>
    <row r="376" spans="1:17" ht="13.5" thickBot="1">
      <c r="A376" s="278" t="s">
        <v>87</v>
      </c>
      <c r="B376" s="279"/>
      <c r="C376" s="272">
        <v>286700</v>
      </c>
      <c r="D376" s="273">
        <f>23000</f>
        <v>23000</v>
      </c>
      <c r="E376" s="274"/>
      <c r="F376" s="275">
        <f aca="true" t="shared" si="123" ref="F376:F404">C376+D376+E376</f>
        <v>309700</v>
      </c>
      <c r="G376" s="261"/>
      <c r="H376" s="7"/>
      <c r="I376" s="23">
        <f>F376+G376+H376</f>
        <v>309700</v>
      </c>
      <c r="J376" s="22"/>
      <c r="K376" s="7"/>
      <c r="L376" s="23">
        <f>I376+J376+K376</f>
        <v>309700</v>
      </c>
      <c r="M376" s="22"/>
      <c r="N376" s="7"/>
      <c r="O376" s="210">
        <f>L376+M376+N376</f>
        <v>309700</v>
      </c>
      <c r="P376" s="220"/>
      <c r="Q376" s="221">
        <f>O376+P376</f>
        <v>309700</v>
      </c>
    </row>
    <row r="377" spans="1:17" ht="12.75" hidden="1">
      <c r="A377" s="81" t="s">
        <v>195</v>
      </c>
      <c r="B377" s="86"/>
      <c r="C377" s="139"/>
      <c r="D377" s="128"/>
      <c r="E377" s="96"/>
      <c r="F377" s="190">
        <f t="shared" si="123"/>
        <v>0</v>
      </c>
      <c r="G377" s="261"/>
      <c r="H377" s="7"/>
      <c r="I377" s="23">
        <f aca="true" t="shared" si="124" ref="I377:I404">F377+G377+H377</f>
        <v>0</v>
      </c>
      <c r="J377" s="22"/>
      <c r="K377" s="7"/>
      <c r="L377" s="23">
        <f aca="true" t="shared" si="125" ref="L377:L404">I377+J377+K377</f>
        <v>0</v>
      </c>
      <c r="M377" s="22"/>
      <c r="N377" s="7"/>
      <c r="O377" s="210">
        <f aca="true" t="shared" si="126" ref="O377:O404">L377+M377+N377</f>
        <v>0</v>
      </c>
      <c r="P377" s="220"/>
      <c r="Q377" s="221">
        <f aca="true" t="shared" si="127" ref="Q377:Q404">O377+P377</f>
        <v>0</v>
      </c>
    </row>
    <row r="378" spans="1:17" ht="12.75" hidden="1">
      <c r="A378" s="33" t="s">
        <v>138</v>
      </c>
      <c r="B378" s="80"/>
      <c r="C378" s="139"/>
      <c r="D378" s="128"/>
      <c r="E378" s="96"/>
      <c r="F378" s="190">
        <f t="shared" si="123"/>
        <v>0</v>
      </c>
      <c r="G378" s="261"/>
      <c r="H378" s="7"/>
      <c r="I378" s="23">
        <f t="shared" si="124"/>
        <v>0</v>
      </c>
      <c r="J378" s="22"/>
      <c r="K378" s="7"/>
      <c r="L378" s="23">
        <f t="shared" si="125"/>
        <v>0</v>
      </c>
      <c r="M378" s="22"/>
      <c r="N378" s="7"/>
      <c r="O378" s="210">
        <f t="shared" si="126"/>
        <v>0</v>
      </c>
      <c r="P378" s="220"/>
      <c r="Q378" s="221">
        <f t="shared" si="127"/>
        <v>0</v>
      </c>
    </row>
    <row r="379" spans="1:17" ht="12.75">
      <c r="A379" s="33" t="s">
        <v>154</v>
      </c>
      <c r="B379" s="80"/>
      <c r="C379" s="139">
        <v>70000</v>
      </c>
      <c r="D379" s="128">
        <f>-981+5192.63</f>
        <v>4211.63</v>
      </c>
      <c r="E379" s="96"/>
      <c r="F379" s="190">
        <f t="shared" si="123"/>
        <v>74211.63</v>
      </c>
      <c r="G379" s="261"/>
      <c r="H379" s="7"/>
      <c r="I379" s="23">
        <f t="shared" si="124"/>
        <v>74211.63</v>
      </c>
      <c r="J379" s="22"/>
      <c r="K379" s="7"/>
      <c r="L379" s="23">
        <f t="shared" si="125"/>
        <v>74211.63</v>
      </c>
      <c r="M379" s="22"/>
      <c r="N379" s="7"/>
      <c r="O379" s="210">
        <f t="shared" si="126"/>
        <v>74211.63</v>
      </c>
      <c r="P379" s="220"/>
      <c r="Q379" s="221">
        <f t="shared" si="127"/>
        <v>74211.63</v>
      </c>
    </row>
    <row r="380" spans="1:17" ht="12.75">
      <c r="A380" s="33" t="s">
        <v>51</v>
      </c>
      <c r="B380" s="80"/>
      <c r="C380" s="139">
        <v>14244</v>
      </c>
      <c r="D380" s="128">
        <f>-5500</f>
        <v>-5500</v>
      </c>
      <c r="E380" s="96"/>
      <c r="F380" s="190">
        <f t="shared" si="123"/>
        <v>8744</v>
      </c>
      <c r="G380" s="261"/>
      <c r="H380" s="7"/>
      <c r="I380" s="23">
        <f t="shared" si="124"/>
        <v>8744</v>
      </c>
      <c r="J380" s="22"/>
      <c r="K380" s="7"/>
      <c r="L380" s="23">
        <f t="shared" si="125"/>
        <v>8744</v>
      </c>
      <c r="M380" s="22"/>
      <c r="N380" s="7"/>
      <c r="O380" s="210">
        <f t="shared" si="126"/>
        <v>8744</v>
      </c>
      <c r="P380" s="220"/>
      <c r="Q380" s="221">
        <f t="shared" si="127"/>
        <v>8744</v>
      </c>
    </row>
    <row r="381" spans="1:17" ht="12.75" hidden="1">
      <c r="A381" s="33" t="s">
        <v>63</v>
      </c>
      <c r="B381" s="80"/>
      <c r="C381" s="139"/>
      <c r="D381" s="128"/>
      <c r="E381" s="96"/>
      <c r="F381" s="190">
        <f t="shared" si="123"/>
        <v>0</v>
      </c>
      <c r="G381" s="261"/>
      <c r="H381" s="7"/>
      <c r="I381" s="23">
        <f t="shared" si="124"/>
        <v>0</v>
      </c>
      <c r="J381" s="22"/>
      <c r="K381" s="7"/>
      <c r="L381" s="23">
        <f t="shared" si="125"/>
        <v>0</v>
      </c>
      <c r="M381" s="22"/>
      <c r="N381" s="7"/>
      <c r="O381" s="210">
        <f t="shared" si="126"/>
        <v>0</v>
      </c>
      <c r="P381" s="220"/>
      <c r="Q381" s="221">
        <f t="shared" si="127"/>
        <v>0</v>
      </c>
    </row>
    <row r="382" spans="1:17" ht="12.75" hidden="1">
      <c r="A382" s="33" t="s">
        <v>247</v>
      </c>
      <c r="B382" s="80">
        <v>13013</v>
      </c>
      <c r="C382" s="139"/>
      <c r="D382" s="128"/>
      <c r="E382" s="96"/>
      <c r="F382" s="190">
        <f t="shared" si="123"/>
        <v>0</v>
      </c>
      <c r="G382" s="261"/>
      <c r="H382" s="7"/>
      <c r="I382" s="23">
        <f t="shared" si="124"/>
        <v>0</v>
      </c>
      <c r="J382" s="22"/>
      <c r="K382" s="7"/>
      <c r="L382" s="23">
        <f t="shared" si="125"/>
        <v>0</v>
      </c>
      <c r="M382" s="22"/>
      <c r="N382" s="7"/>
      <c r="O382" s="210">
        <f t="shared" si="126"/>
        <v>0</v>
      </c>
      <c r="P382" s="220"/>
      <c r="Q382" s="221">
        <f t="shared" si="127"/>
        <v>0</v>
      </c>
    </row>
    <row r="383" spans="1:17" ht="12.75" hidden="1">
      <c r="A383" s="81" t="s">
        <v>303</v>
      </c>
      <c r="B383" s="80">
        <v>2178</v>
      </c>
      <c r="C383" s="139"/>
      <c r="D383" s="128"/>
      <c r="E383" s="96"/>
      <c r="F383" s="190">
        <f t="shared" si="123"/>
        <v>0</v>
      </c>
      <c r="G383" s="261"/>
      <c r="H383" s="7"/>
      <c r="I383" s="23">
        <f t="shared" si="124"/>
        <v>0</v>
      </c>
      <c r="J383" s="22"/>
      <c r="K383" s="7"/>
      <c r="L383" s="23">
        <f t="shared" si="125"/>
        <v>0</v>
      </c>
      <c r="M383" s="22"/>
      <c r="N383" s="7"/>
      <c r="O383" s="210">
        <f t="shared" si="126"/>
        <v>0</v>
      </c>
      <c r="P383" s="220"/>
      <c r="Q383" s="221">
        <f t="shared" si="127"/>
        <v>0</v>
      </c>
    </row>
    <row r="384" spans="1:17" ht="12.75" hidden="1">
      <c r="A384" s="33" t="s">
        <v>304</v>
      </c>
      <c r="B384" s="80">
        <v>2073</v>
      </c>
      <c r="C384" s="139"/>
      <c r="D384" s="128"/>
      <c r="E384" s="96"/>
      <c r="F384" s="190">
        <f t="shared" si="123"/>
        <v>0</v>
      </c>
      <c r="G384" s="261"/>
      <c r="H384" s="7"/>
      <c r="I384" s="23">
        <f t="shared" si="124"/>
        <v>0</v>
      </c>
      <c r="J384" s="22"/>
      <c r="K384" s="7"/>
      <c r="L384" s="23">
        <f t="shared" si="125"/>
        <v>0</v>
      </c>
      <c r="M384" s="22"/>
      <c r="N384" s="7"/>
      <c r="O384" s="210">
        <f t="shared" si="126"/>
        <v>0</v>
      </c>
      <c r="P384" s="220"/>
      <c r="Q384" s="221">
        <f t="shared" si="127"/>
        <v>0</v>
      </c>
    </row>
    <row r="385" spans="1:17" ht="12.75" hidden="1">
      <c r="A385" s="33" t="s">
        <v>300</v>
      </c>
      <c r="B385" s="80"/>
      <c r="C385" s="139"/>
      <c r="D385" s="128"/>
      <c r="E385" s="96"/>
      <c r="F385" s="190">
        <f t="shared" si="123"/>
        <v>0</v>
      </c>
      <c r="G385" s="261"/>
      <c r="H385" s="7"/>
      <c r="I385" s="23">
        <f t="shared" si="124"/>
        <v>0</v>
      </c>
      <c r="J385" s="22"/>
      <c r="K385" s="7"/>
      <c r="L385" s="23">
        <f t="shared" si="125"/>
        <v>0</v>
      </c>
      <c r="M385" s="22"/>
      <c r="N385" s="7"/>
      <c r="O385" s="210">
        <f t="shared" si="126"/>
        <v>0</v>
      </c>
      <c r="P385" s="220"/>
      <c r="Q385" s="221">
        <f t="shared" si="127"/>
        <v>0</v>
      </c>
    </row>
    <row r="386" spans="1:17" ht="12.75">
      <c r="A386" s="33" t="s">
        <v>339</v>
      </c>
      <c r="B386" s="80">
        <v>1230</v>
      </c>
      <c r="C386" s="139"/>
      <c r="D386" s="128">
        <f>3334.03</f>
        <v>3334.03</v>
      </c>
      <c r="E386" s="96"/>
      <c r="F386" s="190">
        <f t="shared" si="123"/>
        <v>3334.03</v>
      </c>
      <c r="G386" s="261"/>
      <c r="H386" s="7"/>
      <c r="I386" s="23">
        <f t="shared" si="124"/>
        <v>3334.03</v>
      </c>
      <c r="J386" s="22"/>
      <c r="K386" s="7"/>
      <c r="L386" s="23">
        <f t="shared" si="125"/>
        <v>3334.03</v>
      </c>
      <c r="M386" s="22"/>
      <c r="N386" s="7"/>
      <c r="O386" s="210">
        <f t="shared" si="126"/>
        <v>3334.03</v>
      </c>
      <c r="P386" s="220"/>
      <c r="Q386" s="221">
        <f t="shared" si="127"/>
        <v>3334.03</v>
      </c>
    </row>
    <row r="387" spans="1:17" ht="12.75">
      <c r="A387" s="33" t="s">
        <v>340</v>
      </c>
      <c r="B387" s="80">
        <v>1238</v>
      </c>
      <c r="C387" s="139"/>
      <c r="D387" s="128">
        <f>72093.82</f>
        <v>72093.82</v>
      </c>
      <c r="E387" s="96"/>
      <c r="F387" s="190">
        <f t="shared" si="123"/>
        <v>72093.82</v>
      </c>
      <c r="G387" s="261"/>
      <c r="H387" s="7"/>
      <c r="I387" s="23"/>
      <c r="J387" s="22"/>
      <c r="K387" s="7"/>
      <c r="L387" s="23"/>
      <c r="M387" s="22"/>
      <c r="N387" s="7"/>
      <c r="O387" s="210"/>
      <c r="P387" s="220"/>
      <c r="Q387" s="221"/>
    </row>
    <row r="388" spans="1:17" ht="12.75">
      <c r="A388" s="33" t="s">
        <v>318</v>
      </c>
      <c r="B388" s="80"/>
      <c r="C388" s="139"/>
      <c r="D388" s="128">
        <f>47237.11</f>
        <v>47237.11</v>
      </c>
      <c r="E388" s="96"/>
      <c r="F388" s="190">
        <f t="shared" si="123"/>
        <v>47237.11</v>
      </c>
      <c r="G388" s="261"/>
      <c r="H388" s="7"/>
      <c r="I388" s="23"/>
      <c r="J388" s="22"/>
      <c r="K388" s="7"/>
      <c r="L388" s="23"/>
      <c r="M388" s="22"/>
      <c r="N388" s="7"/>
      <c r="O388" s="210"/>
      <c r="P388" s="220"/>
      <c r="Q388" s="221"/>
    </row>
    <row r="389" spans="1:17" ht="12.75">
      <c r="A389" s="42" t="s">
        <v>319</v>
      </c>
      <c r="B389" s="80">
        <v>2090</v>
      </c>
      <c r="C389" s="139"/>
      <c r="D389" s="128">
        <f>5532.56</f>
        <v>5532.56</v>
      </c>
      <c r="E389" s="96"/>
      <c r="F389" s="190">
        <f t="shared" si="123"/>
        <v>5532.56</v>
      </c>
      <c r="G389" s="261"/>
      <c r="H389" s="7"/>
      <c r="I389" s="23"/>
      <c r="J389" s="22"/>
      <c r="K389" s="7"/>
      <c r="L389" s="23"/>
      <c r="M389" s="22"/>
      <c r="N389" s="7"/>
      <c r="O389" s="210"/>
      <c r="P389" s="220"/>
      <c r="Q389" s="221"/>
    </row>
    <row r="390" spans="1:17" ht="12.75">
      <c r="A390" s="33" t="s">
        <v>336</v>
      </c>
      <c r="B390" s="80">
        <v>1240</v>
      </c>
      <c r="C390" s="139"/>
      <c r="D390" s="128">
        <f>9050.52</f>
        <v>9050.52</v>
      </c>
      <c r="E390" s="96"/>
      <c r="F390" s="190">
        <f t="shared" si="123"/>
        <v>9050.52</v>
      </c>
      <c r="G390" s="261"/>
      <c r="H390" s="7"/>
      <c r="I390" s="23">
        <f t="shared" si="124"/>
        <v>9050.52</v>
      </c>
      <c r="J390" s="22"/>
      <c r="K390" s="7"/>
      <c r="L390" s="23">
        <f t="shared" si="125"/>
        <v>9050.52</v>
      </c>
      <c r="M390" s="22"/>
      <c r="N390" s="7"/>
      <c r="O390" s="210">
        <f t="shared" si="126"/>
        <v>9050.52</v>
      </c>
      <c r="P390" s="220"/>
      <c r="Q390" s="221">
        <f t="shared" si="127"/>
        <v>9050.52</v>
      </c>
    </row>
    <row r="391" spans="1:17" ht="12.75" hidden="1">
      <c r="A391" s="33" t="s">
        <v>311</v>
      </c>
      <c r="B391" s="80"/>
      <c r="C391" s="139"/>
      <c r="D391" s="128"/>
      <c r="E391" s="96"/>
      <c r="F391" s="190">
        <f t="shared" si="123"/>
        <v>0</v>
      </c>
      <c r="G391" s="261"/>
      <c r="H391" s="7"/>
      <c r="I391" s="23">
        <f t="shared" si="124"/>
        <v>0</v>
      </c>
      <c r="J391" s="22"/>
      <c r="K391" s="7"/>
      <c r="L391" s="23">
        <f t="shared" si="125"/>
        <v>0</v>
      </c>
      <c r="M391" s="22"/>
      <c r="N391" s="7"/>
      <c r="O391" s="210">
        <f t="shared" si="126"/>
        <v>0</v>
      </c>
      <c r="P391" s="220"/>
      <c r="Q391" s="221">
        <f t="shared" si="127"/>
        <v>0</v>
      </c>
    </row>
    <row r="392" spans="1:17" ht="12.75">
      <c r="A392" s="33" t="s">
        <v>337</v>
      </c>
      <c r="B392" s="80">
        <v>1235</v>
      </c>
      <c r="C392" s="139"/>
      <c r="D392" s="128">
        <f>5055.88</f>
        <v>5055.88</v>
      </c>
      <c r="E392" s="96"/>
      <c r="F392" s="190">
        <f t="shared" si="123"/>
        <v>5055.88</v>
      </c>
      <c r="G392" s="261"/>
      <c r="H392" s="7"/>
      <c r="I392" s="23"/>
      <c r="J392" s="22"/>
      <c r="K392" s="7"/>
      <c r="L392" s="23"/>
      <c r="M392" s="22"/>
      <c r="N392" s="7"/>
      <c r="O392" s="210"/>
      <c r="P392" s="220"/>
      <c r="Q392" s="221"/>
    </row>
    <row r="393" spans="1:17" ht="12.75">
      <c r="A393" s="33" t="s">
        <v>338</v>
      </c>
      <c r="B393" s="80">
        <v>1236</v>
      </c>
      <c r="C393" s="139"/>
      <c r="D393" s="128">
        <f>11477.99</f>
        <v>11477.99</v>
      </c>
      <c r="E393" s="96"/>
      <c r="F393" s="190">
        <f t="shared" si="123"/>
        <v>11477.99</v>
      </c>
      <c r="G393" s="261"/>
      <c r="H393" s="7"/>
      <c r="I393" s="23"/>
      <c r="J393" s="22"/>
      <c r="K393" s="7"/>
      <c r="L393" s="23"/>
      <c r="M393" s="22"/>
      <c r="N393" s="7"/>
      <c r="O393" s="210"/>
      <c r="P393" s="220"/>
      <c r="Q393" s="221"/>
    </row>
    <row r="394" spans="1:17" ht="12.75">
      <c r="A394" s="33" t="s">
        <v>341</v>
      </c>
      <c r="B394" s="80">
        <v>1237</v>
      </c>
      <c r="C394" s="139"/>
      <c r="D394" s="128">
        <f>2664.02</f>
        <v>2664.02</v>
      </c>
      <c r="E394" s="96"/>
      <c r="F394" s="190">
        <f t="shared" si="123"/>
        <v>2664.02</v>
      </c>
      <c r="G394" s="261"/>
      <c r="H394" s="7"/>
      <c r="I394" s="23"/>
      <c r="J394" s="22"/>
      <c r="K394" s="7"/>
      <c r="L394" s="23"/>
      <c r="M394" s="22"/>
      <c r="N394" s="7"/>
      <c r="O394" s="210"/>
      <c r="P394" s="220"/>
      <c r="Q394" s="221"/>
    </row>
    <row r="395" spans="1:17" ht="12.75">
      <c r="A395" s="33" t="s">
        <v>342</v>
      </c>
      <c r="B395" s="80">
        <v>1241</v>
      </c>
      <c r="C395" s="139"/>
      <c r="D395" s="128">
        <f>1533.66</f>
        <v>1533.66</v>
      </c>
      <c r="E395" s="96"/>
      <c r="F395" s="190">
        <f t="shared" si="123"/>
        <v>1533.66</v>
      </c>
      <c r="G395" s="261"/>
      <c r="H395" s="7"/>
      <c r="I395" s="23"/>
      <c r="J395" s="22"/>
      <c r="K395" s="7"/>
      <c r="L395" s="23"/>
      <c r="M395" s="22"/>
      <c r="N395" s="7"/>
      <c r="O395" s="210"/>
      <c r="P395" s="220"/>
      <c r="Q395" s="221"/>
    </row>
    <row r="396" spans="1:17" ht="12.75" hidden="1">
      <c r="A396" s="33" t="s">
        <v>305</v>
      </c>
      <c r="B396" s="80">
        <v>1233</v>
      </c>
      <c r="C396" s="139"/>
      <c r="D396" s="128"/>
      <c r="E396" s="96"/>
      <c r="F396" s="190">
        <f t="shared" si="123"/>
        <v>0</v>
      </c>
      <c r="G396" s="261"/>
      <c r="H396" s="7"/>
      <c r="I396" s="23">
        <f t="shared" si="124"/>
        <v>0</v>
      </c>
      <c r="J396" s="22"/>
      <c r="K396" s="7"/>
      <c r="L396" s="23">
        <f t="shared" si="125"/>
        <v>0</v>
      </c>
      <c r="M396" s="22"/>
      <c r="N396" s="7"/>
      <c r="O396" s="210">
        <f t="shared" si="126"/>
        <v>0</v>
      </c>
      <c r="P396" s="220"/>
      <c r="Q396" s="221">
        <f t="shared" si="127"/>
        <v>0</v>
      </c>
    </row>
    <row r="397" spans="1:17" ht="12.75">
      <c r="A397" s="81" t="s">
        <v>191</v>
      </c>
      <c r="B397" s="80">
        <v>13305</v>
      </c>
      <c r="C397" s="139"/>
      <c r="D397" s="128">
        <f>1355855.4</f>
        <v>1355855.4</v>
      </c>
      <c r="E397" s="96"/>
      <c r="F397" s="190">
        <f t="shared" si="123"/>
        <v>1355855.4</v>
      </c>
      <c r="G397" s="261"/>
      <c r="H397" s="7"/>
      <c r="I397" s="23">
        <f t="shared" si="124"/>
        <v>1355855.4</v>
      </c>
      <c r="J397" s="22"/>
      <c r="K397" s="7"/>
      <c r="L397" s="23">
        <f t="shared" si="125"/>
        <v>1355855.4</v>
      </c>
      <c r="M397" s="22"/>
      <c r="N397" s="7"/>
      <c r="O397" s="210">
        <f t="shared" si="126"/>
        <v>1355855.4</v>
      </c>
      <c r="P397" s="220"/>
      <c r="Q397" s="221">
        <f t="shared" si="127"/>
        <v>1355855.4</v>
      </c>
    </row>
    <row r="398" spans="1:17" ht="12.75">
      <c r="A398" s="33" t="s">
        <v>88</v>
      </c>
      <c r="B398" s="80">
        <v>13307</v>
      </c>
      <c r="C398" s="139"/>
      <c r="D398" s="128">
        <f>13300</f>
        <v>13300</v>
      </c>
      <c r="E398" s="96"/>
      <c r="F398" s="190">
        <f t="shared" si="123"/>
        <v>13300</v>
      </c>
      <c r="G398" s="261"/>
      <c r="H398" s="7"/>
      <c r="I398" s="23">
        <f t="shared" si="124"/>
        <v>13300</v>
      </c>
      <c r="J398" s="22"/>
      <c r="K398" s="7"/>
      <c r="L398" s="23">
        <f t="shared" si="125"/>
        <v>13300</v>
      </c>
      <c r="M398" s="22"/>
      <c r="N398" s="7"/>
      <c r="O398" s="210">
        <f t="shared" si="126"/>
        <v>13300</v>
      </c>
      <c r="P398" s="220"/>
      <c r="Q398" s="221">
        <f t="shared" si="127"/>
        <v>13300</v>
      </c>
    </row>
    <row r="399" spans="1:17" ht="12.75" hidden="1">
      <c r="A399" s="33" t="s">
        <v>137</v>
      </c>
      <c r="B399" s="80">
        <v>14032</v>
      </c>
      <c r="C399" s="139"/>
      <c r="D399" s="128"/>
      <c r="E399" s="96"/>
      <c r="F399" s="190">
        <f t="shared" si="123"/>
        <v>0</v>
      </c>
      <c r="G399" s="261"/>
      <c r="H399" s="7"/>
      <c r="I399" s="23">
        <f t="shared" si="124"/>
        <v>0</v>
      </c>
      <c r="J399" s="22"/>
      <c r="K399" s="7"/>
      <c r="L399" s="23">
        <f t="shared" si="125"/>
        <v>0</v>
      </c>
      <c r="M399" s="22"/>
      <c r="N399" s="7"/>
      <c r="O399" s="210">
        <f t="shared" si="126"/>
        <v>0</v>
      </c>
      <c r="P399" s="220"/>
      <c r="Q399" s="221">
        <f t="shared" si="127"/>
        <v>0</v>
      </c>
    </row>
    <row r="400" spans="1:17" ht="12.75" hidden="1">
      <c r="A400" s="81" t="s">
        <v>306</v>
      </c>
      <c r="B400" s="80">
        <v>13351</v>
      </c>
      <c r="C400" s="139"/>
      <c r="D400" s="128"/>
      <c r="E400" s="96"/>
      <c r="F400" s="190">
        <f t="shared" si="123"/>
        <v>0</v>
      </c>
      <c r="G400" s="261"/>
      <c r="H400" s="7"/>
      <c r="I400" s="23">
        <f t="shared" si="124"/>
        <v>0</v>
      </c>
      <c r="J400" s="22"/>
      <c r="K400" s="7"/>
      <c r="L400" s="23">
        <f t="shared" si="125"/>
        <v>0</v>
      </c>
      <c r="M400" s="22"/>
      <c r="N400" s="7"/>
      <c r="O400" s="210">
        <f t="shared" si="126"/>
        <v>0</v>
      </c>
      <c r="P400" s="220"/>
      <c r="Q400" s="221">
        <f t="shared" si="127"/>
        <v>0</v>
      </c>
    </row>
    <row r="401" spans="1:17" ht="12.75" hidden="1">
      <c r="A401" s="53" t="s">
        <v>293</v>
      </c>
      <c r="B401" s="80">
        <v>13351</v>
      </c>
      <c r="C401" s="139"/>
      <c r="D401" s="128"/>
      <c r="E401" s="96"/>
      <c r="F401" s="190">
        <f t="shared" si="123"/>
        <v>0</v>
      </c>
      <c r="G401" s="261"/>
      <c r="H401" s="7"/>
      <c r="I401" s="23">
        <f t="shared" si="124"/>
        <v>0</v>
      </c>
      <c r="J401" s="22"/>
      <c r="K401" s="7"/>
      <c r="L401" s="23">
        <f t="shared" si="125"/>
        <v>0</v>
      </c>
      <c r="M401" s="22"/>
      <c r="N401" s="7"/>
      <c r="O401" s="210">
        <f t="shared" si="126"/>
        <v>0</v>
      </c>
      <c r="P401" s="220"/>
      <c r="Q401" s="221">
        <f t="shared" si="127"/>
        <v>0</v>
      </c>
    </row>
    <row r="402" spans="1:17" ht="12.75" hidden="1">
      <c r="A402" s="81" t="s">
        <v>144</v>
      </c>
      <c r="B402" s="80">
        <v>4359</v>
      </c>
      <c r="C402" s="139"/>
      <c r="D402" s="128"/>
      <c r="E402" s="96"/>
      <c r="F402" s="190">
        <f t="shared" si="123"/>
        <v>0</v>
      </c>
      <c r="G402" s="261"/>
      <c r="H402" s="7"/>
      <c r="I402" s="23">
        <f t="shared" si="124"/>
        <v>0</v>
      </c>
      <c r="J402" s="22"/>
      <c r="K402" s="7"/>
      <c r="L402" s="23">
        <f t="shared" si="125"/>
        <v>0</v>
      </c>
      <c r="M402" s="22"/>
      <c r="N402" s="7"/>
      <c r="O402" s="210">
        <f t="shared" si="126"/>
        <v>0</v>
      </c>
      <c r="P402" s="220"/>
      <c r="Q402" s="221">
        <f t="shared" si="127"/>
        <v>0</v>
      </c>
    </row>
    <row r="403" spans="1:17" ht="12.75" hidden="1">
      <c r="A403" s="81" t="s">
        <v>279</v>
      </c>
      <c r="B403" s="80"/>
      <c r="C403" s="139"/>
      <c r="D403" s="128"/>
      <c r="E403" s="96"/>
      <c r="F403" s="190">
        <f t="shared" si="123"/>
        <v>0</v>
      </c>
      <c r="G403" s="261"/>
      <c r="H403" s="7"/>
      <c r="I403" s="23">
        <f t="shared" si="124"/>
        <v>0</v>
      </c>
      <c r="J403" s="22"/>
      <c r="K403" s="7"/>
      <c r="L403" s="23">
        <f t="shared" si="125"/>
        <v>0</v>
      </c>
      <c r="M403" s="22"/>
      <c r="N403" s="7"/>
      <c r="O403" s="210">
        <f t="shared" si="126"/>
        <v>0</v>
      </c>
      <c r="P403" s="220"/>
      <c r="Q403" s="221">
        <f t="shared" si="127"/>
        <v>0</v>
      </c>
    </row>
    <row r="404" spans="1:17" ht="12.75">
      <c r="A404" s="33" t="s">
        <v>72</v>
      </c>
      <c r="B404" s="80"/>
      <c r="C404" s="139">
        <v>490</v>
      </c>
      <c r="D404" s="128">
        <f>17130+34500-34500+5500+981+213.31+2879.42+2070.43+747.3+2486.73+5444.59+940.14+857.63</f>
        <v>39250.549999999996</v>
      </c>
      <c r="E404" s="96"/>
      <c r="F404" s="190">
        <f t="shared" si="123"/>
        <v>39740.549999999996</v>
      </c>
      <c r="G404" s="261"/>
      <c r="H404" s="7"/>
      <c r="I404" s="23">
        <f t="shared" si="124"/>
        <v>39740.549999999996</v>
      </c>
      <c r="J404" s="22"/>
      <c r="K404" s="7"/>
      <c r="L404" s="23">
        <f t="shared" si="125"/>
        <v>39740.549999999996</v>
      </c>
      <c r="M404" s="22"/>
      <c r="N404" s="7"/>
      <c r="O404" s="210">
        <f t="shared" si="126"/>
        <v>39740.549999999996</v>
      </c>
      <c r="P404" s="220"/>
      <c r="Q404" s="221">
        <f t="shared" si="127"/>
        <v>39740.549999999996</v>
      </c>
    </row>
    <row r="405" spans="1:17" ht="12.75">
      <c r="A405" s="39" t="s">
        <v>53</v>
      </c>
      <c r="B405" s="84"/>
      <c r="C405" s="143">
        <f>SUM(C407:C409)</f>
        <v>0</v>
      </c>
      <c r="D405" s="131">
        <f aca="true" t="shared" si="128" ref="D405:Q405">SUM(D407:D409)</f>
        <v>14320.5</v>
      </c>
      <c r="E405" s="103">
        <f t="shared" si="128"/>
        <v>0</v>
      </c>
      <c r="F405" s="193">
        <f t="shared" si="128"/>
        <v>14320.5</v>
      </c>
      <c r="G405" s="227">
        <f t="shared" si="128"/>
        <v>0</v>
      </c>
      <c r="H405" s="103">
        <f t="shared" si="128"/>
        <v>0</v>
      </c>
      <c r="I405" s="166">
        <f t="shared" si="128"/>
        <v>14320.5</v>
      </c>
      <c r="J405" s="102">
        <f t="shared" si="128"/>
        <v>0</v>
      </c>
      <c r="K405" s="103">
        <f t="shared" si="128"/>
        <v>0</v>
      </c>
      <c r="L405" s="166">
        <f t="shared" si="128"/>
        <v>14320.5</v>
      </c>
      <c r="M405" s="102">
        <f t="shared" si="128"/>
        <v>0</v>
      </c>
      <c r="N405" s="103">
        <f t="shared" si="128"/>
        <v>0</v>
      </c>
      <c r="O405" s="193">
        <f t="shared" si="128"/>
        <v>14320.5</v>
      </c>
      <c r="P405" s="227">
        <f t="shared" si="128"/>
        <v>0</v>
      </c>
      <c r="Q405" s="193">
        <f t="shared" si="128"/>
        <v>14320.5</v>
      </c>
    </row>
    <row r="406" spans="1:17" ht="12.75">
      <c r="A406" s="35" t="s">
        <v>26</v>
      </c>
      <c r="B406" s="80"/>
      <c r="C406" s="139"/>
      <c r="D406" s="128"/>
      <c r="E406" s="96"/>
      <c r="F406" s="190"/>
      <c r="G406" s="261"/>
      <c r="H406" s="7"/>
      <c r="I406" s="23"/>
      <c r="J406" s="22"/>
      <c r="K406" s="7"/>
      <c r="L406" s="23"/>
      <c r="M406" s="22"/>
      <c r="N406" s="7"/>
      <c r="O406" s="210"/>
      <c r="P406" s="220"/>
      <c r="Q406" s="221"/>
    </row>
    <row r="407" spans="1:17" ht="12.75" hidden="1">
      <c r="A407" s="33" t="s">
        <v>80</v>
      </c>
      <c r="B407" s="80"/>
      <c r="C407" s="139"/>
      <c r="D407" s="128"/>
      <c r="E407" s="96"/>
      <c r="F407" s="190">
        <f>C407+D407+E407</f>
        <v>0</v>
      </c>
      <c r="G407" s="261"/>
      <c r="H407" s="7"/>
      <c r="I407" s="23">
        <f>F407+G407+H407</f>
        <v>0</v>
      </c>
      <c r="J407" s="22"/>
      <c r="K407" s="7"/>
      <c r="L407" s="23">
        <f>I407+J407+K407</f>
        <v>0</v>
      </c>
      <c r="M407" s="22"/>
      <c r="N407" s="7"/>
      <c r="O407" s="210">
        <f>L407+M407+N407</f>
        <v>0</v>
      </c>
      <c r="P407" s="220"/>
      <c r="Q407" s="221">
        <f>O407+P407</f>
        <v>0</v>
      </c>
    </row>
    <row r="408" spans="1:17" ht="12.75">
      <c r="A408" s="36" t="s">
        <v>54</v>
      </c>
      <c r="B408" s="83"/>
      <c r="C408" s="253"/>
      <c r="D408" s="244">
        <f>14320.5</f>
        <v>14320.5</v>
      </c>
      <c r="E408" s="104"/>
      <c r="F408" s="195">
        <f>C408+D408+E408</f>
        <v>14320.5</v>
      </c>
      <c r="G408" s="261"/>
      <c r="H408" s="7"/>
      <c r="I408" s="23">
        <f>F408+G408+H408</f>
        <v>14320.5</v>
      </c>
      <c r="J408" s="22"/>
      <c r="K408" s="7"/>
      <c r="L408" s="23">
        <f>I408+J408+K408</f>
        <v>14320.5</v>
      </c>
      <c r="M408" s="22"/>
      <c r="N408" s="7"/>
      <c r="O408" s="210">
        <f>L408+M408+N408</f>
        <v>14320.5</v>
      </c>
      <c r="P408" s="220"/>
      <c r="Q408" s="221">
        <f>O408+P408</f>
        <v>14320.5</v>
      </c>
    </row>
    <row r="409" spans="1:17" ht="12.75" hidden="1">
      <c r="A409" s="36" t="s">
        <v>72</v>
      </c>
      <c r="B409" s="83"/>
      <c r="C409" s="253"/>
      <c r="D409" s="244"/>
      <c r="E409" s="104"/>
      <c r="F409" s="195">
        <f>C409+D409+E409</f>
        <v>0</v>
      </c>
      <c r="G409" s="263"/>
      <c r="H409" s="10"/>
      <c r="I409" s="27">
        <f>F409+G409+H409</f>
        <v>0</v>
      </c>
      <c r="J409" s="26"/>
      <c r="K409" s="10"/>
      <c r="L409" s="27">
        <f>I409+J409+K409</f>
        <v>0</v>
      </c>
      <c r="M409" s="26"/>
      <c r="N409" s="10"/>
      <c r="O409" s="213">
        <f>L409+M409+N409</f>
        <v>0</v>
      </c>
      <c r="P409" s="229"/>
      <c r="Q409" s="230">
        <f>O409+P409</f>
        <v>0</v>
      </c>
    </row>
    <row r="410" spans="1:17" ht="12.75">
      <c r="A410" s="34" t="s">
        <v>289</v>
      </c>
      <c r="B410" s="84"/>
      <c r="C410" s="138">
        <f>C411+C422</f>
        <v>9532.35</v>
      </c>
      <c r="D410" s="117">
        <f aca="true" t="shared" si="129" ref="D410:Q410">D411+D422</f>
        <v>14285.8</v>
      </c>
      <c r="E410" s="95">
        <f t="shared" si="129"/>
        <v>0</v>
      </c>
      <c r="F410" s="189">
        <f t="shared" si="129"/>
        <v>23818.149999999998</v>
      </c>
      <c r="G410" s="219">
        <f t="shared" si="129"/>
        <v>0</v>
      </c>
      <c r="H410" s="95">
        <f t="shared" si="129"/>
        <v>0</v>
      </c>
      <c r="I410" s="162">
        <f t="shared" si="129"/>
        <v>23501.329999999998</v>
      </c>
      <c r="J410" s="94">
        <f t="shared" si="129"/>
        <v>0</v>
      </c>
      <c r="K410" s="95">
        <f t="shared" si="129"/>
        <v>0</v>
      </c>
      <c r="L410" s="162">
        <f t="shared" si="129"/>
        <v>23501.329999999998</v>
      </c>
      <c r="M410" s="94">
        <f t="shared" si="129"/>
        <v>0</v>
      </c>
      <c r="N410" s="95">
        <f t="shared" si="129"/>
        <v>0</v>
      </c>
      <c r="O410" s="189">
        <f t="shared" si="129"/>
        <v>23501.329999999998</v>
      </c>
      <c r="P410" s="219">
        <f t="shared" si="129"/>
        <v>0</v>
      </c>
      <c r="Q410" s="189">
        <f t="shared" si="129"/>
        <v>23501.329999999998</v>
      </c>
    </row>
    <row r="411" spans="1:17" ht="12.75">
      <c r="A411" s="39" t="s">
        <v>49</v>
      </c>
      <c r="B411" s="84"/>
      <c r="C411" s="143">
        <f>SUM(C413:C421)</f>
        <v>9532.35</v>
      </c>
      <c r="D411" s="131">
        <f aca="true" t="shared" si="130" ref="D411:Q411">SUM(D413:D421)</f>
        <v>14285.8</v>
      </c>
      <c r="E411" s="103">
        <f t="shared" si="130"/>
        <v>0</v>
      </c>
      <c r="F411" s="193">
        <f t="shared" si="130"/>
        <v>23818.149999999998</v>
      </c>
      <c r="G411" s="227">
        <f t="shared" si="130"/>
        <v>0</v>
      </c>
      <c r="H411" s="103">
        <f t="shared" si="130"/>
        <v>0</v>
      </c>
      <c r="I411" s="166">
        <f t="shared" si="130"/>
        <v>23501.329999999998</v>
      </c>
      <c r="J411" s="102">
        <f t="shared" si="130"/>
        <v>0</v>
      </c>
      <c r="K411" s="103">
        <f t="shared" si="130"/>
        <v>0</v>
      </c>
      <c r="L411" s="166">
        <f t="shared" si="130"/>
        <v>23501.329999999998</v>
      </c>
      <c r="M411" s="102">
        <f t="shared" si="130"/>
        <v>0</v>
      </c>
      <c r="N411" s="103">
        <f t="shared" si="130"/>
        <v>0</v>
      </c>
      <c r="O411" s="193">
        <f t="shared" si="130"/>
        <v>23501.329999999998</v>
      </c>
      <c r="P411" s="227">
        <f t="shared" si="130"/>
        <v>0</v>
      </c>
      <c r="Q411" s="193">
        <f t="shared" si="130"/>
        <v>23501.329999999998</v>
      </c>
    </row>
    <row r="412" spans="1:17" ht="12.75">
      <c r="A412" s="35" t="s">
        <v>26</v>
      </c>
      <c r="B412" s="80"/>
      <c r="C412" s="139"/>
      <c r="D412" s="128"/>
      <c r="E412" s="96"/>
      <c r="F412" s="189"/>
      <c r="G412" s="261"/>
      <c r="H412" s="7"/>
      <c r="I412" s="21"/>
      <c r="J412" s="22"/>
      <c r="K412" s="7"/>
      <c r="L412" s="21"/>
      <c r="M412" s="22"/>
      <c r="N412" s="7"/>
      <c r="O412" s="209"/>
      <c r="P412" s="220"/>
      <c r="Q412" s="221"/>
    </row>
    <row r="413" spans="1:17" ht="12.75">
      <c r="A413" s="33" t="s">
        <v>51</v>
      </c>
      <c r="B413" s="80"/>
      <c r="C413" s="139">
        <v>9532.35</v>
      </c>
      <c r="D413" s="128">
        <f>10000+1123</f>
        <v>11123</v>
      </c>
      <c r="E413" s="96"/>
      <c r="F413" s="190">
        <f aca="true" t="shared" si="131" ref="F413:F421">C413+D413+E413</f>
        <v>20655.35</v>
      </c>
      <c r="G413" s="261"/>
      <c r="H413" s="7"/>
      <c r="I413" s="23">
        <f>F413+G413+H413</f>
        <v>20655.35</v>
      </c>
      <c r="J413" s="22"/>
      <c r="K413" s="7"/>
      <c r="L413" s="23">
        <f>I413+J413+K413</f>
        <v>20655.35</v>
      </c>
      <c r="M413" s="22"/>
      <c r="N413" s="7"/>
      <c r="O413" s="210">
        <f>L413+M413+N413</f>
        <v>20655.35</v>
      </c>
      <c r="P413" s="220"/>
      <c r="Q413" s="221">
        <f>O413+P413</f>
        <v>20655.35</v>
      </c>
    </row>
    <row r="414" spans="1:17" ht="12.75">
      <c r="A414" s="33" t="s">
        <v>72</v>
      </c>
      <c r="B414" s="80"/>
      <c r="C414" s="139"/>
      <c r="D414" s="246">
        <f>400+2445.98</f>
        <v>2845.98</v>
      </c>
      <c r="E414" s="96"/>
      <c r="F414" s="190">
        <f t="shared" si="131"/>
        <v>2845.98</v>
      </c>
      <c r="G414" s="261"/>
      <c r="H414" s="7"/>
      <c r="I414" s="23">
        <f aca="true" t="shared" si="132" ref="I414:I421">F414+G414+H414</f>
        <v>2845.98</v>
      </c>
      <c r="J414" s="22"/>
      <c r="K414" s="7"/>
      <c r="L414" s="23">
        <f aca="true" t="shared" si="133" ref="L414:L421">I414+J414+K414</f>
        <v>2845.98</v>
      </c>
      <c r="M414" s="22"/>
      <c r="N414" s="7"/>
      <c r="O414" s="210">
        <f aca="true" t="shared" si="134" ref="O414:O421">L414+M414+N414</f>
        <v>2845.98</v>
      </c>
      <c r="P414" s="220"/>
      <c r="Q414" s="221">
        <f aca="true" t="shared" si="135" ref="Q414:Q421">O414+P414</f>
        <v>2845.98</v>
      </c>
    </row>
    <row r="415" spans="1:17" ht="12.75" hidden="1">
      <c r="A415" s="33" t="s">
        <v>63</v>
      </c>
      <c r="B415" s="80"/>
      <c r="C415" s="139"/>
      <c r="D415" s="128"/>
      <c r="E415" s="96"/>
      <c r="F415" s="190">
        <f t="shared" si="131"/>
        <v>0</v>
      </c>
      <c r="G415" s="261"/>
      <c r="H415" s="7"/>
      <c r="I415" s="23">
        <f t="shared" si="132"/>
        <v>0</v>
      </c>
      <c r="J415" s="29"/>
      <c r="K415" s="7"/>
      <c r="L415" s="23">
        <f t="shared" si="133"/>
        <v>0</v>
      </c>
      <c r="M415" s="22"/>
      <c r="N415" s="7"/>
      <c r="O415" s="210">
        <f t="shared" si="134"/>
        <v>0</v>
      </c>
      <c r="P415" s="220"/>
      <c r="Q415" s="221">
        <f t="shared" si="135"/>
        <v>0</v>
      </c>
    </row>
    <row r="416" spans="1:17" ht="12.75" hidden="1">
      <c r="A416" s="33" t="s">
        <v>150</v>
      </c>
      <c r="B416" s="80"/>
      <c r="C416" s="139"/>
      <c r="D416" s="128"/>
      <c r="E416" s="96"/>
      <c r="F416" s="190">
        <f t="shared" si="131"/>
        <v>0</v>
      </c>
      <c r="G416" s="261"/>
      <c r="H416" s="7"/>
      <c r="I416" s="23">
        <f t="shared" si="132"/>
        <v>0</v>
      </c>
      <c r="J416" s="29"/>
      <c r="K416" s="7"/>
      <c r="L416" s="23">
        <f t="shared" si="133"/>
        <v>0</v>
      </c>
      <c r="M416" s="22"/>
      <c r="N416" s="7"/>
      <c r="O416" s="210">
        <f t="shared" si="134"/>
        <v>0</v>
      </c>
      <c r="P416" s="220"/>
      <c r="Q416" s="221">
        <f t="shared" si="135"/>
        <v>0</v>
      </c>
    </row>
    <row r="417" spans="1:17" ht="12.75">
      <c r="A417" s="36" t="s">
        <v>348</v>
      </c>
      <c r="B417" s="83"/>
      <c r="C417" s="253"/>
      <c r="D417" s="244">
        <f>316.82</f>
        <v>316.82</v>
      </c>
      <c r="E417" s="104"/>
      <c r="F417" s="195">
        <f t="shared" si="131"/>
        <v>316.82</v>
      </c>
      <c r="G417" s="261"/>
      <c r="H417" s="7"/>
      <c r="I417" s="23"/>
      <c r="J417" s="29"/>
      <c r="K417" s="7"/>
      <c r="L417" s="23"/>
      <c r="M417" s="22"/>
      <c r="N417" s="7"/>
      <c r="O417" s="210"/>
      <c r="P417" s="220"/>
      <c r="Q417" s="221"/>
    </row>
    <row r="418" spans="1:17" ht="13.5" customHeight="1" hidden="1">
      <c r="A418" s="33" t="s">
        <v>271</v>
      </c>
      <c r="B418" s="80">
        <v>14034</v>
      </c>
      <c r="C418" s="139"/>
      <c r="D418" s="128"/>
      <c r="E418" s="96"/>
      <c r="F418" s="190">
        <f t="shared" si="131"/>
        <v>0</v>
      </c>
      <c r="G418" s="261"/>
      <c r="H418" s="7"/>
      <c r="I418" s="23">
        <f t="shared" si="132"/>
        <v>0</v>
      </c>
      <c r="J418" s="29"/>
      <c r="K418" s="7"/>
      <c r="L418" s="23">
        <f t="shared" si="133"/>
        <v>0</v>
      </c>
      <c r="M418" s="22"/>
      <c r="N418" s="7"/>
      <c r="O418" s="210">
        <f t="shared" si="134"/>
        <v>0</v>
      </c>
      <c r="P418" s="220"/>
      <c r="Q418" s="221">
        <f t="shared" si="135"/>
        <v>0</v>
      </c>
    </row>
    <row r="419" spans="1:17" ht="12.75" hidden="1">
      <c r="A419" s="33" t="s">
        <v>238</v>
      </c>
      <c r="B419" s="80">
        <v>98035</v>
      </c>
      <c r="C419" s="139"/>
      <c r="D419" s="128"/>
      <c r="E419" s="96"/>
      <c r="F419" s="190">
        <f t="shared" si="131"/>
        <v>0</v>
      </c>
      <c r="G419" s="261"/>
      <c r="H419" s="7"/>
      <c r="I419" s="23">
        <f t="shared" si="132"/>
        <v>0</v>
      </c>
      <c r="J419" s="29"/>
      <c r="K419" s="7"/>
      <c r="L419" s="23">
        <f t="shared" si="133"/>
        <v>0</v>
      </c>
      <c r="M419" s="22"/>
      <c r="N419" s="7"/>
      <c r="O419" s="210">
        <f t="shared" si="134"/>
        <v>0</v>
      </c>
      <c r="P419" s="220"/>
      <c r="Q419" s="221">
        <f t="shared" si="135"/>
        <v>0</v>
      </c>
    </row>
    <row r="420" spans="1:17" ht="12.75" hidden="1">
      <c r="A420" s="33" t="s">
        <v>218</v>
      </c>
      <c r="B420" s="127" t="s">
        <v>219</v>
      </c>
      <c r="C420" s="139"/>
      <c r="D420" s="128"/>
      <c r="E420" s="96"/>
      <c r="F420" s="190">
        <f t="shared" si="131"/>
        <v>0</v>
      </c>
      <c r="G420" s="261"/>
      <c r="H420" s="7"/>
      <c r="I420" s="23">
        <f t="shared" si="132"/>
        <v>0</v>
      </c>
      <c r="J420" s="29"/>
      <c r="K420" s="7"/>
      <c r="L420" s="23">
        <f t="shared" si="133"/>
        <v>0</v>
      </c>
      <c r="M420" s="22"/>
      <c r="N420" s="7"/>
      <c r="O420" s="210">
        <f t="shared" si="134"/>
        <v>0</v>
      </c>
      <c r="P420" s="220"/>
      <c r="Q420" s="221">
        <f t="shared" si="135"/>
        <v>0</v>
      </c>
    </row>
    <row r="421" spans="1:17" ht="12.75" hidden="1">
      <c r="A421" s="33" t="s">
        <v>217</v>
      </c>
      <c r="B421" s="80">
        <v>33064</v>
      </c>
      <c r="C421" s="139"/>
      <c r="D421" s="128"/>
      <c r="E421" s="96"/>
      <c r="F421" s="190">
        <f t="shared" si="131"/>
        <v>0</v>
      </c>
      <c r="G421" s="261"/>
      <c r="H421" s="7"/>
      <c r="I421" s="23">
        <f t="shared" si="132"/>
        <v>0</v>
      </c>
      <c r="J421" s="29"/>
      <c r="K421" s="7"/>
      <c r="L421" s="23">
        <f t="shared" si="133"/>
        <v>0</v>
      </c>
      <c r="M421" s="22"/>
      <c r="N421" s="7"/>
      <c r="O421" s="210">
        <f t="shared" si="134"/>
        <v>0</v>
      </c>
      <c r="P421" s="220"/>
      <c r="Q421" s="221">
        <f t="shared" si="135"/>
        <v>0</v>
      </c>
    </row>
    <row r="422" spans="1:17" ht="12.75" hidden="1">
      <c r="A422" s="39" t="s">
        <v>53</v>
      </c>
      <c r="B422" s="84"/>
      <c r="C422" s="143">
        <f>SUM(C424:C430)</f>
        <v>0</v>
      </c>
      <c r="D422" s="131">
        <f aca="true" t="shared" si="136" ref="D422:Q422">SUM(D424:D430)</f>
        <v>0</v>
      </c>
      <c r="E422" s="103">
        <f t="shared" si="136"/>
        <v>0</v>
      </c>
      <c r="F422" s="193">
        <f t="shared" si="136"/>
        <v>0</v>
      </c>
      <c r="G422" s="227">
        <f t="shared" si="136"/>
        <v>0</v>
      </c>
      <c r="H422" s="103">
        <f t="shared" si="136"/>
        <v>0</v>
      </c>
      <c r="I422" s="166">
        <f t="shared" si="136"/>
        <v>0</v>
      </c>
      <c r="J422" s="102">
        <f t="shared" si="136"/>
        <v>0</v>
      </c>
      <c r="K422" s="103">
        <f t="shared" si="136"/>
        <v>0</v>
      </c>
      <c r="L422" s="166">
        <f t="shared" si="136"/>
        <v>0</v>
      </c>
      <c r="M422" s="102">
        <f t="shared" si="136"/>
        <v>0</v>
      </c>
      <c r="N422" s="103">
        <f t="shared" si="136"/>
        <v>0</v>
      </c>
      <c r="O422" s="193">
        <f t="shared" si="136"/>
        <v>0</v>
      </c>
      <c r="P422" s="227">
        <f t="shared" si="136"/>
        <v>0</v>
      </c>
      <c r="Q422" s="193">
        <f t="shared" si="136"/>
        <v>0</v>
      </c>
    </row>
    <row r="423" spans="1:17" ht="12.75" hidden="1">
      <c r="A423" s="35" t="s">
        <v>26</v>
      </c>
      <c r="B423" s="80"/>
      <c r="C423" s="139"/>
      <c r="D423" s="128"/>
      <c r="E423" s="96"/>
      <c r="F423" s="190"/>
      <c r="G423" s="261"/>
      <c r="H423" s="7"/>
      <c r="I423" s="23"/>
      <c r="J423" s="22"/>
      <c r="K423" s="7"/>
      <c r="L423" s="23"/>
      <c r="M423" s="22"/>
      <c r="N423" s="7"/>
      <c r="O423" s="210"/>
      <c r="P423" s="220"/>
      <c r="Q423" s="221"/>
    </row>
    <row r="424" spans="1:17" ht="12.75" hidden="1">
      <c r="A424" s="37" t="s">
        <v>65</v>
      </c>
      <c r="B424" s="80"/>
      <c r="C424" s="139"/>
      <c r="D424" s="128"/>
      <c r="E424" s="96"/>
      <c r="F424" s="190">
        <f aca="true" t="shared" si="137" ref="F424:F430">C424+D424+E424</f>
        <v>0</v>
      </c>
      <c r="G424" s="261"/>
      <c r="H424" s="7"/>
      <c r="I424" s="23">
        <f aca="true" t="shared" si="138" ref="I424:I430">F424+G424+H424</f>
        <v>0</v>
      </c>
      <c r="J424" s="22"/>
      <c r="K424" s="7"/>
      <c r="L424" s="23">
        <f aca="true" t="shared" si="139" ref="L424:L430">I424+J424+K424</f>
        <v>0</v>
      </c>
      <c r="M424" s="22"/>
      <c r="N424" s="7"/>
      <c r="O424" s="210">
        <f aca="true" t="shared" si="140" ref="O424:O430">L424+M424+N424</f>
        <v>0</v>
      </c>
      <c r="P424" s="220"/>
      <c r="Q424" s="221">
        <f aca="true" t="shared" si="141" ref="Q424:Q430">O424+P424</f>
        <v>0</v>
      </c>
    </row>
    <row r="425" spans="1:17" ht="12.75" hidden="1">
      <c r="A425" s="37" t="s">
        <v>179</v>
      </c>
      <c r="B425" s="80"/>
      <c r="C425" s="139"/>
      <c r="D425" s="128"/>
      <c r="E425" s="96"/>
      <c r="F425" s="190">
        <f t="shared" si="137"/>
        <v>0</v>
      </c>
      <c r="G425" s="261"/>
      <c r="H425" s="7"/>
      <c r="I425" s="23">
        <f t="shared" si="138"/>
        <v>0</v>
      </c>
      <c r="J425" s="22"/>
      <c r="K425" s="7"/>
      <c r="L425" s="23">
        <f t="shared" si="139"/>
        <v>0</v>
      </c>
      <c r="M425" s="22"/>
      <c r="N425" s="7"/>
      <c r="O425" s="210">
        <f t="shared" si="140"/>
        <v>0</v>
      </c>
      <c r="P425" s="220"/>
      <c r="Q425" s="221">
        <f t="shared" si="141"/>
        <v>0</v>
      </c>
    </row>
    <row r="426" spans="1:17" ht="12.75" hidden="1">
      <c r="A426" s="37" t="s">
        <v>180</v>
      </c>
      <c r="B426" s="80"/>
      <c r="C426" s="139"/>
      <c r="D426" s="128"/>
      <c r="E426" s="96"/>
      <c r="F426" s="190">
        <f t="shared" si="137"/>
        <v>0</v>
      </c>
      <c r="G426" s="261"/>
      <c r="H426" s="7"/>
      <c r="I426" s="23">
        <f t="shared" si="138"/>
        <v>0</v>
      </c>
      <c r="J426" s="22"/>
      <c r="K426" s="7"/>
      <c r="L426" s="23">
        <f t="shared" si="139"/>
        <v>0</v>
      </c>
      <c r="M426" s="22"/>
      <c r="N426" s="7"/>
      <c r="O426" s="210">
        <f t="shared" si="140"/>
        <v>0</v>
      </c>
      <c r="P426" s="220"/>
      <c r="Q426" s="221">
        <f t="shared" si="141"/>
        <v>0</v>
      </c>
    </row>
    <row r="427" spans="1:17" ht="12.75" hidden="1">
      <c r="A427" s="37" t="s">
        <v>171</v>
      </c>
      <c r="B427" s="80"/>
      <c r="C427" s="139"/>
      <c r="D427" s="128"/>
      <c r="E427" s="96"/>
      <c r="F427" s="190">
        <f t="shared" si="137"/>
        <v>0</v>
      </c>
      <c r="G427" s="261"/>
      <c r="H427" s="7"/>
      <c r="I427" s="23">
        <f t="shared" si="138"/>
        <v>0</v>
      </c>
      <c r="J427" s="22"/>
      <c r="K427" s="7"/>
      <c r="L427" s="23">
        <f t="shared" si="139"/>
        <v>0</v>
      </c>
      <c r="M427" s="22"/>
      <c r="N427" s="7"/>
      <c r="O427" s="210">
        <f t="shared" si="140"/>
        <v>0</v>
      </c>
      <c r="P427" s="220"/>
      <c r="Q427" s="221">
        <f t="shared" si="141"/>
        <v>0</v>
      </c>
    </row>
    <row r="428" spans="1:17" ht="12.75" hidden="1">
      <c r="A428" s="33" t="s">
        <v>54</v>
      </c>
      <c r="B428" s="80"/>
      <c r="C428" s="139"/>
      <c r="D428" s="128"/>
      <c r="E428" s="96"/>
      <c r="F428" s="190">
        <f t="shared" si="137"/>
        <v>0</v>
      </c>
      <c r="G428" s="261"/>
      <c r="H428" s="7"/>
      <c r="I428" s="23">
        <f t="shared" si="138"/>
        <v>0</v>
      </c>
      <c r="J428" s="22"/>
      <c r="K428" s="7"/>
      <c r="L428" s="23">
        <f t="shared" si="139"/>
        <v>0</v>
      </c>
      <c r="M428" s="22"/>
      <c r="N428" s="7"/>
      <c r="O428" s="210">
        <f t="shared" si="140"/>
        <v>0</v>
      </c>
      <c r="P428" s="220"/>
      <c r="Q428" s="221">
        <f t="shared" si="141"/>
        <v>0</v>
      </c>
    </row>
    <row r="429" spans="1:17" ht="12.75" hidden="1">
      <c r="A429" s="33" t="s">
        <v>72</v>
      </c>
      <c r="B429" s="80"/>
      <c r="C429" s="139"/>
      <c r="D429" s="128"/>
      <c r="E429" s="96"/>
      <c r="F429" s="190">
        <f t="shared" si="137"/>
        <v>0</v>
      </c>
      <c r="G429" s="261"/>
      <c r="H429" s="7"/>
      <c r="I429" s="23">
        <f t="shared" si="138"/>
        <v>0</v>
      </c>
      <c r="J429" s="22"/>
      <c r="K429" s="7"/>
      <c r="L429" s="23">
        <f t="shared" si="139"/>
        <v>0</v>
      </c>
      <c r="M429" s="22"/>
      <c r="N429" s="7"/>
      <c r="O429" s="210">
        <f t="shared" si="140"/>
        <v>0</v>
      </c>
      <c r="P429" s="220"/>
      <c r="Q429" s="221">
        <f t="shared" si="141"/>
        <v>0</v>
      </c>
    </row>
    <row r="430" spans="1:17" ht="12.75" hidden="1">
      <c r="A430" s="154" t="s">
        <v>172</v>
      </c>
      <c r="B430" s="83"/>
      <c r="C430" s="253"/>
      <c r="D430" s="244"/>
      <c r="E430" s="104"/>
      <c r="F430" s="195">
        <f t="shared" si="137"/>
        <v>0</v>
      </c>
      <c r="G430" s="263"/>
      <c r="H430" s="10"/>
      <c r="I430" s="27">
        <f t="shared" si="138"/>
        <v>0</v>
      </c>
      <c r="J430" s="26"/>
      <c r="K430" s="10"/>
      <c r="L430" s="27">
        <f t="shared" si="139"/>
        <v>0</v>
      </c>
      <c r="M430" s="26"/>
      <c r="N430" s="10"/>
      <c r="O430" s="213">
        <f t="shared" si="140"/>
        <v>0</v>
      </c>
      <c r="P430" s="229"/>
      <c r="Q430" s="230">
        <f t="shared" si="141"/>
        <v>0</v>
      </c>
    </row>
    <row r="431" spans="1:17" ht="12.75">
      <c r="A431" s="30" t="s">
        <v>89</v>
      </c>
      <c r="B431" s="84"/>
      <c r="C431" s="138">
        <f>C432+C435</f>
        <v>3238.8</v>
      </c>
      <c r="D431" s="117">
        <f aca="true" t="shared" si="142" ref="D431:Q431">D432+D435</f>
        <v>0</v>
      </c>
      <c r="E431" s="95">
        <f t="shared" si="142"/>
        <v>0</v>
      </c>
      <c r="F431" s="189">
        <f t="shared" si="142"/>
        <v>3238.8</v>
      </c>
      <c r="G431" s="219">
        <f t="shared" si="142"/>
        <v>0</v>
      </c>
      <c r="H431" s="95">
        <f t="shared" si="142"/>
        <v>0</v>
      </c>
      <c r="I431" s="162">
        <f t="shared" si="142"/>
        <v>3238.8</v>
      </c>
      <c r="J431" s="94">
        <f t="shared" si="142"/>
        <v>0</v>
      </c>
      <c r="K431" s="95">
        <f t="shared" si="142"/>
        <v>0</v>
      </c>
      <c r="L431" s="162">
        <f t="shared" si="142"/>
        <v>3238.8</v>
      </c>
      <c r="M431" s="94">
        <f t="shared" si="142"/>
        <v>0</v>
      </c>
      <c r="N431" s="95">
        <f t="shared" si="142"/>
        <v>0</v>
      </c>
      <c r="O431" s="189">
        <f t="shared" si="142"/>
        <v>3238.8</v>
      </c>
      <c r="P431" s="219">
        <f t="shared" si="142"/>
        <v>0</v>
      </c>
      <c r="Q431" s="189">
        <f t="shared" si="142"/>
        <v>3238.8</v>
      </c>
    </row>
    <row r="432" spans="1:17" ht="12.75">
      <c r="A432" s="39" t="s">
        <v>49</v>
      </c>
      <c r="B432" s="84"/>
      <c r="C432" s="143">
        <f>SUM(C434:C434)</f>
        <v>3238.8</v>
      </c>
      <c r="D432" s="131">
        <f aca="true" t="shared" si="143" ref="D432:Q432">SUM(D434:D434)</f>
        <v>0</v>
      </c>
      <c r="E432" s="103">
        <f t="shared" si="143"/>
        <v>0</v>
      </c>
      <c r="F432" s="193">
        <f t="shared" si="143"/>
        <v>3238.8</v>
      </c>
      <c r="G432" s="227">
        <f t="shared" si="143"/>
        <v>0</v>
      </c>
      <c r="H432" s="103">
        <f t="shared" si="143"/>
        <v>0</v>
      </c>
      <c r="I432" s="166">
        <f t="shared" si="143"/>
        <v>3238.8</v>
      </c>
      <c r="J432" s="102">
        <f t="shared" si="143"/>
        <v>0</v>
      </c>
      <c r="K432" s="103">
        <f t="shared" si="143"/>
        <v>0</v>
      </c>
      <c r="L432" s="166">
        <f t="shared" si="143"/>
        <v>3238.8</v>
      </c>
      <c r="M432" s="102">
        <f t="shared" si="143"/>
        <v>0</v>
      </c>
      <c r="N432" s="103">
        <f t="shared" si="143"/>
        <v>0</v>
      </c>
      <c r="O432" s="193">
        <f t="shared" si="143"/>
        <v>3238.8</v>
      </c>
      <c r="P432" s="227">
        <f t="shared" si="143"/>
        <v>0</v>
      </c>
      <c r="Q432" s="193">
        <f t="shared" si="143"/>
        <v>3238.8</v>
      </c>
    </row>
    <row r="433" spans="1:17" ht="12.75">
      <c r="A433" s="35" t="s">
        <v>26</v>
      </c>
      <c r="B433" s="80"/>
      <c r="C433" s="139"/>
      <c r="D433" s="128"/>
      <c r="E433" s="96"/>
      <c r="F433" s="189"/>
      <c r="G433" s="261"/>
      <c r="H433" s="7"/>
      <c r="I433" s="21"/>
      <c r="J433" s="22"/>
      <c r="K433" s="7"/>
      <c r="L433" s="21"/>
      <c r="M433" s="22"/>
      <c r="N433" s="7"/>
      <c r="O433" s="209"/>
      <c r="P433" s="220"/>
      <c r="Q433" s="221"/>
    </row>
    <row r="434" spans="1:17" ht="12.75">
      <c r="A434" s="36" t="s">
        <v>51</v>
      </c>
      <c r="B434" s="83"/>
      <c r="C434" s="269">
        <v>3238.8</v>
      </c>
      <c r="D434" s="244"/>
      <c r="E434" s="104"/>
      <c r="F434" s="195">
        <f>C434+D434+E434</f>
        <v>3238.8</v>
      </c>
      <c r="G434" s="261"/>
      <c r="H434" s="7"/>
      <c r="I434" s="23">
        <f>F434+G434+H434</f>
        <v>3238.8</v>
      </c>
      <c r="J434" s="22"/>
      <c r="K434" s="7"/>
      <c r="L434" s="23">
        <f>I434+J434+K434</f>
        <v>3238.8</v>
      </c>
      <c r="M434" s="22"/>
      <c r="N434" s="7"/>
      <c r="O434" s="210">
        <f>L434+M434+N434</f>
        <v>3238.8</v>
      </c>
      <c r="P434" s="220"/>
      <c r="Q434" s="221">
        <f>O434+P434</f>
        <v>3238.8</v>
      </c>
    </row>
    <row r="435" spans="1:17" ht="15" customHeight="1" hidden="1">
      <c r="A435" s="39" t="s">
        <v>53</v>
      </c>
      <c r="B435" s="84"/>
      <c r="C435" s="143">
        <f aca="true" t="shared" si="144" ref="C435:Q435">SUM(C437:C437)</f>
        <v>0</v>
      </c>
      <c r="D435" s="131">
        <f t="shared" si="144"/>
        <v>0</v>
      </c>
      <c r="E435" s="103">
        <f t="shared" si="144"/>
        <v>0</v>
      </c>
      <c r="F435" s="193">
        <f t="shared" si="144"/>
        <v>0</v>
      </c>
      <c r="G435" s="227">
        <f t="shared" si="144"/>
        <v>0</v>
      </c>
      <c r="H435" s="103">
        <f t="shared" si="144"/>
        <v>0</v>
      </c>
      <c r="I435" s="166">
        <f t="shared" si="144"/>
        <v>0</v>
      </c>
      <c r="J435" s="102">
        <f t="shared" si="144"/>
        <v>0</v>
      </c>
      <c r="K435" s="103">
        <f t="shared" si="144"/>
        <v>0</v>
      </c>
      <c r="L435" s="166">
        <f t="shared" si="144"/>
        <v>0</v>
      </c>
      <c r="M435" s="102">
        <f t="shared" si="144"/>
        <v>0</v>
      </c>
      <c r="N435" s="103">
        <f t="shared" si="144"/>
        <v>0</v>
      </c>
      <c r="O435" s="193">
        <f t="shared" si="144"/>
        <v>0</v>
      </c>
      <c r="P435" s="227">
        <f t="shared" si="144"/>
        <v>0</v>
      </c>
      <c r="Q435" s="193">
        <f t="shared" si="144"/>
        <v>0</v>
      </c>
    </row>
    <row r="436" spans="1:17" ht="12.75" hidden="1">
      <c r="A436" s="35" t="s">
        <v>26</v>
      </c>
      <c r="B436" s="80"/>
      <c r="C436" s="139"/>
      <c r="D436" s="128"/>
      <c r="E436" s="96"/>
      <c r="F436" s="190"/>
      <c r="G436" s="261"/>
      <c r="H436" s="7"/>
      <c r="I436" s="23"/>
      <c r="J436" s="22"/>
      <c r="K436" s="7"/>
      <c r="L436" s="23"/>
      <c r="M436" s="22"/>
      <c r="N436" s="7"/>
      <c r="O436" s="210"/>
      <c r="P436" s="220"/>
      <c r="Q436" s="221"/>
    </row>
    <row r="437" spans="1:17" ht="12.75" hidden="1">
      <c r="A437" s="36" t="s">
        <v>54</v>
      </c>
      <c r="B437" s="83"/>
      <c r="C437" s="253"/>
      <c r="D437" s="244"/>
      <c r="E437" s="104"/>
      <c r="F437" s="195">
        <f>C437+D437+E437</f>
        <v>0</v>
      </c>
      <c r="G437" s="263"/>
      <c r="H437" s="10"/>
      <c r="I437" s="27">
        <f>F437+G437+H437</f>
        <v>0</v>
      </c>
      <c r="J437" s="26"/>
      <c r="K437" s="10"/>
      <c r="L437" s="27">
        <f>I437+J437+K437</f>
        <v>0</v>
      </c>
      <c r="M437" s="26"/>
      <c r="N437" s="10"/>
      <c r="O437" s="213">
        <f>L437+M437+N437</f>
        <v>0</v>
      </c>
      <c r="P437" s="229"/>
      <c r="Q437" s="230">
        <f>O437+P437</f>
        <v>0</v>
      </c>
    </row>
    <row r="438" spans="1:17" ht="12.75">
      <c r="A438" s="30" t="s">
        <v>90</v>
      </c>
      <c r="B438" s="84"/>
      <c r="C438" s="138">
        <f aca="true" t="shared" si="145" ref="C438:Q438">C439</f>
        <v>245035.05</v>
      </c>
      <c r="D438" s="117">
        <f t="shared" si="145"/>
        <v>-154582.38999999998</v>
      </c>
      <c r="E438" s="95">
        <f t="shared" si="145"/>
        <v>0</v>
      </c>
      <c r="F438" s="189">
        <f t="shared" si="145"/>
        <v>90452.66000000002</v>
      </c>
      <c r="G438" s="219">
        <f t="shared" si="145"/>
        <v>0</v>
      </c>
      <c r="H438" s="95">
        <f t="shared" si="145"/>
        <v>0</v>
      </c>
      <c r="I438" s="162">
        <f t="shared" si="145"/>
        <v>90452.66000000002</v>
      </c>
      <c r="J438" s="94">
        <f t="shared" si="145"/>
        <v>0</v>
      </c>
      <c r="K438" s="95">
        <f t="shared" si="145"/>
        <v>0</v>
      </c>
      <c r="L438" s="162">
        <f t="shared" si="145"/>
        <v>90452.66000000002</v>
      </c>
      <c r="M438" s="94">
        <f t="shared" si="145"/>
        <v>0</v>
      </c>
      <c r="N438" s="95">
        <f t="shared" si="145"/>
        <v>0</v>
      </c>
      <c r="O438" s="189">
        <f t="shared" si="145"/>
        <v>90452.66000000002</v>
      </c>
      <c r="P438" s="219">
        <f t="shared" si="145"/>
        <v>0</v>
      </c>
      <c r="Q438" s="189">
        <f t="shared" si="145"/>
        <v>90452.66000000002</v>
      </c>
    </row>
    <row r="439" spans="1:17" ht="12.75">
      <c r="A439" s="39" t="s">
        <v>49</v>
      </c>
      <c r="B439" s="84"/>
      <c r="C439" s="143">
        <f>SUM(C441:C445)</f>
        <v>245035.05</v>
      </c>
      <c r="D439" s="131">
        <f aca="true" t="shared" si="146" ref="D439:Q439">SUM(D441:D445)</f>
        <v>-154582.38999999998</v>
      </c>
      <c r="E439" s="103">
        <f t="shared" si="146"/>
        <v>0</v>
      </c>
      <c r="F439" s="193">
        <f t="shared" si="146"/>
        <v>90452.66000000002</v>
      </c>
      <c r="G439" s="227">
        <f t="shared" si="146"/>
        <v>0</v>
      </c>
      <c r="H439" s="103">
        <f t="shared" si="146"/>
        <v>0</v>
      </c>
      <c r="I439" s="166">
        <f t="shared" si="146"/>
        <v>90452.66000000002</v>
      </c>
      <c r="J439" s="102">
        <f t="shared" si="146"/>
        <v>0</v>
      </c>
      <c r="K439" s="103">
        <f t="shared" si="146"/>
        <v>0</v>
      </c>
      <c r="L439" s="166">
        <f t="shared" si="146"/>
        <v>90452.66000000002</v>
      </c>
      <c r="M439" s="102">
        <f t="shared" si="146"/>
        <v>0</v>
      </c>
      <c r="N439" s="103">
        <f t="shared" si="146"/>
        <v>0</v>
      </c>
      <c r="O439" s="193">
        <f t="shared" si="146"/>
        <v>90452.66000000002</v>
      </c>
      <c r="P439" s="227">
        <f t="shared" si="146"/>
        <v>0</v>
      </c>
      <c r="Q439" s="193">
        <f t="shared" si="146"/>
        <v>90452.66000000002</v>
      </c>
    </row>
    <row r="440" spans="1:17" ht="12.75">
      <c r="A440" s="35" t="s">
        <v>26</v>
      </c>
      <c r="B440" s="80"/>
      <c r="C440" s="138"/>
      <c r="D440" s="117"/>
      <c r="E440" s="95"/>
      <c r="F440" s="189"/>
      <c r="G440" s="260"/>
      <c r="H440" s="6"/>
      <c r="I440" s="21"/>
      <c r="J440" s="20"/>
      <c r="K440" s="6"/>
      <c r="L440" s="21"/>
      <c r="M440" s="20"/>
      <c r="N440" s="6"/>
      <c r="O440" s="209"/>
      <c r="P440" s="220"/>
      <c r="Q440" s="221"/>
    </row>
    <row r="441" spans="1:17" ht="12.75">
      <c r="A441" s="81" t="s">
        <v>181</v>
      </c>
      <c r="B441" s="80"/>
      <c r="C441" s="139">
        <v>9535.05</v>
      </c>
      <c r="D441" s="128"/>
      <c r="E441" s="96"/>
      <c r="F441" s="190">
        <f>C441+D441+E441</f>
        <v>9535.05</v>
      </c>
      <c r="G441" s="261"/>
      <c r="H441" s="7"/>
      <c r="I441" s="23">
        <f>F441+G441+H441</f>
        <v>9535.05</v>
      </c>
      <c r="J441" s="29"/>
      <c r="K441" s="7"/>
      <c r="L441" s="23">
        <f>I441+J441+K441</f>
        <v>9535.05</v>
      </c>
      <c r="M441" s="22"/>
      <c r="N441" s="7"/>
      <c r="O441" s="210">
        <f>L441+M441+N441</f>
        <v>9535.05</v>
      </c>
      <c r="P441" s="220"/>
      <c r="Q441" s="221">
        <f>O441+P441</f>
        <v>9535.05</v>
      </c>
    </row>
    <row r="442" spans="1:17" ht="12.75">
      <c r="A442" s="81" t="s">
        <v>91</v>
      </c>
      <c r="B442" s="80"/>
      <c r="C442" s="139"/>
      <c r="D442" s="180">
        <f>45003.16</f>
        <v>45003.16</v>
      </c>
      <c r="E442" s="96"/>
      <c r="F442" s="190">
        <f>C442+D442+E442</f>
        <v>45003.16</v>
      </c>
      <c r="G442" s="261"/>
      <c r="H442" s="7"/>
      <c r="I442" s="23">
        <f>F442+G442+H442</f>
        <v>45003.16</v>
      </c>
      <c r="J442" s="22"/>
      <c r="K442" s="7"/>
      <c r="L442" s="23">
        <f>I442+J442+K442</f>
        <v>45003.16</v>
      </c>
      <c r="M442" s="22"/>
      <c r="N442" s="7"/>
      <c r="O442" s="210">
        <f>L442+M442+N442</f>
        <v>45003.16</v>
      </c>
      <c r="P442" s="220"/>
      <c r="Q442" s="221">
        <f>O442+P442</f>
        <v>45003.16</v>
      </c>
    </row>
    <row r="443" spans="1:17" ht="12.75" hidden="1">
      <c r="A443" s="81" t="s">
        <v>92</v>
      </c>
      <c r="B443" s="80"/>
      <c r="C443" s="139"/>
      <c r="D443" s="128"/>
      <c r="E443" s="96"/>
      <c r="F443" s="190">
        <f>C443+D443+E443</f>
        <v>0</v>
      </c>
      <c r="G443" s="261"/>
      <c r="H443" s="7"/>
      <c r="I443" s="23">
        <f>F443+G443+H443</f>
        <v>0</v>
      </c>
      <c r="J443" s="22"/>
      <c r="K443" s="7"/>
      <c r="L443" s="23">
        <f>I443+J443+K443</f>
        <v>0</v>
      </c>
      <c r="M443" s="22"/>
      <c r="N443" s="7"/>
      <c r="O443" s="210">
        <f>L443+M443+N443</f>
        <v>0</v>
      </c>
      <c r="P443" s="220"/>
      <c r="Q443" s="221">
        <f>O443+P443</f>
        <v>0</v>
      </c>
    </row>
    <row r="444" spans="1:17" ht="12.75">
      <c r="A444" s="81" t="s">
        <v>315</v>
      </c>
      <c r="B444" s="80"/>
      <c r="C444" s="139">
        <v>200000</v>
      </c>
      <c r="D444" s="128">
        <f>-6097.55-119488+9000-23000-60000</f>
        <v>-199585.55</v>
      </c>
      <c r="E444" s="96"/>
      <c r="F444" s="190">
        <f>C444+D444+E444</f>
        <v>414.45000000001164</v>
      </c>
      <c r="G444" s="261"/>
      <c r="H444" s="7"/>
      <c r="I444" s="23">
        <f>F444+G444+H444</f>
        <v>414.45000000001164</v>
      </c>
      <c r="J444" s="22"/>
      <c r="K444" s="7"/>
      <c r="L444" s="23">
        <f>I444+J444+K444</f>
        <v>414.45000000001164</v>
      </c>
      <c r="M444" s="22"/>
      <c r="N444" s="7"/>
      <c r="O444" s="210">
        <f>L444+M444+N444</f>
        <v>414.45000000001164</v>
      </c>
      <c r="P444" s="220"/>
      <c r="Q444" s="221">
        <f>O444+P444</f>
        <v>414.45000000001164</v>
      </c>
    </row>
    <row r="445" spans="1:17" ht="12.75">
      <c r="A445" s="36" t="s">
        <v>51</v>
      </c>
      <c r="B445" s="83"/>
      <c r="C445" s="253">
        <v>35500</v>
      </c>
      <c r="D445" s="244"/>
      <c r="E445" s="104"/>
      <c r="F445" s="195">
        <f>C445+D445+E445</f>
        <v>35500</v>
      </c>
      <c r="G445" s="263"/>
      <c r="H445" s="10"/>
      <c r="I445" s="27">
        <f>F445+G445+H445</f>
        <v>35500</v>
      </c>
      <c r="J445" s="26"/>
      <c r="K445" s="10"/>
      <c r="L445" s="27">
        <f>I445+J445+K445</f>
        <v>35500</v>
      </c>
      <c r="M445" s="26"/>
      <c r="N445" s="10"/>
      <c r="O445" s="213">
        <f>L445+M445+N445</f>
        <v>35500</v>
      </c>
      <c r="P445" s="229"/>
      <c r="Q445" s="230">
        <f>O445+P445</f>
        <v>35500</v>
      </c>
    </row>
    <row r="446" spans="1:17" ht="12.75">
      <c r="A446" s="30" t="s">
        <v>158</v>
      </c>
      <c r="B446" s="84"/>
      <c r="C446" s="138">
        <f>C447+C460</f>
        <v>97752</v>
      </c>
      <c r="D446" s="117">
        <f aca="true" t="shared" si="147" ref="D446:Q446">D447+D460</f>
        <v>112286.25</v>
      </c>
      <c r="E446" s="95">
        <f t="shared" si="147"/>
        <v>67442.82</v>
      </c>
      <c r="F446" s="189">
        <f t="shared" si="147"/>
        <v>277481.07</v>
      </c>
      <c r="G446" s="219">
        <f t="shared" si="147"/>
        <v>0</v>
      </c>
      <c r="H446" s="95">
        <f t="shared" si="147"/>
        <v>0</v>
      </c>
      <c r="I446" s="162">
        <f t="shared" si="147"/>
        <v>277481.07</v>
      </c>
      <c r="J446" s="94">
        <f t="shared" si="147"/>
        <v>0</v>
      </c>
      <c r="K446" s="95">
        <f t="shared" si="147"/>
        <v>0</v>
      </c>
      <c r="L446" s="162">
        <f t="shared" si="147"/>
        <v>277481.07</v>
      </c>
      <c r="M446" s="94">
        <f t="shared" si="147"/>
        <v>0</v>
      </c>
      <c r="N446" s="95">
        <f t="shared" si="147"/>
        <v>0</v>
      </c>
      <c r="O446" s="189">
        <f t="shared" si="147"/>
        <v>277481.07</v>
      </c>
      <c r="P446" s="219">
        <f t="shared" si="147"/>
        <v>0</v>
      </c>
      <c r="Q446" s="189">
        <f t="shared" si="147"/>
        <v>277481.07</v>
      </c>
    </row>
    <row r="447" spans="1:17" ht="12.75">
      <c r="A447" s="39" t="s">
        <v>49</v>
      </c>
      <c r="B447" s="84"/>
      <c r="C447" s="143">
        <f>SUM(C449:C459)</f>
        <v>63302</v>
      </c>
      <c r="D447" s="131">
        <f aca="true" t="shared" si="148" ref="D447:Q447">SUM(D449:D459)</f>
        <v>15780.25</v>
      </c>
      <c r="E447" s="103">
        <f t="shared" si="148"/>
        <v>44249.32</v>
      </c>
      <c r="F447" s="193">
        <f t="shared" si="148"/>
        <v>123331.57</v>
      </c>
      <c r="G447" s="227">
        <f t="shared" si="148"/>
        <v>0</v>
      </c>
      <c r="H447" s="103">
        <f t="shared" si="148"/>
        <v>0</v>
      </c>
      <c r="I447" s="166">
        <f t="shared" si="148"/>
        <v>123331.57</v>
      </c>
      <c r="J447" s="102">
        <f t="shared" si="148"/>
        <v>0</v>
      </c>
      <c r="K447" s="103">
        <f t="shared" si="148"/>
        <v>0</v>
      </c>
      <c r="L447" s="166">
        <f t="shared" si="148"/>
        <v>123331.57</v>
      </c>
      <c r="M447" s="102">
        <f t="shared" si="148"/>
        <v>0</v>
      </c>
      <c r="N447" s="103">
        <f t="shared" si="148"/>
        <v>0</v>
      </c>
      <c r="O447" s="193">
        <f t="shared" si="148"/>
        <v>123331.57</v>
      </c>
      <c r="P447" s="227">
        <f t="shared" si="148"/>
        <v>0</v>
      </c>
      <c r="Q447" s="193">
        <f t="shared" si="148"/>
        <v>123331.57</v>
      </c>
    </row>
    <row r="448" spans="1:17" ht="12.75">
      <c r="A448" s="35" t="s">
        <v>26</v>
      </c>
      <c r="B448" s="80"/>
      <c r="C448" s="139"/>
      <c r="D448" s="128"/>
      <c r="E448" s="96"/>
      <c r="F448" s="190"/>
      <c r="G448" s="261"/>
      <c r="H448" s="7"/>
      <c r="I448" s="23"/>
      <c r="J448" s="22"/>
      <c r="K448" s="7"/>
      <c r="L448" s="23"/>
      <c r="M448" s="22"/>
      <c r="N448" s="7"/>
      <c r="O448" s="210"/>
      <c r="P448" s="220"/>
      <c r="Q448" s="221"/>
    </row>
    <row r="449" spans="1:17" ht="12.75">
      <c r="A449" s="33" t="s">
        <v>234</v>
      </c>
      <c r="B449" s="80">
        <v>1202</v>
      </c>
      <c r="C449" s="139">
        <v>2950</v>
      </c>
      <c r="D449" s="128">
        <f>149.93+350</f>
        <v>499.93</v>
      </c>
      <c r="E449" s="96">
        <f>-524.5</f>
        <v>-524.5</v>
      </c>
      <c r="F449" s="190">
        <f aca="true" t="shared" si="149" ref="F449:F459">C449+D449+E449</f>
        <v>2925.43</v>
      </c>
      <c r="G449" s="261"/>
      <c r="H449" s="7"/>
      <c r="I449" s="23">
        <f>F449+G449+H449</f>
        <v>2925.43</v>
      </c>
      <c r="J449" s="22"/>
      <c r="K449" s="7"/>
      <c r="L449" s="23">
        <f aca="true" t="shared" si="150" ref="L449:L459">I449+J449+K449</f>
        <v>2925.43</v>
      </c>
      <c r="M449" s="22"/>
      <c r="N449" s="7"/>
      <c r="O449" s="210">
        <f aca="true" t="shared" si="151" ref="O449:O459">L449+M449+N449</f>
        <v>2925.43</v>
      </c>
      <c r="P449" s="220"/>
      <c r="Q449" s="221">
        <f aca="true" t="shared" si="152" ref="Q449:Q459">O449+P449</f>
        <v>2925.43</v>
      </c>
    </row>
    <row r="450" spans="1:17" ht="12.75">
      <c r="A450" s="33" t="s">
        <v>175</v>
      </c>
      <c r="B450" s="80">
        <v>1207</v>
      </c>
      <c r="C450" s="139">
        <v>9800</v>
      </c>
      <c r="D450" s="128">
        <f>1008.06</f>
        <v>1008.06</v>
      </c>
      <c r="E450" s="96"/>
      <c r="F450" s="190">
        <f t="shared" si="149"/>
        <v>10808.06</v>
      </c>
      <c r="G450" s="261"/>
      <c r="H450" s="7"/>
      <c r="I450" s="23">
        <f aca="true" t="shared" si="153" ref="I450:I459">F450+G450+H450</f>
        <v>10808.06</v>
      </c>
      <c r="J450" s="22"/>
      <c r="K450" s="7"/>
      <c r="L450" s="23">
        <f t="shared" si="150"/>
        <v>10808.06</v>
      </c>
      <c r="M450" s="22"/>
      <c r="N450" s="7"/>
      <c r="O450" s="210">
        <f t="shared" si="151"/>
        <v>10808.06</v>
      </c>
      <c r="P450" s="220"/>
      <c r="Q450" s="221">
        <f t="shared" si="152"/>
        <v>10808.06</v>
      </c>
    </row>
    <row r="451" spans="1:17" ht="12.75">
      <c r="A451" s="37" t="s">
        <v>295</v>
      </c>
      <c r="B451" s="80">
        <v>1209</v>
      </c>
      <c r="C451" s="139">
        <v>2180</v>
      </c>
      <c r="D451" s="128">
        <f>140.53</f>
        <v>140.53</v>
      </c>
      <c r="E451" s="96"/>
      <c r="F451" s="190">
        <f t="shared" si="149"/>
        <v>2320.53</v>
      </c>
      <c r="G451" s="261"/>
      <c r="H451" s="7"/>
      <c r="I451" s="23">
        <f t="shared" si="153"/>
        <v>2320.53</v>
      </c>
      <c r="J451" s="22"/>
      <c r="K451" s="7"/>
      <c r="L451" s="23">
        <f t="shared" si="150"/>
        <v>2320.53</v>
      </c>
      <c r="M451" s="22"/>
      <c r="N451" s="7"/>
      <c r="O451" s="210">
        <f t="shared" si="151"/>
        <v>2320.53</v>
      </c>
      <c r="P451" s="220"/>
      <c r="Q451" s="221">
        <f t="shared" si="152"/>
        <v>2320.53</v>
      </c>
    </row>
    <row r="452" spans="1:17" ht="12.75">
      <c r="A452" s="33" t="s">
        <v>176</v>
      </c>
      <c r="B452" s="80">
        <v>1211</v>
      </c>
      <c r="C452" s="139">
        <v>2320</v>
      </c>
      <c r="D452" s="180">
        <f>306.25</f>
        <v>306.25</v>
      </c>
      <c r="E452" s="107"/>
      <c r="F452" s="190">
        <f t="shared" si="149"/>
        <v>2626.25</v>
      </c>
      <c r="G452" s="261"/>
      <c r="H452" s="7"/>
      <c r="I452" s="23">
        <f t="shared" si="153"/>
        <v>2626.25</v>
      </c>
      <c r="J452" s="22"/>
      <c r="K452" s="7"/>
      <c r="L452" s="23">
        <f t="shared" si="150"/>
        <v>2626.25</v>
      </c>
      <c r="M452" s="22"/>
      <c r="N452" s="7"/>
      <c r="O452" s="210">
        <f t="shared" si="151"/>
        <v>2626.25</v>
      </c>
      <c r="P452" s="220"/>
      <c r="Q452" s="221">
        <f t="shared" si="152"/>
        <v>2626.25</v>
      </c>
    </row>
    <row r="453" spans="1:17" ht="12.75">
      <c r="A453" s="33" t="s">
        <v>222</v>
      </c>
      <c r="B453" s="80">
        <v>1214</v>
      </c>
      <c r="C453" s="139">
        <v>2850</v>
      </c>
      <c r="D453" s="180">
        <f>10.13+2.62+800</f>
        <v>812.75</v>
      </c>
      <c r="E453" s="96"/>
      <c r="F453" s="190">
        <f t="shared" si="149"/>
        <v>3662.75</v>
      </c>
      <c r="G453" s="261"/>
      <c r="H453" s="7"/>
      <c r="I453" s="23">
        <f t="shared" si="153"/>
        <v>3662.75</v>
      </c>
      <c r="J453" s="22"/>
      <c r="K453" s="7"/>
      <c r="L453" s="23">
        <f t="shared" si="150"/>
        <v>3662.75</v>
      </c>
      <c r="M453" s="22"/>
      <c r="N453" s="7"/>
      <c r="O453" s="210">
        <f t="shared" si="151"/>
        <v>3662.75</v>
      </c>
      <c r="P453" s="220"/>
      <c r="Q453" s="221">
        <f t="shared" si="152"/>
        <v>3662.75</v>
      </c>
    </row>
    <row r="454" spans="1:17" ht="12.75">
      <c r="A454" s="33" t="s">
        <v>223</v>
      </c>
      <c r="B454" s="80">
        <v>1213</v>
      </c>
      <c r="C454" s="139"/>
      <c r="D454" s="180">
        <f>2.62-2.62</f>
        <v>0</v>
      </c>
      <c r="E454" s="96"/>
      <c r="F454" s="190">
        <f t="shared" si="149"/>
        <v>0</v>
      </c>
      <c r="G454" s="261"/>
      <c r="H454" s="7"/>
      <c r="I454" s="23">
        <f t="shared" si="153"/>
        <v>0</v>
      </c>
      <c r="J454" s="22"/>
      <c r="K454" s="7"/>
      <c r="L454" s="23">
        <f t="shared" si="150"/>
        <v>0</v>
      </c>
      <c r="M454" s="22"/>
      <c r="N454" s="7"/>
      <c r="O454" s="210">
        <f t="shared" si="151"/>
        <v>0</v>
      </c>
      <c r="P454" s="220"/>
      <c r="Q454" s="221">
        <f t="shared" si="152"/>
        <v>0</v>
      </c>
    </row>
    <row r="455" spans="1:17" ht="12.75">
      <c r="A455" s="33" t="s">
        <v>252</v>
      </c>
      <c r="B455" s="80">
        <v>1216</v>
      </c>
      <c r="C455" s="139">
        <v>22300</v>
      </c>
      <c r="D455" s="128">
        <f>2238.06</f>
        <v>2238.06</v>
      </c>
      <c r="E455" s="96">
        <f>-219+4000</f>
        <v>3781</v>
      </c>
      <c r="F455" s="190">
        <f t="shared" si="149"/>
        <v>28319.06</v>
      </c>
      <c r="G455" s="261"/>
      <c r="H455" s="7"/>
      <c r="I455" s="23">
        <f t="shared" si="153"/>
        <v>28319.06</v>
      </c>
      <c r="J455" s="22"/>
      <c r="K455" s="7"/>
      <c r="L455" s="23">
        <f t="shared" si="150"/>
        <v>28319.06</v>
      </c>
      <c r="M455" s="22"/>
      <c r="N455" s="7"/>
      <c r="O455" s="210">
        <f t="shared" si="151"/>
        <v>28319.06</v>
      </c>
      <c r="P455" s="220"/>
      <c r="Q455" s="221">
        <f t="shared" si="152"/>
        <v>28319.06</v>
      </c>
    </row>
    <row r="456" spans="1:17" ht="12.75">
      <c r="A456" s="33" t="s">
        <v>177</v>
      </c>
      <c r="B456" s="80">
        <v>1239</v>
      </c>
      <c r="C456" s="139">
        <v>6600</v>
      </c>
      <c r="D456" s="128">
        <f>775.83+2650</f>
        <v>3425.83</v>
      </c>
      <c r="E456" s="96">
        <f>6400</f>
        <v>6400</v>
      </c>
      <c r="F456" s="190">
        <f t="shared" si="149"/>
        <v>16425.83</v>
      </c>
      <c r="G456" s="261"/>
      <c r="H456" s="7"/>
      <c r="I456" s="23">
        <f t="shared" si="153"/>
        <v>16425.83</v>
      </c>
      <c r="J456" s="22"/>
      <c r="K456" s="7"/>
      <c r="L456" s="23">
        <f t="shared" si="150"/>
        <v>16425.83</v>
      </c>
      <c r="M456" s="22"/>
      <c r="N456" s="7"/>
      <c r="O456" s="210">
        <f t="shared" si="151"/>
        <v>16425.83</v>
      </c>
      <c r="P456" s="220"/>
      <c r="Q456" s="221">
        <f t="shared" si="152"/>
        <v>16425.83</v>
      </c>
    </row>
    <row r="457" spans="1:17" ht="12.75">
      <c r="A457" s="33" t="s">
        <v>196</v>
      </c>
      <c r="B457" s="80">
        <v>1300</v>
      </c>
      <c r="C457" s="139">
        <v>9500</v>
      </c>
      <c r="D457" s="128">
        <f>400+2767.68+1333.33</f>
        <v>4501.01</v>
      </c>
      <c r="E457" s="96">
        <f>-1300+12210+5487+100+750+7145.82+2200+8000</f>
        <v>34592.82</v>
      </c>
      <c r="F457" s="190">
        <f t="shared" si="149"/>
        <v>48593.83</v>
      </c>
      <c r="G457" s="261"/>
      <c r="H457" s="7"/>
      <c r="I457" s="23">
        <f t="shared" si="153"/>
        <v>48593.83</v>
      </c>
      <c r="J457" s="22"/>
      <c r="K457" s="7"/>
      <c r="L457" s="23">
        <f t="shared" si="150"/>
        <v>48593.83</v>
      </c>
      <c r="M457" s="22"/>
      <c r="N457" s="7"/>
      <c r="O457" s="210">
        <f t="shared" si="151"/>
        <v>48593.83</v>
      </c>
      <c r="P457" s="220"/>
      <c r="Q457" s="221">
        <f t="shared" si="152"/>
        <v>48593.83</v>
      </c>
    </row>
    <row r="458" spans="1:17" ht="12.75">
      <c r="A458" s="33" t="s">
        <v>178</v>
      </c>
      <c r="B458" s="80">
        <v>1110</v>
      </c>
      <c r="C458" s="139">
        <v>4800</v>
      </c>
      <c r="D458" s="128">
        <f>1870.13</f>
        <v>1870.13</v>
      </c>
      <c r="E458" s="96"/>
      <c r="F458" s="190">
        <f t="shared" si="149"/>
        <v>6670.13</v>
      </c>
      <c r="G458" s="261"/>
      <c r="H458" s="7"/>
      <c r="I458" s="23">
        <f t="shared" si="153"/>
        <v>6670.13</v>
      </c>
      <c r="J458" s="22"/>
      <c r="K458" s="7"/>
      <c r="L458" s="23">
        <f t="shared" si="150"/>
        <v>6670.13</v>
      </c>
      <c r="M458" s="22"/>
      <c r="N458" s="7"/>
      <c r="O458" s="210">
        <f t="shared" si="151"/>
        <v>6670.13</v>
      </c>
      <c r="P458" s="220"/>
      <c r="Q458" s="221">
        <f t="shared" si="152"/>
        <v>6670.13</v>
      </c>
    </row>
    <row r="459" spans="1:17" ht="12.75">
      <c r="A459" s="33" t="s">
        <v>287</v>
      </c>
      <c r="B459" s="80"/>
      <c r="C459" s="139">
        <v>2</v>
      </c>
      <c r="D459" s="128">
        <f>977.7</f>
        <v>977.7</v>
      </c>
      <c r="E459" s="96"/>
      <c r="F459" s="190">
        <f t="shared" si="149"/>
        <v>979.7</v>
      </c>
      <c r="G459" s="261"/>
      <c r="H459" s="7"/>
      <c r="I459" s="23">
        <f t="shared" si="153"/>
        <v>979.7</v>
      </c>
      <c r="J459" s="22"/>
      <c r="K459" s="7"/>
      <c r="L459" s="23">
        <f t="shared" si="150"/>
        <v>979.7</v>
      </c>
      <c r="M459" s="22"/>
      <c r="N459" s="7"/>
      <c r="O459" s="210">
        <f t="shared" si="151"/>
        <v>979.7</v>
      </c>
      <c r="P459" s="220"/>
      <c r="Q459" s="221">
        <f t="shared" si="152"/>
        <v>979.7</v>
      </c>
    </row>
    <row r="460" spans="1:17" ht="12.75">
      <c r="A460" s="39" t="s">
        <v>53</v>
      </c>
      <c r="B460" s="84"/>
      <c r="C460" s="143">
        <f>SUM(C462:C469)</f>
        <v>34450</v>
      </c>
      <c r="D460" s="131">
        <f aca="true" t="shared" si="154" ref="D460:Q460">SUM(D462:D469)</f>
        <v>96506</v>
      </c>
      <c r="E460" s="103">
        <f t="shared" si="154"/>
        <v>23193.5</v>
      </c>
      <c r="F460" s="193">
        <f t="shared" si="154"/>
        <v>154149.5</v>
      </c>
      <c r="G460" s="227">
        <f t="shared" si="154"/>
        <v>0</v>
      </c>
      <c r="H460" s="103">
        <f t="shared" si="154"/>
        <v>0</v>
      </c>
      <c r="I460" s="166">
        <f t="shared" si="154"/>
        <v>154149.5</v>
      </c>
      <c r="J460" s="102">
        <f t="shared" si="154"/>
        <v>0</v>
      </c>
      <c r="K460" s="103">
        <f t="shared" si="154"/>
        <v>0</v>
      </c>
      <c r="L460" s="166">
        <f t="shared" si="154"/>
        <v>154149.5</v>
      </c>
      <c r="M460" s="102">
        <f t="shared" si="154"/>
        <v>0</v>
      </c>
      <c r="N460" s="103">
        <f t="shared" si="154"/>
        <v>0</v>
      </c>
      <c r="O460" s="193">
        <f t="shared" si="154"/>
        <v>154149.5</v>
      </c>
      <c r="P460" s="227">
        <f t="shared" si="154"/>
        <v>0</v>
      </c>
      <c r="Q460" s="193">
        <f t="shared" si="154"/>
        <v>154149.5</v>
      </c>
    </row>
    <row r="461" spans="1:17" ht="12.75">
      <c r="A461" s="35" t="s">
        <v>26</v>
      </c>
      <c r="B461" s="80"/>
      <c r="C461" s="139"/>
      <c r="D461" s="128"/>
      <c r="E461" s="96"/>
      <c r="F461" s="190"/>
      <c r="G461" s="261"/>
      <c r="H461" s="7"/>
      <c r="I461" s="23"/>
      <c r="J461" s="22"/>
      <c r="K461" s="7"/>
      <c r="L461" s="23"/>
      <c r="M461" s="22"/>
      <c r="N461" s="7"/>
      <c r="O461" s="210"/>
      <c r="P461" s="220"/>
      <c r="Q461" s="221"/>
    </row>
    <row r="462" spans="1:17" ht="12.75">
      <c r="A462" s="37" t="s">
        <v>261</v>
      </c>
      <c r="B462" s="80">
        <v>1207</v>
      </c>
      <c r="C462" s="139">
        <v>2600</v>
      </c>
      <c r="D462" s="128">
        <f>3400</f>
        <v>3400</v>
      </c>
      <c r="E462" s="96"/>
      <c r="F462" s="190">
        <f aca="true" t="shared" si="155" ref="F462:F469">C462+D462+E462</f>
        <v>6000</v>
      </c>
      <c r="G462" s="261"/>
      <c r="H462" s="7"/>
      <c r="I462" s="23">
        <f aca="true" t="shared" si="156" ref="I462:I469">F462+G462+H462</f>
        <v>6000</v>
      </c>
      <c r="J462" s="22"/>
      <c r="K462" s="7"/>
      <c r="L462" s="23">
        <f aca="true" t="shared" si="157" ref="L462:L469">I462+J462+K462</f>
        <v>6000</v>
      </c>
      <c r="M462" s="22"/>
      <c r="N462" s="7"/>
      <c r="O462" s="210">
        <f aca="true" t="shared" si="158" ref="O462:O469">L462+M462+N462</f>
        <v>6000</v>
      </c>
      <c r="P462" s="220"/>
      <c r="Q462" s="221">
        <f aca="true" t="shared" si="159" ref="Q462:Q469">O462+P462</f>
        <v>6000</v>
      </c>
    </row>
    <row r="463" spans="1:17" ht="12.75">
      <c r="A463" s="33" t="s">
        <v>310</v>
      </c>
      <c r="B463" s="80">
        <v>1214</v>
      </c>
      <c r="C463" s="139"/>
      <c r="D463" s="128"/>
      <c r="E463" s="96"/>
      <c r="F463" s="190">
        <f t="shared" si="155"/>
        <v>0</v>
      </c>
      <c r="G463" s="261"/>
      <c r="H463" s="7"/>
      <c r="I463" s="23">
        <f t="shared" si="156"/>
        <v>0</v>
      </c>
      <c r="J463" s="22"/>
      <c r="K463" s="7"/>
      <c r="L463" s="23">
        <f t="shared" si="157"/>
        <v>0</v>
      </c>
      <c r="M463" s="22"/>
      <c r="N463" s="7"/>
      <c r="O463" s="210">
        <f t="shared" si="158"/>
        <v>0</v>
      </c>
      <c r="P463" s="220"/>
      <c r="Q463" s="221">
        <f t="shared" si="159"/>
        <v>0</v>
      </c>
    </row>
    <row r="464" spans="1:17" ht="12.75">
      <c r="A464" s="37" t="s">
        <v>296</v>
      </c>
      <c r="B464" s="80">
        <v>1209</v>
      </c>
      <c r="C464" s="139"/>
      <c r="D464" s="128">
        <f>600</f>
        <v>600</v>
      </c>
      <c r="E464" s="96"/>
      <c r="F464" s="190">
        <f t="shared" si="155"/>
        <v>600</v>
      </c>
      <c r="G464" s="261"/>
      <c r="H464" s="7"/>
      <c r="I464" s="23">
        <f t="shared" si="156"/>
        <v>600</v>
      </c>
      <c r="J464" s="22"/>
      <c r="K464" s="7"/>
      <c r="L464" s="23">
        <f t="shared" si="157"/>
        <v>600</v>
      </c>
      <c r="M464" s="22"/>
      <c r="N464" s="7"/>
      <c r="O464" s="210">
        <f t="shared" si="158"/>
        <v>600</v>
      </c>
      <c r="P464" s="220"/>
      <c r="Q464" s="221">
        <f t="shared" si="159"/>
        <v>600</v>
      </c>
    </row>
    <row r="465" spans="1:17" ht="12.75">
      <c r="A465" s="33" t="s">
        <v>262</v>
      </c>
      <c r="B465" s="80">
        <v>1202</v>
      </c>
      <c r="C465" s="139"/>
      <c r="D465" s="128"/>
      <c r="E465" s="96">
        <f>524.5</f>
        <v>524.5</v>
      </c>
      <c r="F465" s="190">
        <f t="shared" si="155"/>
        <v>524.5</v>
      </c>
      <c r="G465" s="261"/>
      <c r="H465" s="7"/>
      <c r="I465" s="23">
        <f t="shared" si="156"/>
        <v>524.5</v>
      </c>
      <c r="J465" s="22"/>
      <c r="K465" s="7"/>
      <c r="L465" s="23">
        <f t="shared" si="157"/>
        <v>524.5</v>
      </c>
      <c r="M465" s="22"/>
      <c r="N465" s="7"/>
      <c r="O465" s="210">
        <f t="shared" si="158"/>
        <v>524.5</v>
      </c>
      <c r="P465" s="220"/>
      <c r="Q465" s="221">
        <f t="shared" si="159"/>
        <v>524.5</v>
      </c>
    </row>
    <row r="466" spans="1:17" ht="12.75">
      <c r="A466" s="33" t="s">
        <v>275</v>
      </c>
      <c r="B466" s="80">
        <v>1216</v>
      </c>
      <c r="C466" s="139"/>
      <c r="D466" s="128">
        <f>4000</f>
        <v>4000</v>
      </c>
      <c r="E466" s="96">
        <f>219-4000</f>
        <v>-3781</v>
      </c>
      <c r="F466" s="190">
        <f t="shared" si="155"/>
        <v>219</v>
      </c>
      <c r="G466" s="261"/>
      <c r="H466" s="7"/>
      <c r="I466" s="23">
        <f t="shared" si="156"/>
        <v>219</v>
      </c>
      <c r="J466" s="22"/>
      <c r="K466" s="7"/>
      <c r="L466" s="23">
        <f t="shared" si="157"/>
        <v>219</v>
      </c>
      <c r="M466" s="22"/>
      <c r="N466" s="7"/>
      <c r="O466" s="210">
        <f t="shared" si="158"/>
        <v>219</v>
      </c>
      <c r="P466" s="220"/>
      <c r="Q466" s="221">
        <f t="shared" si="159"/>
        <v>219</v>
      </c>
    </row>
    <row r="467" spans="1:17" ht="12.75">
      <c r="A467" s="33" t="s">
        <v>280</v>
      </c>
      <c r="B467" s="80">
        <v>1239</v>
      </c>
      <c r="C467" s="139">
        <v>19850</v>
      </c>
      <c r="D467" s="128">
        <f>13000-3000+2500</f>
        <v>12500</v>
      </c>
      <c r="E467" s="96">
        <f>-6400</f>
        <v>-6400</v>
      </c>
      <c r="F467" s="190">
        <f t="shared" si="155"/>
        <v>25950</v>
      </c>
      <c r="G467" s="261"/>
      <c r="H467" s="7"/>
      <c r="I467" s="23">
        <f t="shared" si="156"/>
        <v>25950</v>
      </c>
      <c r="J467" s="22"/>
      <c r="K467" s="7"/>
      <c r="L467" s="23">
        <f t="shared" si="157"/>
        <v>25950</v>
      </c>
      <c r="M467" s="22"/>
      <c r="N467" s="7"/>
      <c r="O467" s="210">
        <f t="shared" si="158"/>
        <v>25950</v>
      </c>
      <c r="P467" s="220"/>
      <c r="Q467" s="221">
        <f t="shared" si="159"/>
        <v>25950</v>
      </c>
    </row>
    <row r="468" spans="1:17" ht="12.75">
      <c r="A468" s="37" t="s">
        <v>263</v>
      </c>
      <c r="B468" s="80">
        <v>1300</v>
      </c>
      <c r="C468" s="139"/>
      <c r="D468" s="128">
        <f>100+3706+3000+2200+8000+10000+1000+30000</f>
        <v>58006</v>
      </c>
      <c r="E468" s="96">
        <f>1300+7350+3000-100+31500-2200-8000</f>
        <v>32850</v>
      </c>
      <c r="F468" s="190">
        <f t="shared" si="155"/>
        <v>90856</v>
      </c>
      <c r="G468" s="261"/>
      <c r="H468" s="7"/>
      <c r="I468" s="23">
        <f t="shared" si="156"/>
        <v>90856</v>
      </c>
      <c r="J468" s="22"/>
      <c r="K468" s="7"/>
      <c r="L468" s="23">
        <f t="shared" si="157"/>
        <v>90856</v>
      </c>
      <c r="M468" s="22"/>
      <c r="N468" s="7"/>
      <c r="O468" s="210">
        <f t="shared" si="158"/>
        <v>90856</v>
      </c>
      <c r="P468" s="220"/>
      <c r="Q468" s="221">
        <f t="shared" si="159"/>
        <v>90856</v>
      </c>
    </row>
    <row r="469" spans="1:17" ht="12.75">
      <c r="A469" s="36" t="s">
        <v>274</v>
      </c>
      <c r="B469" s="83">
        <v>1110</v>
      </c>
      <c r="C469" s="254">
        <v>12000</v>
      </c>
      <c r="D469" s="244">
        <f>18000</f>
        <v>18000</v>
      </c>
      <c r="E469" s="104"/>
      <c r="F469" s="195">
        <f t="shared" si="155"/>
        <v>30000</v>
      </c>
      <c r="G469" s="263"/>
      <c r="H469" s="10"/>
      <c r="I469" s="27">
        <f t="shared" si="156"/>
        <v>30000</v>
      </c>
      <c r="J469" s="26"/>
      <c r="K469" s="10"/>
      <c r="L469" s="27">
        <f t="shared" si="157"/>
        <v>30000</v>
      </c>
      <c r="M469" s="26"/>
      <c r="N469" s="10"/>
      <c r="O469" s="213">
        <f t="shared" si="158"/>
        <v>30000</v>
      </c>
      <c r="P469" s="229"/>
      <c r="Q469" s="230">
        <f t="shared" si="159"/>
        <v>30000</v>
      </c>
    </row>
    <row r="470" spans="1:17" ht="12.75">
      <c r="A470" s="30" t="s">
        <v>134</v>
      </c>
      <c r="B470" s="84"/>
      <c r="C470" s="138">
        <f aca="true" t="shared" si="160" ref="C470:Q470">C471</f>
        <v>1</v>
      </c>
      <c r="D470" s="117">
        <f t="shared" si="160"/>
        <v>2458.05</v>
      </c>
      <c r="E470" s="95">
        <f t="shared" si="160"/>
        <v>0</v>
      </c>
      <c r="F470" s="189">
        <f t="shared" si="160"/>
        <v>2459.05</v>
      </c>
      <c r="G470" s="219">
        <f t="shared" si="160"/>
        <v>0</v>
      </c>
      <c r="H470" s="95">
        <f t="shared" si="160"/>
        <v>0</v>
      </c>
      <c r="I470" s="162">
        <f t="shared" si="160"/>
        <v>2459.05</v>
      </c>
      <c r="J470" s="94">
        <f t="shared" si="160"/>
        <v>0</v>
      </c>
      <c r="K470" s="95">
        <f t="shared" si="160"/>
        <v>0</v>
      </c>
      <c r="L470" s="162">
        <f t="shared" si="160"/>
        <v>2459.05</v>
      </c>
      <c r="M470" s="94">
        <f t="shared" si="160"/>
        <v>0</v>
      </c>
      <c r="N470" s="95">
        <f t="shared" si="160"/>
        <v>0</v>
      </c>
      <c r="O470" s="189">
        <f t="shared" si="160"/>
        <v>2459.05</v>
      </c>
      <c r="P470" s="219">
        <f t="shared" si="160"/>
        <v>0</v>
      </c>
      <c r="Q470" s="189">
        <f t="shared" si="160"/>
        <v>2459.05</v>
      </c>
    </row>
    <row r="471" spans="1:17" ht="12.75">
      <c r="A471" s="39" t="s">
        <v>49</v>
      </c>
      <c r="B471" s="84"/>
      <c r="C471" s="143">
        <f>C473</f>
        <v>1</v>
      </c>
      <c r="D471" s="131">
        <f aca="true" t="shared" si="161" ref="D471:Q471">D473</f>
        <v>2458.05</v>
      </c>
      <c r="E471" s="103">
        <f t="shared" si="161"/>
        <v>0</v>
      </c>
      <c r="F471" s="193">
        <f t="shared" si="161"/>
        <v>2459.05</v>
      </c>
      <c r="G471" s="227">
        <f t="shared" si="161"/>
        <v>0</v>
      </c>
      <c r="H471" s="103">
        <f t="shared" si="161"/>
        <v>0</v>
      </c>
      <c r="I471" s="166">
        <f t="shared" si="161"/>
        <v>2459.05</v>
      </c>
      <c r="J471" s="102">
        <f t="shared" si="161"/>
        <v>0</v>
      </c>
      <c r="K471" s="103">
        <f t="shared" si="161"/>
        <v>0</v>
      </c>
      <c r="L471" s="166">
        <f t="shared" si="161"/>
        <v>2459.05</v>
      </c>
      <c r="M471" s="102">
        <f t="shared" si="161"/>
        <v>0</v>
      </c>
      <c r="N471" s="103">
        <f t="shared" si="161"/>
        <v>0</v>
      </c>
      <c r="O471" s="193">
        <f t="shared" si="161"/>
        <v>2459.05</v>
      </c>
      <c r="P471" s="227">
        <f t="shared" si="161"/>
        <v>0</v>
      </c>
      <c r="Q471" s="193">
        <f t="shared" si="161"/>
        <v>2459.05</v>
      </c>
    </row>
    <row r="472" spans="1:17" ht="12.75">
      <c r="A472" s="35" t="s">
        <v>26</v>
      </c>
      <c r="B472" s="80"/>
      <c r="C472" s="139"/>
      <c r="D472" s="128"/>
      <c r="E472" s="96"/>
      <c r="F472" s="190"/>
      <c r="G472" s="261"/>
      <c r="H472" s="7"/>
      <c r="I472" s="23"/>
      <c r="J472" s="22"/>
      <c r="K472" s="7"/>
      <c r="L472" s="23"/>
      <c r="M472" s="22"/>
      <c r="N472" s="7"/>
      <c r="O472" s="210"/>
      <c r="P472" s="220"/>
      <c r="Q472" s="221"/>
    </row>
    <row r="473" spans="1:17" ht="13.5" thickBot="1">
      <c r="A473" s="270" t="s">
        <v>51</v>
      </c>
      <c r="B473" s="280"/>
      <c r="C473" s="272">
        <v>1</v>
      </c>
      <c r="D473" s="273">
        <f>2458.05</f>
        <v>2458.05</v>
      </c>
      <c r="E473" s="281"/>
      <c r="F473" s="275">
        <f>C473+D473+E473</f>
        <v>2459.05</v>
      </c>
      <c r="G473" s="263"/>
      <c r="H473" s="10"/>
      <c r="I473" s="27">
        <f>F473+G473+H473</f>
        <v>2459.05</v>
      </c>
      <c r="J473" s="26"/>
      <c r="K473" s="10"/>
      <c r="L473" s="27">
        <f>I473+J473+K473</f>
        <v>2459.05</v>
      </c>
      <c r="M473" s="26"/>
      <c r="N473" s="10"/>
      <c r="O473" s="213">
        <f>L473+M473+N473</f>
        <v>2459.05</v>
      </c>
      <c r="P473" s="229"/>
      <c r="Q473" s="230">
        <f>O473+P473</f>
        <v>2459.05</v>
      </c>
    </row>
    <row r="474" spans="1:17" ht="12.75">
      <c r="A474" s="30" t="s">
        <v>93</v>
      </c>
      <c r="B474" s="84"/>
      <c r="C474" s="138">
        <f>C476+C477</f>
        <v>666648</v>
      </c>
      <c r="D474" s="117">
        <f aca="true" t="shared" si="162" ref="D474:Q474">D476+D477</f>
        <v>773220.8600000001</v>
      </c>
      <c r="E474" s="95">
        <f t="shared" si="162"/>
        <v>0</v>
      </c>
      <c r="F474" s="189">
        <f t="shared" si="162"/>
        <v>1439868.8599999996</v>
      </c>
      <c r="G474" s="219">
        <f t="shared" si="162"/>
        <v>0</v>
      </c>
      <c r="H474" s="95">
        <f t="shared" si="162"/>
        <v>0</v>
      </c>
      <c r="I474" s="162">
        <f t="shared" si="162"/>
        <v>1439868.8599999996</v>
      </c>
      <c r="J474" s="94">
        <f t="shared" si="162"/>
        <v>0</v>
      </c>
      <c r="K474" s="95">
        <f t="shared" si="162"/>
        <v>0</v>
      </c>
      <c r="L474" s="162">
        <f t="shared" si="162"/>
        <v>1439868.8599999996</v>
      </c>
      <c r="M474" s="94">
        <f t="shared" si="162"/>
        <v>0</v>
      </c>
      <c r="N474" s="95">
        <f t="shared" si="162"/>
        <v>0</v>
      </c>
      <c r="O474" s="189">
        <f t="shared" si="162"/>
        <v>1439868.8599999996</v>
      </c>
      <c r="P474" s="219">
        <f t="shared" si="162"/>
        <v>0</v>
      </c>
      <c r="Q474" s="189">
        <f t="shared" si="162"/>
        <v>1439868.8599999996</v>
      </c>
    </row>
    <row r="475" spans="1:17" ht="12.75">
      <c r="A475" s="32" t="s">
        <v>26</v>
      </c>
      <c r="B475" s="80"/>
      <c r="C475" s="138"/>
      <c r="D475" s="117"/>
      <c r="E475" s="95"/>
      <c r="F475" s="189"/>
      <c r="G475" s="219"/>
      <c r="H475" s="95"/>
      <c r="I475" s="162"/>
      <c r="J475" s="94"/>
      <c r="K475" s="95"/>
      <c r="L475" s="162"/>
      <c r="M475" s="94"/>
      <c r="N475" s="95"/>
      <c r="O475" s="189"/>
      <c r="P475" s="219"/>
      <c r="Q475" s="189"/>
    </row>
    <row r="476" spans="1:17" ht="12.75">
      <c r="A476" s="30" t="s">
        <v>49</v>
      </c>
      <c r="B476" s="84"/>
      <c r="C476" s="141">
        <f>C480+C487+C489+C501+C503+C508+C519+C504+C494+C521+C496+C525</f>
        <v>38780</v>
      </c>
      <c r="D476" s="129">
        <f aca="true" t="shared" si="163" ref="D476:Q476">D480+D487+D489+D501+D503+D508+D519+D504+D494+D521+D496+D525</f>
        <v>78707.63</v>
      </c>
      <c r="E476" s="99">
        <f t="shared" si="163"/>
        <v>0</v>
      </c>
      <c r="F476" s="191">
        <f t="shared" si="163"/>
        <v>117487.62999999999</v>
      </c>
      <c r="G476" s="223">
        <f t="shared" si="163"/>
        <v>0</v>
      </c>
      <c r="H476" s="99">
        <f t="shared" si="163"/>
        <v>0</v>
      </c>
      <c r="I476" s="164">
        <f t="shared" si="163"/>
        <v>117487.62999999999</v>
      </c>
      <c r="J476" s="98">
        <f t="shared" si="163"/>
        <v>0</v>
      </c>
      <c r="K476" s="99">
        <f t="shared" si="163"/>
        <v>0</v>
      </c>
      <c r="L476" s="164">
        <f t="shared" si="163"/>
        <v>117487.62999999999</v>
      </c>
      <c r="M476" s="98">
        <f t="shared" si="163"/>
        <v>0</v>
      </c>
      <c r="N476" s="99">
        <f t="shared" si="163"/>
        <v>0</v>
      </c>
      <c r="O476" s="191">
        <f t="shared" si="163"/>
        <v>117487.62999999999</v>
      </c>
      <c r="P476" s="223">
        <f t="shared" si="163"/>
        <v>0</v>
      </c>
      <c r="Q476" s="191">
        <f t="shared" si="163"/>
        <v>117487.62999999999</v>
      </c>
    </row>
    <row r="477" spans="1:17" ht="12.75">
      <c r="A477" s="30" t="s">
        <v>53</v>
      </c>
      <c r="B477" s="84"/>
      <c r="C477" s="141">
        <f>+C481+C482+C484+C485+C486+C490+C491+C493+C495+C497+C499+C500+C502+C505+C507+C509+C510+C512+C513+C515+C516+C518+C520+C522+C524</f>
        <v>627868</v>
      </c>
      <c r="D477" s="129">
        <f aca="true" t="shared" si="164" ref="D477:Q477">+D481+D482+D484+D485+D486+D490+D491+D493+D495+D497+D499+D500+D502+D505+D507+D509+D510+D512+D513+D515+D516+D518+D520+D522+D524</f>
        <v>694513.2300000001</v>
      </c>
      <c r="E477" s="99">
        <f t="shared" si="164"/>
        <v>0</v>
      </c>
      <c r="F477" s="191">
        <f t="shared" si="164"/>
        <v>1322381.2299999997</v>
      </c>
      <c r="G477" s="223">
        <f t="shared" si="164"/>
        <v>0</v>
      </c>
      <c r="H477" s="99">
        <f t="shared" si="164"/>
        <v>0</v>
      </c>
      <c r="I477" s="164">
        <f t="shared" si="164"/>
        <v>1322381.2299999997</v>
      </c>
      <c r="J477" s="98">
        <f t="shared" si="164"/>
        <v>0</v>
      </c>
      <c r="K477" s="99">
        <f t="shared" si="164"/>
        <v>0</v>
      </c>
      <c r="L477" s="164">
        <f t="shared" si="164"/>
        <v>1322381.2299999997</v>
      </c>
      <c r="M477" s="98">
        <f t="shared" si="164"/>
        <v>0</v>
      </c>
      <c r="N477" s="99">
        <f t="shared" si="164"/>
        <v>0</v>
      </c>
      <c r="O477" s="191">
        <f t="shared" si="164"/>
        <v>1322381.2299999997</v>
      </c>
      <c r="P477" s="223">
        <f t="shared" si="164"/>
        <v>0</v>
      </c>
      <c r="Q477" s="191">
        <f t="shared" si="164"/>
        <v>1322381.2299999997</v>
      </c>
    </row>
    <row r="478" spans="1:17" ht="12.75">
      <c r="A478" s="31" t="s">
        <v>94</v>
      </c>
      <c r="B478" s="80"/>
      <c r="C478" s="138"/>
      <c r="D478" s="117"/>
      <c r="E478" s="95"/>
      <c r="F478" s="189"/>
      <c r="G478" s="260"/>
      <c r="H478" s="6"/>
      <c r="I478" s="21"/>
      <c r="J478" s="20"/>
      <c r="K478" s="6"/>
      <c r="L478" s="21"/>
      <c r="M478" s="20"/>
      <c r="N478" s="6"/>
      <c r="O478" s="209"/>
      <c r="P478" s="220"/>
      <c r="Q478" s="221"/>
    </row>
    <row r="479" spans="1:17" ht="12.75">
      <c r="A479" s="81" t="s">
        <v>298</v>
      </c>
      <c r="B479" s="80"/>
      <c r="C479" s="139">
        <f>C480+C481+C482</f>
        <v>33977</v>
      </c>
      <c r="D479" s="128">
        <f aca="true" t="shared" si="165" ref="D479:Q479">D480+D481+D482</f>
        <v>28400.73</v>
      </c>
      <c r="E479" s="96">
        <f t="shared" si="165"/>
        <v>0</v>
      </c>
      <c r="F479" s="190">
        <f t="shared" si="165"/>
        <v>62377.729999999996</v>
      </c>
      <c r="G479" s="222">
        <f t="shared" si="165"/>
        <v>0</v>
      </c>
      <c r="H479" s="96">
        <f t="shared" si="165"/>
        <v>0</v>
      </c>
      <c r="I479" s="163">
        <f t="shared" si="165"/>
        <v>62377.729999999996</v>
      </c>
      <c r="J479" s="97">
        <f t="shared" si="165"/>
        <v>0</v>
      </c>
      <c r="K479" s="96">
        <f t="shared" si="165"/>
        <v>0</v>
      </c>
      <c r="L479" s="163">
        <f t="shared" si="165"/>
        <v>62377.729999999996</v>
      </c>
      <c r="M479" s="97">
        <f t="shared" si="165"/>
        <v>0</v>
      </c>
      <c r="N479" s="96">
        <f t="shared" si="165"/>
        <v>0</v>
      </c>
      <c r="O479" s="190">
        <f t="shared" si="165"/>
        <v>62377.729999999996</v>
      </c>
      <c r="P479" s="222">
        <f t="shared" si="165"/>
        <v>0</v>
      </c>
      <c r="Q479" s="190">
        <f t="shared" si="165"/>
        <v>62377.729999999996</v>
      </c>
    </row>
    <row r="480" spans="1:17" ht="12.75" hidden="1">
      <c r="A480" s="32" t="s">
        <v>102</v>
      </c>
      <c r="B480" s="80"/>
      <c r="C480" s="138"/>
      <c r="D480" s="117"/>
      <c r="E480" s="95"/>
      <c r="F480" s="190">
        <f>C480+D480+E480</f>
        <v>0</v>
      </c>
      <c r="G480" s="260"/>
      <c r="H480" s="6"/>
      <c r="I480" s="23">
        <f>F480+G480+H480</f>
        <v>0</v>
      </c>
      <c r="J480" s="20"/>
      <c r="K480" s="6"/>
      <c r="L480" s="23">
        <f>I480+J480+K480</f>
        <v>0</v>
      </c>
      <c r="M480" s="20"/>
      <c r="N480" s="6"/>
      <c r="O480" s="210">
        <f>L480+M480+N480</f>
        <v>0</v>
      </c>
      <c r="P480" s="220"/>
      <c r="Q480" s="221">
        <f>O480+P480</f>
        <v>0</v>
      </c>
    </row>
    <row r="481" spans="1:17" ht="12.75">
      <c r="A481" s="32" t="s">
        <v>96</v>
      </c>
      <c r="B481" s="80"/>
      <c r="C481" s="139">
        <v>33977</v>
      </c>
      <c r="D481" s="128">
        <f>17490.32+1634</f>
        <v>19124.32</v>
      </c>
      <c r="E481" s="95"/>
      <c r="F481" s="190">
        <f>C481+D481+E481</f>
        <v>53101.32</v>
      </c>
      <c r="G481" s="260"/>
      <c r="H481" s="6"/>
      <c r="I481" s="23">
        <f>F481+G481+H481</f>
        <v>53101.32</v>
      </c>
      <c r="J481" s="20"/>
      <c r="K481" s="6"/>
      <c r="L481" s="23">
        <f>I481+J481+K481</f>
        <v>53101.32</v>
      </c>
      <c r="M481" s="20"/>
      <c r="N481" s="6"/>
      <c r="O481" s="210">
        <f>L481+M481+N481</f>
        <v>53101.32</v>
      </c>
      <c r="P481" s="220"/>
      <c r="Q481" s="221">
        <f>O481+P481</f>
        <v>53101.32</v>
      </c>
    </row>
    <row r="482" spans="1:17" ht="12.75">
      <c r="A482" s="32" t="s">
        <v>107</v>
      </c>
      <c r="B482" s="80"/>
      <c r="C482" s="138"/>
      <c r="D482" s="128">
        <f>10910.41-1634</f>
        <v>9276.41</v>
      </c>
      <c r="E482" s="95"/>
      <c r="F482" s="190">
        <f>C482+D482+E482</f>
        <v>9276.41</v>
      </c>
      <c r="G482" s="260"/>
      <c r="H482" s="6"/>
      <c r="I482" s="23">
        <f>F482+G482+H482</f>
        <v>9276.41</v>
      </c>
      <c r="J482" s="20"/>
      <c r="K482" s="6"/>
      <c r="L482" s="23">
        <f>I482+J482+K482</f>
        <v>9276.41</v>
      </c>
      <c r="M482" s="20"/>
      <c r="N482" s="6"/>
      <c r="O482" s="210">
        <f>L482+M482+N482</f>
        <v>9276.41</v>
      </c>
      <c r="P482" s="220"/>
      <c r="Q482" s="221">
        <f>O482+P482</f>
        <v>9276.41</v>
      </c>
    </row>
    <row r="483" spans="1:17" ht="12.75">
      <c r="A483" s="32" t="s">
        <v>98</v>
      </c>
      <c r="B483" s="80">
        <v>10</v>
      </c>
      <c r="C483" s="139">
        <f>SUM(C484:C487)</f>
        <v>100000</v>
      </c>
      <c r="D483" s="128">
        <f aca="true" t="shared" si="166" ref="D483:Q483">SUM(D484:D487)</f>
        <v>346443.79</v>
      </c>
      <c r="E483" s="96">
        <f t="shared" si="166"/>
        <v>0</v>
      </c>
      <c r="F483" s="190">
        <f t="shared" si="166"/>
        <v>446443.79</v>
      </c>
      <c r="G483" s="222">
        <f t="shared" si="166"/>
        <v>0</v>
      </c>
      <c r="H483" s="96">
        <f t="shared" si="166"/>
        <v>0</v>
      </c>
      <c r="I483" s="163">
        <f t="shared" si="166"/>
        <v>446443.79</v>
      </c>
      <c r="J483" s="97">
        <f t="shared" si="166"/>
        <v>0</v>
      </c>
      <c r="K483" s="96">
        <f t="shared" si="166"/>
        <v>0</v>
      </c>
      <c r="L483" s="163">
        <f t="shared" si="166"/>
        <v>446443.79</v>
      </c>
      <c r="M483" s="97">
        <f t="shared" si="166"/>
        <v>0</v>
      </c>
      <c r="N483" s="96">
        <f t="shared" si="166"/>
        <v>0</v>
      </c>
      <c r="O483" s="190">
        <f t="shared" si="166"/>
        <v>446443.79</v>
      </c>
      <c r="P483" s="222">
        <f t="shared" si="166"/>
        <v>0</v>
      </c>
      <c r="Q483" s="190">
        <f t="shared" si="166"/>
        <v>446443.79</v>
      </c>
    </row>
    <row r="484" spans="1:17" ht="12.75" hidden="1">
      <c r="A484" s="32" t="s">
        <v>99</v>
      </c>
      <c r="B484" s="80"/>
      <c r="C484" s="139"/>
      <c r="D484" s="128"/>
      <c r="E484" s="96"/>
      <c r="F484" s="190">
        <f aca="true" t="shared" si="167" ref="F484:F528">C484+D484+E484</f>
        <v>0</v>
      </c>
      <c r="G484" s="261"/>
      <c r="H484" s="7"/>
      <c r="I484" s="23">
        <f>F484+G484+H484</f>
        <v>0</v>
      </c>
      <c r="J484" s="22"/>
      <c r="K484" s="7"/>
      <c r="L484" s="23">
        <f>I484+J484+K484</f>
        <v>0</v>
      </c>
      <c r="M484" s="22"/>
      <c r="N484" s="7"/>
      <c r="O484" s="210">
        <f>L484+M484+N484</f>
        <v>0</v>
      </c>
      <c r="P484" s="220"/>
      <c r="Q484" s="221">
        <f>O484+P484</f>
        <v>0</v>
      </c>
    </row>
    <row r="485" spans="1:17" ht="12.75">
      <c r="A485" s="81" t="s">
        <v>96</v>
      </c>
      <c r="B485" s="80"/>
      <c r="C485" s="139">
        <v>80000</v>
      </c>
      <c r="D485" s="180">
        <f>20000+1000+318000</f>
        <v>339000</v>
      </c>
      <c r="E485" s="107"/>
      <c r="F485" s="190">
        <f t="shared" si="167"/>
        <v>419000</v>
      </c>
      <c r="G485" s="261"/>
      <c r="H485" s="7"/>
      <c r="I485" s="23">
        <f>F485+G485+H485</f>
        <v>419000</v>
      </c>
      <c r="J485" s="22"/>
      <c r="K485" s="7"/>
      <c r="L485" s="23">
        <f>I485+J485+K485</f>
        <v>419000</v>
      </c>
      <c r="M485" s="22"/>
      <c r="N485" s="7"/>
      <c r="O485" s="210">
        <f>L485+M485+N485</f>
        <v>419000</v>
      </c>
      <c r="P485" s="220"/>
      <c r="Q485" s="221">
        <f>O485+P485</f>
        <v>419000</v>
      </c>
    </row>
    <row r="486" spans="1:17" ht="12.75">
      <c r="A486" s="32" t="s">
        <v>97</v>
      </c>
      <c r="B486" s="80"/>
      <c r="C486" s="139"/>
      <c r="D486" s="128">
        <f>755.69</f>
        <v>755.69</v>
      </c>
      <c r="E486" s="96"/>
      <c r="F486" s="190">
        <f t="shared" si="167"/>
        <v>755.69</v>
      </c>
      <c r="G486" s="261"/>
      <c r="H486" s="7"/>
      <c r="I486" s="23">
        <f>F486+G486+H486</f>
        <v>755.69</v>
      </c>
      <c r="J486" s="22"/>
      <c r="K486" s="7"/>
      <c r="L486" s="23">
        <f>I486+J486+K486</f>
        <v>755.69</v>
      </c>
      <c r="M486" s="22"/>
      <c r="N486" s="7"/>
      <c r="O486" s="210">
        <f>L486+M486+N486</f>
        <v>755.69</v>
      </c>
      <c r="P486" s="220"/>
      <c r="Q486" s="221">
        <f>O486+P486</f>
        <v>755.69</v>
      </c>
    </row>
    <row r="487" spans="1:17" ht="12.75">
      <c r="A487" s="33" t="s">
        <v>126</v>
      </c>
      <c r="B487" s="80"/>
      <c r="C487" s="139">
        <v>20000</v>
      </c>
      <c r="D487" s="243">
        <f>6688.1</f>
        <v>6688.1</v>
      </c>
      <c r="E487" s="96"/>
      <c r="F487" s="190">
        <f t="shared" si="167"/>
        <v>26688.1</v>
      </c>
      <c r="G487" s="261"/>
      <c r="H487" s="7"/>
      <c r="I487" s="23">
        <f>F487+G487+H487</f>
        <v>26688.1</v>
      </c>
      <c r="J487" s="22"/>
      <c r="K487" s="7"/>
      <c r="L487" s="23">
        <f>I487+J487+K487</f>
        <v>26688.1</v>
      </c>
      <c r="M487" s="22"/>
      <c r="N487" s="7"/>
      <c r="O487" s="210">
        <f>L487+M487+N487</f>
        <v>26688.1</v>
      </c>
      <c r="P487" s="220"/>
      <c r="Q487" s="221">
        <f>O487+P487</f>
        <v>26688.1</v>
      </c>
    </row>
    <row r="488" spans="1:17" ht="12.75">
      <c r="A488" s="32" t="s">
        <v>101</v>
      </c>
      <c r="B488" s="80">
        <v>12</v>
      </c>
      <c r="C488" s="139">
        <f aca="true" t="shared" si="168" ref="C488:Q488">C489+C490+C491</f>
        <v>19000</v>
      </c>
      <c r="D488" s="128">
        <f t="shared" si="168"/>
        <v>36129</v>
      </c>
      <c r="E488" s="96">
        <f t="shared" si="168"/>
        <v>0</v>
      </c>
      <c r="F488" s="190">
        <f t="shared" si="168"/>
        <v>55129.00000000001</v>
      </c>
      <c r="G488" s="222">
        <f t="shared" si="168"/>
        <v>0</v>
      </c>
      <c r="H488" s="96">
        <f t="shared" si="168"/>
        <v>0</v>
      </c>
      <c r="I488" s="163">
        <f t="shared" si="168"/>
        <v>55129.00000000001</v>
      </c>
      <c r="J488" s="97">
        <f t="shared" si="168"/>
        <v>0</v>
      </c>
      <c r="K488" s="96">
        <f t="shared" si="168"/>
        <v>0</v>
      </c>
      <c r="L488" s="163">
        <f t="shared" si="168"/>
        <v>55129.00000000001</v>
      </c>
      <c r="M488" s="97">
        <f t="shared" si="168"/>
        <v>0</v>
      </c>
      <c r="N488" s="96">
        <f t="shared" si="168"/>
        <v>0</v>
      </c>
      <c r="O488" s="190">
        <f t="shared" si="168"/>
        <v>55129.00000000001</v>
      </c>
      <c r="P488" s="222">
        <f t="shared" si="168"/>
        <v>0</v>
      </c>
      <c r="Q488" s="190">
        <f t="shared" si="168"/>
        <v>55129.00000000001</v>
      </c>
    </row>
    <row r="489" spans="1:17" ht="12.75">
      <c r="A489" s="32" t="s">
        <v>102</v>
      </c>
      <c r="B489" s="80"/>
      <c r="C489" s="139">
        <v>5500</v>
      </c>
      <c r="D489" s="128">
        <f>24956.38</f>
        <v>24956.38</v>
      </c>
      <c r="E489" s="96"/>
      <c r="F489" s="190">
        <f t="shared" si="167"/>
        <v>30456.38</v>
      </c>
      <c r="G489" s="261"/>
      <c r="H489" s="7"/>
      <c r="I489" s="23">
        <f>F489+G489+H489</f>
        <v>30456.38</v>
      </c>
      <c r="J489" s="22"/>
      <c r="K489" s="7"/>
      <c r="L489" s="23">
        <f>I489+J489+K489</f>
        <v>30456.38</v>
      </c>
      <c r="M489" s="22"/>
      <c r="N489" s="7"/>
      <c r="O489" s="210">
        <f>L489+M489+N489</f>
        <v>30456.38</v>
      </c>
      <c r="P489" s="220"/>
      <c r="Q489" s="221">
        <f>O489+P489</f>
        <v>30456.38</v>
      </c>
    </row>
    <row r="490" spans="1:17" ht="12.75">
      <c r="A490" s="32" t="s">
        <v>100</v>
      </c>
      <c r="B490" s="80"/>
      <c r="C490" s="139">
        <v>13500</v>
      </c>
      <c r="D490" s="128">
        <f>10143.19</f>
        <v>10143.19</v>
      </c>
      <c r="E490" s="96"/>
      <c r="F490" s="190">
        <f t="shared" si="167"/>
        <v>23643.190000000002</v>
      </c>
      <c r="G490" s="261"/>
      <c r="H490" s="7"/>
      <c r="I490" s="23">
        <f>F490+G490+H490</f>
        <v>23643.190000000002</v>
      </c>
      <c r="J490" s="22"/>
      <c r="K490" s="7"/>
      <c r="L490" s="23">
        <f>I490+J490+K490</f>
        <v>23643.190000000002</v>
      </c>
      <c r="M490" s="22"/>
      <c r="N490" s="7"/>
      <c r="O490" s="210">
        <f>L490+M490+N490</f>
        <v>23643.190000000002</v>
      </c>
      <c r="P490" s="220"/>
      <c r="Q490" s="221">
        <f>O490+P490</f>
        <v>23643.190000000002</v>
      </c>
    </row>
    <row r="491" spans="1:17" ht="12.75" customHeight="1">
      <c r="A491" s="32" t="s">
        <v>97</v>
      </c>
      <c r="B491" s="80"/>
      <c r="C491" s="139"/>
      <c r="D491" s="128">
        <f>1029.43</f>
        <v>1029.43</v>
      </c>
      <c r="E491" s="96"/>
      <c r="F491" s="190">
        <f t="shared" si="167"/>
        <v>1029.43</v>
      </c>
      <c r="G491" s="261"/>
      <c r="H491" s="7"/>
      <c r="I491" s="23">
        <f>F491+G491+H491</f>
        <v>1029.43</v>
      </c>
      <c r="J491" s="22"/>
      <c r="K491" s="7"/>
      <c r="L491" s="23">
        <f>I491+J491+K491</f>
        <v>1029.43</v>
      </c>
      <c r="M491" s="22"/>
      <c r="N491" s="7"/>
      <c r="O491" s="210">
        <f>L491+M491+N491</f>
        <v>1029.43</v>
      </c>
      <c r="P491" s="220"/>
      <c r="Q491" s="221">
        <f>O491+P491</f>
        <v>1029.43</v>
      </c>
    </row>
    <row r="492" spans="1:17" ht="12.75">
      <c r="A492" s="32" t="s">
        <v>103</v>
      </c>
      <c r="B492" s="80">
        <v>14</v>
      </c>
      <c r="C492" s="139">
        <f>SUM(C493:C497)</f>
        <v>95000</v>
      </c>
      <c r="D492" s="128">
        <f aca="true" t="shared" si="169" ref="D492:Q492">SUM(D493:D497)</f>
        <v>152400</v>
      </c>
      <c r="E492" s="96">
        <f t="shared" si="169"/>
        <v>0</v>
      </c>
      <c r="F492" s="190">
        <f t="shared" si="169"/>
        <v>247400</v>
      </c>
      <c r="G492" s="222">
        <f t="shared" si="169"/>
        <v>0</v>
      </c>
      <c r="H492" s="96">
        <f t="shared" si="169"/>
        <v>0</v>
      </c>
      <c r="I492" s="163">
        <f t="shared" si="169"/>
        <v>247400</v>
      </c>
      <c r="J492" s="97">
        <f t="shared" si="169"/>
        <v>0</v>
      </c>
      <c r="K492" s="96">
        <f t="shared" si="169"/>
        <v>0</v>
      </c>
      <c r="L492" s="163">
        <f t="shared" si="169"/>
        <v>247400</v>
      </c>
      <c r="M492" s="97">
        <f t="shared" si="169"/>
        <v>0</v>
      </c>
      <c r="N492" s="96">
        <f t="shared" si="169"/>
        <v>0</v>
      </c>
      <c r="O492" s="190">
        <f t="shared" si="169"/>
        <v>247400</v>
      </c>
      <c r="P492" s="222">
        <f t="shared" si="169"/>
        <v>0</v>
      </c>
      <c r="Q492" s="190">
        <f t="shared" si="169"/>
        <v>247400</v>
      </c>
    </row>
    <row r="493" spans="1:17" ht="12.75">
      <c r="A493" s="32" t="s">
        <v>104</v>
      </c>
      <c r="B493" s="80"/>
      <c r="C493" s="139">
        <v>79500</v>
      </c>
      <c r="D493" s="180">
        <f>29774+700+3850+400+27800</f>
        <v>62524</v>
      </c>
      <c r="E493" s="107"/>
      <c r="F493" s="190">
        <f t="shared" si="167"/>
        <v>142024</v>
      </c>
      <c r="G493" s="261"/>
      <c r="H493" s="7"/>
      <c r="I493" s="23">
        <f>F493+G493+H493</f>
        <v>142024</v>
      </c>
      <c r="J493" s="22"/>
      <c r="K493" s="7"/>
      <c r="L493" s="23">
        <f>I493+J493+K493</f>
        <v>142024</v>
      </c>
      <c r="M493" s="22"/>
      <c r="N493" s="7"/>
      <c r="O493" s="210">
        <f>L493+M493+N493</f>
        <v>142024</v>
      </c>
      <c r="P493" s="220"/>
      <c r="Q493" s="221">
        <f aca="true" t="shared" si="170" ref="Q493:Q539">O493+P493</f>
        <v>142024</v>
      </c>
    </row>
    <row r="494" spans="1:17" ht="12.75">
      <c r="A494" s="32" t="s">
        <v>105</v>
      </c>
      <c r="B494" s="80"/>
      <c r="C494" s="139">
        <v>10500</v>
      </c>
      <c r="D494" s="128">
        <f>15699+1700</f>
        <v>17399</v>
      </c>
      <c r="E494" s="96"/>
      <c r="F494" s="190">
        <f t="shared" si="167"/>
        <v>27899</v>
      </c>
      <c r="G494" s="261"/>
      <c r="H494" s="7"/>
      <c r="I494" s="23">
        <f>F494+G494+H494</f>
        <v>27899</v>
      </c>
      <c r="J494" s="22"/>
      <c r="K494" s="7"/>
      <c r="L494" s="23">
        <f>I494+J494+K494</f>
        <v>27899</v>
      </c>
      <c r="M494" s="22"/>
      <c r="N494" s="7"/>
      <c r="O494" s="210">
        <f>L494+M494+N494</f>
        <v>27899</v>
      </c>
      <c r="P494" s="220"/>
      <c r="Q494" s="221">
        <f t="shared" si="170"/>
        <v>27899</v>
      </c>
    </row>
    <row r="495" spans="1:17" ht="13.5" customHeight="1">
      <c r="A495" s="32" t="s">
        <v>106</v>
      </c>
      <c r="B495" s="80"/>
      <c r="C495" s="139"/>
      <c r="D495" s="128">
        <f>53033+500+15000</f>
        <v>68533</v>
      </c>
      <c r="E495" s="96"/>
      <c r="F495" s="190">
        <f t="shared" si="167"/>
        <v>68533</v>
      </c>
      <c r="G495" s="261"/>
      <c r="H495" s="7"/>
      <c r="I495" s="23">
        <f>F495+G495+H495</f>
        <v>68533</v>
      </c>
      <c r="J495" s="22"/>
      <c r="K495" s="7"/>
      <c r="L495" s="23">
        <f>I495+J495+K495</f>
        <v>68533</v>
      </c>
      <c r="M495" s="22"/>
      <c r="N495" s="7"/>
      <c r="O495" s="210">
        <f>L495+M495+N495</f>
        <v>68533</v>
      </c>
      <c r="P495" s="220"/>
      <c r="Q495" s="221">
        <f t="shared" si="170"/>
        <v>68533</v>
      </c>
    </row>
    <row r="496" spans="1:17" ht="13.5" customHeight="1">
      <c r="A496" s="33" t="s">
        <v>126</v>
      </c>
      <c r="B496" s="80"/>
      <c r="C496" s="139"/>
      <c r="D496" s="128">
        <f>8944</f>
        <v>8944</v>
      </c>
      <c r="E496" s="96"/>
      <c r="F496" s="190">
        <f t="shared" si="167"/>
        <v>8944</v>
      </c>
      <c r="G496" s="261"/>
      <c r="H496" s="7"/>
      <c r="I496" s="23">
        <f>F496+G496+H496</f>
        <v>8944</v>
      </c>
      <c r="J496" s="22"/>
      <c r="K496" s="7"/>
      <c r="L496" s="23">
        <f>I496+J496+K496</f>
        <v>8944</v>
      </c>
      <c r="M496" s="22"/>
      <c r="N496" s="7"/>
      <c r="O496" s="210">
        <f>L496+M496+N496</f>
        <v>8944</v>
      </c>
      <c r="P496" s="220"/>
      <c r="Q496" s="221">
        <f t="shared" si="170"/>
        <v>8944</v>
      </c>
    </row>
    <row r="497" spans="1:17" ht="12.75">
      <c r="A497" s="32" t="s">
        <v>107</v>
      </c>
      <c r="B497" s="80"/>
      <c r="C497" s="139">
        <v>5000</v>
      </c>
      <c r="D497" s="128">
        <f>-5000</f>
        <v>-5000</v>
      </c>
      <c r="E497" s="96"/>
      <c r="F497" s="190">
        <f t="shared" si="167"/>
        <v>0</v>
      </c>
      <c r="G497" s="261"/>
      <c r="H497" s="7"/>
      <c r="I497" s="23">
        <f>F497+G497+H497</f>
        <v>0</v>
      </c>
      <c r="J497" s="22"/>
      <c r="K497" s="7"/>
      <c r="L497" s="23">
        <f>I497+J497+K497</f>
        <v>0</v>
      </c>
      <c r="M497" s="22"/>
      <c r="N497" s="7"/>
      <c r="O497" s="210">
        <f>L497+M497+N497</f>
        <v>0</v>
      </c>
      <c r="P497" s="220"/>
      <c r="Q497" s="221">
        <f t="shared" si="170"/>
        <v>0</v>
      </c>
    </row>
    <row r="498" spans="1:17" ht="12.75">
      <c r="A498" s="32" t="s">
        <v>108</v>
      </c>
      <c r="B498" s="80">
        <v>15</v>
      </c>
      <c r="C498" s="139">
        <f>SUM(C499:C505)</f>
        <v>50000</v>
      </c>
      <c r="D498" s="128">
        <f aca="true" t="shared" si="171" ref="D498:Q498">SUM(D499:D505)</f>
        <v>436122.12</v>
      </c>
      <c r="E498" s="96">
        <f t="shared" si="171"/>
        <v>0</v>
      </c>
      <c r="F498" s="190">
        <f t="shared" si="171"/>
        <v>486122.12</v>
      </c>
      <c r="G498" s="222">
        <f t="shared" si="171"/>
        <v>0</v>
      </c>
      <c r="H498" s="96">
        <f t="shared" si="171"/>
        <v>0</v>
      </c>
      <c r="I498" s="163">
        <f t="shared" si="171"/>
        <v>486122.12</v>
      </c>
      <c r="J498" s="97">
        <f t="shared" si="171"/>
        <v>0</v>
      </c>
      <c r="K498" s="96">
        <f t="shared" si="171"/>
        <v>0</v>
      </c>
      <c r="L498" s="163">
        <f t="shared" si="171"/>
        <v>486122.12</v>
      </c>
      <c r="M498" s="97">
        <f t="shared" si="171"/>
        <v>0</v>
      </c>
      <c r="N498" s="96">
        <f t="shared" si="171"/>
        <v>0</v>
      </c>
      <c r="O498" s="190">
        <f t="shared" si="171"/>
        <v>486122.12</v>
      </c>
      <c r="P498" s="222">
        <f t="shared" si="171"/>
        <v>0</v>
      </c>
      <c r="Q498" s="190">
        <f t="shared" si="171"/>
        <v>486122.12</v>
      </c>
    </row>
    <row r="499" spans="1:17" ht="12.75">
      <c r="A499" s="32" t="s">
        <v>109</v>
      </c>
      <c r="B499" s="80"/>
      <c r="C499" s="139">
        <v>16340</v>
      </c>
      <c r="D499" s="128">
        <f>51487.06+221833+70000-605+42427</f>
        <v>385142.06</v>
      </c>
      <c r="E499" s="96"/>
      <c r="F499" s="190">
        <f t="shared" si="167"/>
        <v>401482.06</v>
      </c>
      <c r="G499" s="261"/>
      <c r="H499" s="7"/>
      <c r="I499" s="23">
        <f aca="true" t="shared" si="172" ref="I499:I505">F499+G499+H499</f>
        <v>401482.06</v>
      </c>
      <c r="J499" s="22"/>
      <c r="K499" s="7"/>
      <c r="L499" s="23">
        <f aca="true" t="shared" si="173" ref="L499:L505">I499+J499+K499</f>
        <v>401482.06</v>
      </c>
      <c r="M499" s="22"/>
      <c r="N499" s="7"/>
      <c r="O499" s="210">
        <f aca="true" t="shared" si="174" ref="O499:O505">L499+M499+N499</f>
        <v>401482.06</v>
      </c>
      <c r="P499" s="220"/>
      <c r="Q499" s="221">
        <f t="shared" si="170"/>
        <v>401482.06</v>
      </c>
    </row>
    <row r="500" spans="1:17" ht="12.75" hidden="1">
      <c r="A500" s="32" t="s">
        <v>110</v>
      </c>
      <c r="B500" s="80"/>
      <c r="C500" s="139"/>
      <c r="D500" s="128"/>
      <c r="E500" s="96"/>
      <c r="F500" s="190">
        <f t="shared" si="167"/>
        <v>0</v>
      </c>
      <c r="G500" s="261"/>
      <c r="H500" s="7"/>
      <c r="I500" s="23">
        <f t="shared" si="172"/>
        <v>0</v>
      </c>
      <c r="J500" s="22"/>
      <c r="K500" s="7"/>
      <c r="L500" s="23">
        <f t="shared" si="173"/>
        <v>0</v>
      </c>
      <c r="M500" s="22"/>
      <c r="N500" s="7"/>
      <c r="O500" s="210">
        <f t="shared" si="174"/>
        <v>0</v>
      </c>
      <c r="P500" s="220"/>
      <c r="Q500" s="221">
        <f t="shared" si="170"/>
        <v>0</v>
      </c>
    </row>
    <row r="501" spans="1:17" ht="12.75" hidden="1">
      <c r="A501" s="32" t="s">
        <v>111</v>
      </c>
      <c r="B501" s="80"/>
      <c r="C501" s="139"/>
      <c r="D501" s="180"/>
      <c r="E501" s="107"/>
      <c r="F501" s="190">
        <f t="shared" si="167"/>
        <v>0</v>
      </c>
      <c r="G501" s="261"/>
      <c r="H501" s="7"/>
      <c r="I501" s="23">
        <f t="shared" si="172"/>
        <v>0</v>
      </c>
      <c r="J501" s="22"/>
      <c r="K501" s="7"/>
      <c r="L501" s="23">
        <f t="shared" si="173"/>
        <v>0</v>
      </c>
      <c r="M501" s="22"/>
      <c r="N501" s="7"/>
      <c r="O501" s="210">
        <f t="shared" si="174"/>
        <v>0</v>
      </c>
      <c r="P501" s="220"/>
      <c r="Q501" s="221">
        <f t="shared" si="170"/>
        <v>0</v>
      </c>
    </row>
    <row r="502" spans="1:17" ht="12.75">
      <c r="A502" s="32" t="s">
        <v>112</v>
      </c>
      <c r="B502" s="80"/>
      <c r="C502" s="139">
        <v>30396</v>
      </c>
      <c r="D502" s="128">
        <f>37957.66</f>
        <v>37957.66</v>
      </c>
      <c r="E502" s="96"/>
      <c r="F502" s="190">
        <f t="shared" si="167"/>
        <v>68353.66</v>
      </c>
      <c r="G502" s="261"/>
      <c r="H502" s="7"/>
      <c r="I502" s="23">
        <f t="shared" si="172"/>
        <v>68353.66</v>
      </c>
      <c r="J502" s="22"/>
      <c r="K502" s="7"/>
      <c r="L502" s="23">
        <f t="shared" si="173"/>
        <v>68353.66</v>
      </c>
      <c r="M502" s="22"/>
      <c r="N502" s="7"/>
      <c r="O502" s="210">
        <f t="shared" si="174"/>
        <v>68353.66</v>
      </c>
      <c r="P502" s="220"/>
      <c r="Q502" s="221">
        <f t="shared" si="170"/>
        <v>68353.66</v>
      </c>
    </row>
    <row r="503" spans="1:17" ht="12.75">
      <c r="A503" s="32" t="s">
        <v>113</v>
      </c>
      <c r="B503" s="80"/>
      <c r="C503" s="139">
        <v>1979</v>
      </c>
      <c r="D503" s="128">
        <f>401.5</f>
        <v>401.5</v>
      </c>
      <c r="E503" s="96"/>
      <c r="F503" s="190">
        <f t="shared" si="167"/>
        <v>2380.5</v>
      </c>
      <c r="G503" s="261"/>
      <c r="H503" s="7"/>
      <c r="I503" s="23">
        <f t="shared" si="172"/>
        <v>2380.5</v>
      </c>
      <c r="J503" s="29"/>
      <c r="K503" s="7"/>
      <c r="L503" s="23">
        <f t="shared" si="173"/>
        <v>2380.5</v>
      </c>
      <c r="M503" s="22"/>
      <c r="N503" s="7"/>
      <c r="O503" s="210">
        <f t="shared" si="174"/>
        <v>2380.5</v>
      </c>
      <c r="P503" s="220"/>
      <c r="Q503" s="221">
        <f t="shared" si="170"/>
        <v>2380.5</v>
      </c>
    </row>
    <row r="504" spans="1:17" ht="12.75">
      <c r="A504" s="32" t="s">
        <v>114</v>
      </c>
      <c r="B504" s="80"/>
      <c r="C504" s="139"/>
      <c r="D504" s="128">
        <f>4473.9+8167+605</f>
        <v>13245.9</v>
      </c>
      <c r="E504" s="96"/>
      <c r="F504" s="190">
        <f t="shared" si="167"/>
        <v>13245.9</v>
      </c>
      <c r="G504" s="261"/>
      <c r="H504" s="7"/>
      <c r="I504" s="23">
        <f t="shared" si="172"/>
        <v>13245.9</v>
      </c>
      <c r="J504" s="22"/>
      <c r="K504" s="7"/>
      <c r="L504" s="23">
        <f t="shared" si="173"/>
        <v>13245.9</v>
      </c>
      <c r="M504" s="22"/>
      <c r="N504" s="7"/>
      <c r="O504" s="210">
        <f t="shared" si="174"/>
        <v>13245.9</v>
      </c>
      <c r="P504" s="220"/>
      <c r="Q504" s="221">
        <f t="shared" si="170"/>
        <v>13245.9</v>
      </c>
    </row>
    <row r="505" spans="1:17" ht="12.75">
      <c r="A505" s="32" t="s">
        <v>107</v>
      </c>
      <c r="B505" s="80"/>
      <c r="C505" s="139">
        <v>1285</v>
      </c>
      <c r="D505" s="128">
        <f>-625</f>
        <v>-625</v>
      </c>
      <c r="E505" s="96"/>
      <c r="F505" s="190">
        <f t="shared" si="167"/>
        <v>660</v>
      </c>
      <c r="G505" s="261"/>
      <c r="H505" s="7"/>
      <c r="I505" s="23">
        <f t="shared" si="172"/>
        <v>660</v>
      </c>
      <c r="J505" s="22"/>
      <c r="K505" s="7"/>
      <c r="L505" s="23">
        <f t="shared" si="173"/>
        <v>660</v>
      </c>
      <c r="M505" s="22"/>
      <c r="N505" s="7"/>
      <c r="O505" s="210">
        <f t="shared" si="174"/>
        <v>660</v>
      </c>
      <c r="P505" s="220"/>
      <c r="Q505" s="221">
        <f t="shared" si="170"/>
        <v>660</v>
      </c>
    </row>
    <row r="506" spans="1:17" ht="12.75">
      <c r="A506" s="32" t="s">
        <v>115</v>
      </c>
      <c r="B506" s="80">
        <v>16</v>
      </c>
      <c r="C506" s="139">
        <f>SUM(C507:C510)</f>
        <v>5000</v>
      </c>
      <c r="D506" s="128">
        <f aca="true" t="shared" si="175" ref="D506:Q506">SUM(D507:D510)</f>
        <v>4013.59</v>
      </c>
      <c r="E506" s="96">
        <f t="shared" si="175"/>
        <v>0</v>
      </c>
      <c r="F506" s="190">
        <f t="shared" si="175"/>
        <v>9013.59</v>
      </c>
      <c r="G506" s="222">
        <f t="shared" si="175"/>
        <v>0</v>
      </c>
      <c r="H506" s="96">
        <f t="shared" si="175"/>
        <v>0</v>
      </c>
      <c r="I506" s="163">
        <f t="shared" si="175"/>
        <v>9013.59</v>
      </c>
      <c r="J506" s="97">
        <f t="shared" si="175"/>
        <v>0</v>
      </c>
      <c r="K506" s="96">
        <f t="shared" si="175"/>
        <v>0</v>
      </c>
      <c r="L506" s="163">
        <f t="shared" si="175"/>
        <v>9013.59</v>
      </c>
      <c r="M506" s="97">
        <f t="shared" si="175"/>
        <v>0</v>
      </c>
      <c r="N506" s="96">
        <f t="shared" si="175"/>
        <v>0</v>
      </c>
      <c r="O506" s="190">
        <f t="shared" si="175"/>
        <v>9013.59</v>
      </c>
      <c r="P506" s="222">
        <f t="shared" si="175"/>
        <v>0</v>
      </c>
      <c r="Q506" s="190">
        <f t="shared" si="175"/>
        <v>9013.59</v>
      </c>
    </row>
    <row r="507" spans="1:17" ht="12.75">
      <c r="A507" s="32" t="s">
        <v>104</v>
      </c>
      <c r="B507" s="80"/>
      <c r="C507" s="139">
        <v>4927</v>
      </c>
      <c r="D507" s="128">
        <f>60+350+900</f>
        <v>1310</v>
      </c>
      <c r="E507" s="96"/>
      <c r="F507" s="190">
        <f t="shared" si="167"/>
        <v>6237</v>
      </c>
      <c r="G507" s="261"/>
      <c r="H507" s="7"/>
      <c r="I507" s="23">
        <f>F507+G507+H507</f>
        <v>6237</v>
      </c>
      <c r="J507" s="22"/>
      <c r="K507" s="7"/>
      <c r="L507" s="23">
        <f>I507+J507+K507</f>
        <v>6237</v>
      </c>
      <c r="M507" s="22"/>
      <c r="N507" s="7"/>
      <c r="O507" s="210">
        <f>L507+M507+N507</f>
        <v>6237</v>
      </c>
      <c r="P507" s="220"/>
      <c r="Q507" s="221">
        <f t="shared" si="170"/>
        <v>6237</v>
      </c>
    </row>
    <row r="508" spans="1:17" ht="12.75">
      <c r="A508" s="32" t="s">
        <v>105</v>
      </c>
      <c r="B508" s="80"/>
      <c r="C508" s="139"/>
      <c r="D508" s="128">
        <f>200+350</f>
        <v>550</v>
      </c>
      <c r="E508" s="96"/>
      <c r="F508" s="190">
        <f t="shared" si="167"/>
        <v>550</v>
      </c>
      <c r="G508" s="261"/>
      <c r="H508" s="7"/>
      <c r="I508" s="23">
        <f>F508+G508+H508</f>
        <v>550</v>
      </c>
      <c r="J508" s="22"/>
      <c r="K508" s="7"/>
      <c r="L508" s="23">
        <f>I508+J508+K508</f>
        <v>550</v>
      </c>
      <c r="M508" s="22"/>
      <c r="N508" s="7"/>
      <c r="O508" s="210">
        <f>L508+M508+N508</f>
        <v>550</v>
      </c>
      <c r="P508" s="220"/>
      <c r="Q508" s="221">
        <f t="shared" si="170"/>
        <v>550</v>
      </c>
    </row>
    <row r="509" spans="1:17" ht="12.75">
      <c r="A509" s="32" t="s">
        <v>106</v>
      </c>
      <c r="B509" s="80"/>
      <c r="C509" s="139"/>
      <c r="D509" s="128">
        <f>1959.44+100</f>
        <v>2059.44</v>
      </c>
      <c r="E509" s="96"/>
      <c r="F509" s="190">
        <f t="shared" si="167"/>
        <v>2059.44</v>
      </c>
      <c r="G509" s="261"/>
      <c r="H509" s="7"/>
      <c r="I509" s="23">
        <f>F509+G509+H509</f>
        <v>2059.44</v>
      </c>
      <c r="J509" s="22"/>
      <c r="K509" s="7"/>
      <c r="L509" s="23">
        <f>I509+J509+K509</f>
        <v>2059.44</v>
      </c>
      <c r="M509" s="22"/>
      <c r="N509" s="7"/>
      <c r="O509" s="210">
        <f>L509+M509+N509</f>
        <v>2059.44</v>
      </c>
      <c r="P509" s="220"/>
      <c r="Q509" s="221">
        <f t="shared" si="170"/>
        <v>2059.44</v>
      </c>
    </row>
    <row r="510" spans="1:17" ht="12.75">
      <c r="A510" s="32" t="s">
        <v>107</v>
      </c>
      <c r="B510" s="80"/>
      <c r="C510" s="139">
        <v>73</v>
      </c>
      <c r="D510" s="128">
        <f>794.15-700</f>
        <v>94.14999999999998</v>
      </c>
      <c r="E510" s="96"/>
      <c r="F510" s="190">
        <f t="shared" si="167"/>
        <v>167.14999999999998</v>
      </c>
      <c r="G510" s="261"/>
      <c r="H510" s="7"/>
      <c r="I510" s="23">
        <f>F510+G510+H510</f>
        <v>167.14999999999998</v>
      </c>
      <c r="J510" s="22"/>
      <c r="K510" s="7"/>
      <c r="L510" s="23">
        <f>I510+J510+K510</f>
        <v>167.14999999999998</v>
      </c>
      <c r="M510" s="22"/>
      <c r="N510" s="7"/>
      <c r="O510" s="210">
        <f>L510+M510+N510</f>
        <v>167.14999999999998</v>
      </c>
      <c r="P510" s="220"/>
      <c r="Q510" s="221">
        <f t="shared" si="170"/>
        <v>167.14999999999998</v>
      </c>
    </row>
    <row r="511" spans="1:17" ht="12.75">
      <c r="A511" s="32" t="s">
        <v>95</v>
      </c>
      <c r="B511" s="80">
        <v>18</v>
      </c>
      <c r="C511" s="139">
        <f>C512+C513</f>
        <v>1670</v>
      </c>
      <c r="D511" s="128">
        <f aca="true" t="shared" si="176" ref="D511:Q511">D512+D513</f>
        <v>417.88</v>
      </c>
      <c r="E511" s="96">
        <f t="shared" si="176"/>
        <v>0</v>
      </c>
      <c r="F511" s="190">
        <f t="shared" si="176"/>
        <v>2087.88</v>
      </c>
      <c r="G511" s="222">
        <f t="shared" si="176"/>
        <v>0</v>
      </c>
      <c r="H511" s="96">
        <f t="shared" si="176"/>
        <v>0</v>
      </c>
      <c r="I511" s="163">
        <f t="shared" si="176"/>
        <v>2087.88</v>
      </c>
      <c r="J511" s="97">
        <f t="shared" si="176"/>
        <v>0</v>
      </c>
      <c r="K511" s="96">
        <f t="shared" si="176"/>
        <v>0</v>
      </c>
      <c r="L511" s="163">
        <f t="shared" si="176"/>
        <v>2087.88</v>
      </c>
      <c r="M511" s="97">
        <f t="shared" si="176"/>
        <v>0</v>
      </c>
      <c r="N511" s="96">
        <f t="shared" si="176"/>
        <v>0</v>
      </c>
      <c r="O511" s="190">
        <f t="shared" si="176"/>
        <v>2087.88</v>
      </c>
      <c r="P511" s="222">
        <f t="shared" si="176"/>
        <v>0</v>
      </c>
      <c r="Q511" s="190">
        <f t="shared" si="176"/>
        <v>2087.88</v>
      </c>
    </row>
    <row r="512" spans="1:17" ht="12.75">
      <c r="A512" s="32" t="s">
        <v>96</v>
      </c>
      <c r="B512" s="80"/>
      <c r="C512" s="139">
        <v>1670</v>
      </c>
      <c r="D512" s="128">
        <f>417.88</f>
        <v>417.88</v>
      </c>
      <c r="E512" s="96"/>
      <c r="F512" s="190">
        <f>C512+D512+E512</f>
        <v>2087.88</v>
      </c>
      <c r="G512" s="261"/>
      <c r="H512" s="7"/>
      <c r="I512" s="23">
        <f>F512+G512+H512</f>
        <v>2087.88</v>
      </c>
      <c r="J512" s="22"/>
      <c r="K512" s="7"/>
      <c r="L512" s="23">
        <f>I512+J512+K512</f>
        <v>2087.88</v>
      </c>
      <c r="M512" s="22"/>
      <c r="N512" s="7"/>
      <c r="O512" s="210">
        <f>L512+M512+N512</f>
        <v>2087.88</v>
      </c>
      <c r="P512" s="220"/>
      <c r="Q512" s="221">
        <f t="shared" si="170"/>
        <v>2087.88</v>
      </c>
    </row>
    <row r="513" spans="1:17" ht="12.75" hidden="1">
      <c r="A513" s="32" t="s">
        <v>97</v>
      </c>
      <c r="B513" s="80"/>
      <c r="C513" s="139">
        <v>0</v>
      </c>
      <c r="D513" s="128"/>
      <c r="E513" s="96"/>
      <c r="F513" s="190">
        <f>C513+D513+E513</f>
        <v>0</v>
      </c>
      <c r="G513" s="261"/>
      <c r="H513" s="7"/>
      <c r="I513" s="23">
        <f>F513+G513+H513</f>
        <v>0</v>
      </c>
      <c r="J513" s="22"/>
      <c r="K513" s="7"/>
      <c r="L513" s="23">
        <f>I513+J513+K513</f>
        <v>0</v>
      </c>
      <c r="M513" s="22"/>
      <c r="N513" s="7"/>
      <c r="O513" s="210">
        <f>L513+M513+N513</f>
        <v>0</v>
      </c>
      <c r="P513" s="220"/>
      <c r="Q513" s="221">
        <f t="shared" si="170"/>
        <v>0</v>
      </c>
    </row>
    <row r="514" spans="1:17" ht="12.75">
      <c r="A514" s="81" t="s">
        <v>235</v>
      </c>
      <c r="B514" s="80">
        <v>19</v>
      </c>
      <c r="C514" s="139">
        <f>C515+C516</f>
        <v>2000</v>
      </c>
      <c r="D514" s="128">
        <f aca="true" t="shared" si="177" ref="D514:Q514">D515+D516</f>
        <v>2274.74</v>
      </c>
      <c r="E514" s="96">
        <f t="shared" si="177"/>
        <v>0</v>
      </c>
      <c r="F514" s="190">
        <f t="shared" si="177"/>
        <v>4274.74</v>
      </c>
      <c r="G514" s="222">
        <f t="shared" si="177"/>
        <v>0</v>
      </c>
      <c r="H514" s="96">
        <f t="shared" si="177"/>
        <v>0</v>
      </c>
      <c r="I514" s="163">
        <f t="shared" si="177"/>
        <v>4274.74</v>
      </c>
      <c r="J514" s="97">
        <f t="shared" si="177"/>
        <v>0</v>
      </c>
      <c r="K514" s="96">
        <f t="shared" si="177"/>
        <v>0</v>
      </c>
      <c r="L514" s="163">
        <f t="shared" si="177"/>
        <v>4274.74</v>
      </c>
      <c r="M514" s="97">
        <f t="shared" si="177"/>
        <v>0</v>
      </c>
      <c r="N514" s="96">
        <f t="shared" si="177"/>
        <v>0</v>
      </c>
      <c r="O514" s="190">
        <f t="shared" si="177"/>
        <v>4274.74</v>
      </c>
      <c r="P514" s="222">
        <f t="shared" si="177"/>
        <v>0</v>
      </c>
      <c r="Q514" s="190">
        <f t="shared" si="177"/>
        <v>4274.74</v>
      </c>
    </row>
    <row r="515" spans="1:17" ht="12.75">
      <c r="A515" s="32" t="s">
        <v>96</v>
      </c>
      <c r="B515" s="80"/>
      <c r="C515" s="139">
        <v>2000</v>
      </c>
      <c r="D515" s="128">
        <f>2051.27</f>
        <v>2051.27</v>
      </c>
      <c r="E515" s="96"/>
      <c r="F515" s="190">
        <f>C515+D515+E515</f>
        <v>4051.27</v>
      </c>
      <c r="G515" s="261"/>
      <c r="H515" s="7"/>
      <c r="I515" s="23">
        <f>F515+G515+H515</f>
        <v>4051.27</v>
      </c>
      <c r="J515" s="22"/>
      <c r="K515" s="7"/>
      <c r="L515" s="23">
        <f>I515+J515+K515</f>
        <v>4051.27</v>
      </c>
      <c r="M515" s="22"/>
      <c r="N515" s="7"/>
      <c r="O515" s="210">
        <f>L515+M515+N515</f>
        <v>4051.27</v>
      </c>
      <c r="P515" s="220"/>
      <c r="Q515" s="221">
        <f t="shared" si="170"/>
        <v>4051.27</v>
      </c>
    </row>
    <row r="516" spans="1:17" ht="12.75">
      <c r="A516" s="32" t="s">
        <v>97</v>
      </c>
      <c r="B516" s="80"/>
      <c r="C516" s="139"/>
      <c r="D516" s="128">
        <f>223.47</f>
        <v>223.47</v>
      </c>
      <c r="E516" s="96"/>
      <c r="F516" s="190">
        <f>C516+D516+E516</f>
        <v>223.47</v>
      </c>
      <c r="G516" s="261"/>
      <c r="H516" s="7"/>
      <c r="I516" s="23">
        <f>F516+G516+H516</f>
        <v>223.47</v>
      </c>
      <c r="J516" s="22"/>
      <c r="K516" s="7"/>
      <c r="L516" s="23">
        <f>I516+J516+K516</f>
        <v>223.47</v>
      </c>
      <c r="M516" s="22"/>
      <c r="N516" s="7"/>
      <c r="O516" s="210">
        <f>L516+M516+N516</f>
        <v>223.47</v>
      </c>
      <c r="P516" s="220"/>
      <c r="Q516" s="221">
        <f t="shared" si="170"/>
        <v>223.47</v>
      </c>
    </row>
    <row r="517" spans="1:17" ht="12.75">
      <c r="A517" s="32" t="s">
        <v>116</v>
      </c>
      <c r="B517" s="80">
        <v>28</v>
      </c>
      <c r="C517" s="139">
        <f>SUM(C518:C522)</f>
        <v>30000</v>
      </c>
      <c r="D517" s="128">
        <f aca="true" t="shared" si="178" ref="D517:Q517">SUM(D518:D522)</f>
        <v>45846.26</v>
      </c>
      <c r="E517" s="96">
        <f t="shared" si="178"/>
        <v>0</v>
      </c>
      <c r="F517" s="190">
        <f t="shared" si="178"/>
        <v>75846.26000000001</v>
      </c>
      <c r="G517" s="222">
        <f t="shared" si="178"/>
        <v>0</v>
      </c>
      <c r="H517" s="96">
        <f t="shared" si="178"/>
        <v>0</v>
      </c>
      <c r="I517" s="163">
        <f t="shared" si="178"/>
        <v>75846.26000000001</v>
      </c>
      <c r="J517" s="97">
        <f t="shared" si="178"/>
        <v>0</v>
      </c>
      <c r="K517" s="96">
        <f t="shared" si="178"/>
        <v>0</v>
      </c>
      <c r="L517" s="163">
        <f t="shared" si="178"/>
        <v>75846.26000000001</v>
      </c>
      <c r="M517" s="97">
        <f t="shared" si="178"/>
        <v>0</v>
      </c>
      <c r="N517" s="96">
        <f t="shared" si="178"/>
        <v>0</v>
      </c>
      <c r="O517" s="190">
        <f t="shared" si="178"/>
        <v>75846.26000000001</v>
      </c>
      <c r="P517" s="222">
        <f t="shared" si="178"/>
        <v>0</v>
      </c>
      <c r="Q517" s="190">
        <f t="shared" si="178"/>
        <v>75846.26000000001</v>
      </c>
    </row>
    <row r="518" spans="1:17" ht="12.75">
      <c r="A518" s="32" t="s">
        <v>104</v>
      </c>
      <c r="B518" s="80"/>
      <c r="C518" s="139">
        <v>16800</v>
      </c>
      <c r="D518" s="180">
        <f>8596.79+3300-3800</f>
        <v>8096.790000000001</v>
      </c>
      <c r="E518" s="96"/>
      <c r="F518" s="190">
        <f t="shared" si="167"/>
        <v>24896.79</v>
      </c>
      <c r="G518" s="261"/>
      <c r="H518" s="7"/>
      <c r="I518" s="23">
        <f>F518+G518+H518</f>
        <v>24896.79</v>
      </c>
      <c r="J518" s="22"/>
      <c r="K518" s="7"/>
      <c r="L518" s="23">
        <f>I518+J518+K518</f>
        <v>24896.79</v>
      </c>
      <c r="M518" s="22"/>
      <c r="N518" s="7"/>
      <c r="O518" s="210">
        <f>L518+M518+N518</f>
        <v>24896.79</v>
      </c>
      <c r="P518" s="220"/>
      <c r="Q518" s="221">
        <f t="shared" si="170"/>
        <v>24896.79</v>
      </c>
    </row>
    <row r="519" spans="1:17" ht="12.75">
      <c r="A519" s="32" t="s">
        <v>105</v>
      </c>
      <c r="B519" s="80"/>
      <c r="C519" s="139">
        <v>800</v>
      </c>
      <c r="D519" s="128">
        <f>850+1000</f>
        <v>1850</v>
      </c>
      <c r="E519" s="96"/>
      <c r="F519" s="190">
        <f t="shared" si="167"/>
        <v>2650</v>
      </c>
      <c r="G519" s="261"/>
      <c r="H519" s="7"/>
      <c r="I519" s="23">
        <f>F519+G519+H519</f>
        <v>2650</v>
      </c>
      <c r="J519" s="22"/>
      <c r="K519" s="7"/>
      <c r="L519" s="23">
        <f>I519+J519+K519</f>
        <v>2650</v>
      </c>
      <c r="M519" s="22"/>
      <c r="N519" s="7"/>
      <c r="O519" s="210">
        <f>L519+M519+N519</f>
        <v>2650</v>
      </c>
      <c r="P519" s="220"/>
      <c r="Q519" s="221">
        <f t="shared" si="170"/>
        <v>2650</v>
      </c>
    </row>
    <row r="520" spans="1:17" ht="12.75">
      <c r="A520" s="32" t="s">
        <v>117</v>
      </c>
      <c r="B520" s="80"/>
      <c r="C520" s="139">
        <v>12400</v>
      </c>
      <c r="D520" s="128">
        <f>31672.81+3000</f>
        <v>34672.81</v>
      </c>
      <c r="E520" s="96"/>
      <c r="F520" s="190">
        <f t="shared" si="167"/>
        <v>47072.81</v>
      </c>
      <c r="G520" s="261"/>
      <c r="H520" s="7"/>
      <c r="I520" s="23">
        <f>F520+G520+H520</f>
        <v>47072.81</v>
      </c>
      <c r="J520" s="22"/>
      <c r="K520" s="7"/>
      <c r="L520" s="23">
        <f>I520+J520+K520</f>
        <v>47072.81</v>
      </c>
      <c r="M520" s="22"/>
      <c r="N520" s="7"/>
      <c r="O520" s="210">
        <f>L520+M520+N520</f>
        <v>47072.81</v>
      </c>
      <c r="P520" s="220"/>
      <c r="Q520" s="221">
        <f t="shared" si="170"/>
        <v>47072.81</v>
      </c>
    </row>
    <row r="521" spans="1:17" ht="12.75" hidden="1">
      <c r="A521" s="32" t="s">
        <v>114</v>
      </c>
      <c r="B521" s="80"/>
      <c r="C521" s="139"/>
      <c r="D521" s="128"/>
      <c r="E521" s="96"/>
      <c r="F521" s="190">
        <f t="shared" si="167"/>
        <v>0</v>
      </c>
      <c r="G521" s="261"/>
      <c r="H521" s="7"/>
      <c r="I521" s="23">
        <f>F521+G521+H521</f>
        <v>0</v>
      </c>
      <c r="J521" s="22"/>
      <c r="K521" s="7"/>
      <c r="L521" s="23">
        <f>I521+J521+K521</f>
        <v>0</v>
      </c>
      <c r="M521" s="22"/>
      <c r="N521" s="7"/>
      <c r="O521" s="210">
        <f>L521+M521+N521</f>
        <v>0</v>
      </c>
      <c r="P521" s="220"/>
      <c r="Q521" s="221">
        <f t="shared" si="170"/>
        <v>0</v>
      </c>
    </row>
    <row r="522" spans="1:17" ht="12.75">
      <c r="A522" s="32" t="s">
        <v>107</v>
      </c>
      <c r="B522" s="80"/>
      <c r="C522" s="139"/>
      <c r="D522" s="180">
        <f>1426.66-200</f>
        <v>1226.66</v>
      </c>
      <c r="E522" s="96"/>
      <c r="F522" s="190">
        <f t="shared" si="167"/>
        <v>1226.66</v>
      </c>
      <c r="G522" s="261"/>
      <c r="H522" s="7"/>
      <c r="I522" s="23">
        <f>F522+G522+H522</f>
        <v>1226.66</v>
      </c>
      <c r="J522" s="22"/>
      <c r="K522" s="7"/>
      <c r="L522" s="23">
        <f>I522+J522+K522</f>
        <v>1226.66</v>
      </c>
      <c r="M522" s="22"/>
      <c r="N522" s="7"/>
      <c r="O522" s="210">
        <f>L522+M522+N522</f>
        <v>1226.66</v>
      </c>
      <c r="P522" s="220"/>
      <c r="Q522" s="221">
        <f t="shared" si="170"/>
        <v>1226.66</v>
      </c>
    </row>
    <row r="523" spans="1:17" ht="12.75">
      <c r="A523" s="33" t="s">
        <v>118</v>
      </c>
      <c r="B523" s="80"/>
      <c r="C523" s="139">
        <f>C524+C525</f>
        <v>330001</v>
      </c>
      <c r="D523" s="128">
        <f aca="true" t="shared" si="179" ref="D523:Q523">D524+D525</f>
        <v>-278827.25</v>
      </c>
      <c r="E523" s="96">
        <f t="shared" si="179"/>
        <v>0</v>
      </c>
      <c r="F523" s="190">
        <f t="shared" si="179"/>
        <v>51173.75</v>
      </c>
      <c r="G523" s="222">
        <f t="shared" si="179"/>
        <v>0</v>
      </c>
      <c r="H523" s="96">
        <f t="shared" si="179"/>
        <v>0</v>
      </c>
      <c r="I523" s="163">
        <f t="shared" si="179"/>
        <v>51173.75</v>
      </c>
      <c r="J523" s="97">
        <f t="shared" si="179"/>
        <v>0</v>
      </c>
      <c r="K523" s="96">
        <f t="shared" si="179"/>
        <v>0</v>
      </c>
      <c r="L523" s="163">
        <f t="shared" si="179"/>
        <v>51173.75</v>
      </c>
      <c r="M523" s="97">
        <f t="shared" si="179"/>
        <v>0</v>
      </c>
      <c r="N523" s="96">
        <f t="shared" si="179"/>
        <v>0</v>
      </c>
      <c r="O523" s="190">
        <f t="shared" si="179"/>
        <v>51173.75</v>
      </c>
      <c r="P523" s="222">
        <f t="shared" si="179"/>
        <v>0</v>
      </c>
      <c r="Q523" s="190">
        <f t="shared" si="179"/>
        <v>51173.75</v>
      </c>
    </row>
    <row r="524" spans="1:17" ht="12.75">
      <c r="A524" s="33" t="s">
        <v>220</v>
      </c>
      <c r="B524" s="80"/>
      <c r="C524" s="139">
        <v>330000</v>
      </c>
      <c r="D524" s="128">
        <f>-230000-70000+17500-1000</f>
        <v>-283500</v>
      </c>
      <c r="E524" s="96"/>
      <c r="F524" s="190">
        <f t="shared" si="167"/>
        <v>46500</v>
      </c>
      <c r="G524" s="261"/>
      <c r="H524" s="7"/>
      <c r="I524" s="23">
        <f>F524+G524+H524</f>
        <v>46500</v>
      </c>
      <c r="J524" s="22"/>
      <c r="K524" s="7"/>
      <c r="L524" s="23">
        <f>I524+J524+K524</f>
        <v>46500</v>
      </c>
      <c r="M524" s="22"/>
      <c r="N524" s="7"/>
      <c r="O524" s="210">
        <f>L524+M524+N524</f>
        <v>46500</v>
      </c>
      <c r="P524" s="220"/>
      <c r="Q524" s="221">
        <f t="shared" si="170"/>
        <v>46500</v>
      </c>
    </row>
    <row r="525" spans="1:17" ht="12.75">
      <c r="A525" s="36" t="s">
        <v>257</v>
      </c>
      <c r="B525" s="83"/>
      <c r="C525" s="253">
        <v>1</v>
      </c>
      <c r="D525" s="244">
        <f>4645.99+26.76</f>
        <v>4672.75</v>
      </c>
      <c r="E525" s="104"/>
      <c r="F525" s="195">
        <f t="shared" si="167"/>
        <v>4673.75</v>
      </c>
      <c r="G525" s="263"/>
      <c r="H525" s="10"/>
      <c r="I525" s="27">
        <f>F525+G525+H525</f>
        <v>4673.75</v>
      </c>
      <c r="J525" s="26"/>
      <c r="K525" s="10"/>
      <c r="L525" s="27">
        <f>I525+J525+K525</f>
        <v>4673.75</v>
      </c>
      <c r="M525" s="26"/>
      <c r="N525" s="10"/>
      <c r="O525" s="213">
        <f>L525+M525+N525</f>
        <v>4673.75</v>
      </c>
      <c r="P525" s="229"/>
      <c r="Q525" s="230">
        <f t="shared" si="170"/>
        <v>4673.75</v>
      </c>
    </row>
    <row r="526" spans="1:17" ht="13.5" thickBot="1">
      <c r="A526" s="45" t="s">
        <v>119</v>
      </c>
      <c r="B526" s="84"/>
      <c r="C526" s="141">
        <v>10846.36</v>
      </c>
      <c r="D526" s="128">
        <f>54.6</f>
        <v>54.6</v>
      </c>
      <c r="E526" s="99"/>
      <c r="F526" s="191">
        <f t="shared" si="167"/>
        <v>10900.960000000001</v>
      </c>
      <c r="G526" s="262"/>
      <c r="H526" s="8"/>
      <c r="I526" s="164">
        <f>F526+G526+H526</f>
        <v>10900.960000000001</v>
      </c>
      <c r="J526" s="24"/>
      <c r="K526" s="8"/>
      <c r="L526" s="164">
        <f>I526+J526+K526</f>
        <v>10900.960000000001</v>
      </c>
      <c r="M526" s="24"/>
      <c r="N526" s="8"/>
      <c r="O526" s="191">
        <f>L526+M526+N526</f>
        <v>10900.960000000001</v>
      </c>
      <c r="P526" s="232"/>
      <c r="Q526" s="212">
        <f>O526+P526</f>
        <v>10900.960000000001</v>
      </c>
    </row>
    <row r="527" spans="1:17" ht="15.75" thickBot="1">
      <c r="A527" s="46" t="s">
        <v>120</v>
      </c>
      <c r="B527" s="87"/>
      <c r="C527" s="146">
        <f aca="true" t="shared" si="180" ref="C527:Q527">+C80+C97+C106+C117+C135+C147+C175+C220+C240+C269+C290+C373+C410+C431+C438+C470+C474+C526+C446+C311+C262</f>
        <v>5982551.079999999</v>
      </c>
      <c r="D527" s="181">
        <f t="shared" si="180"/>
        <v>15027245.449999996</v>
      </c>
      <c r="E527" s="111">
        <f t="shared" si="180"/>
        <v>67442.82</v>
      </c>
      <c r="F527" s="197">
        <f t="shared" si="180"/>
        <v>21077239.35</v>
      </c>
      <c r="G527" s="233">
        <f t="shared" si="180"/>
        <v>0</v>
      </c>
      <c r="H527" s="111">
        <f t="shared" si="180"/>
        <v>0</v>
      </c>
      <c r="I527" s="171">
        <f t="shared" si="180"/>
        <v>20690534.520000003</v>
      </c>
      <c r="J527" s="170">
        <f t="shared" si="180"/>
        <v>0</v>
      </c>
      <c r="K527" s="111">
        <f t="shared" si="180"/>
        <v>0</v>
      </c>
      <c r="L527" s="171">
        <f t="shared" si="180"/>
        <v>20690534.520000003</v>
      </c>
      <c r="M527" s="170">
        <f t="shared" si="180"/>
        <v>0</v>
      </c>
      <c r="N527" s="111">
        <f t="shared" si="180"/>
        <v>0</v>
      </c>
      <c r="O527" s="197">
        <f t="shared" si="180"/>
        <v>20690534.520000003</v>
      </c>
      <c r="P527" s="233">
        <f t="shared" si="180"/>
        <v>0</v>
      </c>
      <c r="Q527" s="197">
        <f t="shared" si="180"/>
        <v>20690534.520000003</v>
      </c>
    </row>
    <row r="528" spans="1:17" ht="13.5" thickBot="1">
      <c r="A528" s="47" t="s">
        <v>121</v>
      </c>
      <c r="B528" s="87"/>
      <c r="C528" s="147">
        <v>-10846.36</v>
      </c>
      <c r="D528" s="247">
        <f>-54.6</f>
        <v>-54.6</v>
      </c>
      <c r="E528" s="173"/>
      <c r="F528" s="198">
        <f t="shared" si="167"/>
        <v>-10900.960000000001</v>
      </c>
      <c r="G528" s="234"/>
      <c r="H528" s="173"/>
      <c r="I528" s="23">
        <f>F528+G528+H528</f>
        <v>-10900.960000000001</v>
      </c>
      <c r="J528" s="172"/>
      <c r="K528" s="173"/>
      <c r="L528" s="23">
        <f>I528+J528+K528</f>
        <v>-10900.960000000001</v>
      </c>
      <c r="M528" s="172"/>
      <c r="N528" s="173"/>
      <c r="O528" s="210">
        <f>L528+M528+N528</f>
        <v>-10900.960000000001</v>
      </c>
      <c r="P528" s="234"/>
      <c r="Q528" s="221"/>
    </row>
    <row r="529" spans="1:17" ht="16.5" thickBot="1">
      <c r="A529" s="48" t="s">
        <v>122</v>
      </c>
      <c r="B529" s="87"/>
      <c r="C529" s="148">
        <f>C527+C528</f>
        <v>5971704.719999999</v>
      </c>
      <c r="D529" s="182">
        <f aca="true" t="shared" si="181" ref="D529:Q529">D527+D528</f>
        <v>15027190.849999996</v>
      </c>
      <c r="E529" s="175">
        <f t="shared" si="181"/>
        <v>67442.82</v>
      </c>
      <c r="F529" s="199">
        <f t="shared" si="181"/>
        <v>21066338.39</v>
      </c>
      <c r="G529" s="235">
        <f t="shared" si="181"/>
        <v>0</v>
      </c>
      <c r="H529" s="175">
        <f t="shared" si="181"/>
        <v>0</v>
      </c>
      <c r="I529" s="108">
        <f t="shared" si="181"/>
        <v>20679633.560000002</v>
      </c>
      <c r="J529" s="174">
        <f t="shared" si="181"/>
        <v>0</v>
      </c>
      <c r="K529" s="175">
        <f t="shared" si="181"/>
        <v>0</v>
      </c>
      <c r="L529" s="108">
        <f t="shared" si="181"/>
        <v>20679633.560000002</v>
      </c>
      <c r="M529" s="174">
        <f t="shared" si="181"/>
        <v>0</v>
      </c>
      <c r="N529" s="175">
        <f t="shared" si="181"/>
        <v>0</v>
      </c>
      <c r="O529" s="199">
        <f t="shared" si="181"/>
        <v>20679633.560000002</v>
      </c>
      <c r="P529" s="235">
        <f t="shared" si="181"/>
        <v>0</v>
      </c>
      <c r="Q529" s="199">
        <f t="shared" si="181"/>
        <v>20690534.520000003</v>
      </c>
    </row>
    <row r="530" spans="1:17" ht="15.75">
      <c r="A530" s="49" t="s">
        <v>26</v>
      </c>
      <c r="B530" s="88"/>
      <c r="C530" s="149"/>
      <c r="D530" s="183"/>
      <c r="E530" s="112"/>
      <c r="F530" s="200"/>
      <c r="G530" s="236"/>
      <c r="H530" s="112"/>
      <c r="I530" s="109"/>
      <c r="J530" s="176"/>
      <c r="K530" s="112"/>
      <c r="L530" s="109"/>
      <c r="M530" s="176"/>
      <c r="N530" s="112"/>
      <c r="O530" s="200"/>
      <c r="P530" s="236"/>
      <c r="Q530" s="200"/>
    </row>
    <row r="531" spans="1:17" ht="15.75">
      <c r="A531" s="50" t="s">
        <v>208</v>
      </c>
      <c r="B531" s="89"/>
      <c r="C531" s="150">
        <f aca="true" t="shared" si="182" ref="C531:Q531">+C81+C98+C107+C118+C136+C148+C176+C221+C241+C270+C291+C374+C411+C432+C439+C471+C476+C526+C528+C447+C312+C263</f>
        <v>4776778.8</v>
      </c>
      <c r="D531" s="184">
        <f t="shared" si="182"/>
        <v>12396087.07</v>
      </c>
      <c r="E531" s="158">
        <f t="shared" si="182"/>
        <v>44249.32</v>
      </c>
      <c r="F531" s="201">
        <f t="shared" si="182"/>
        <v>17217115.189999998</v>
      </c>
      <c r="G531" s="237">
        <f t="shared" si="182"/>
        <v>0</v>
      </c>
      <c r="H531" s="158">
        <f t="shared" si="182"/>
        <v>0</v>
      </c>
      <c r="I531" s="160">
        <f t="shared" si="182"/>
        <v>17036975.330000006</v>
      </c>
      <c r="J531" s="177">
        <f t="shared" si="182"/>
        <v>0</v>
      </c>
      <c r="K531" s="158">
        <f t="shared" si="182"/>
        <v>0</v>
      </c>
      <c r="L531" s="160">
        <f t="shared" si="182"/>
        <v>17036975.330000006</v>
      </c>
      <c r="M531" s="177">
        <f t="shared" si="182"/>
        <v>0</v>
      </c>
      <c r="N531" s="158">
        <f t="shared" si="182"/>
        <v>0</v>
      </c>
      <c r="O531" s="201">
        <f t="shared" si="182"/>
        <v>17036975.330000006</v>
      </c>
      <c r="P531" s="237">
        <f t="shared" si="182"/>
        <v>0</v>
      </c>
      <c r="Q531" s="201">
        <f t="shared" si="182"/>
        <v>17047876.290000007</v>
      </c>
    </row>
    <row r="532" spans="1:17" ht="16.5" thickBot="1">
      <c r="A532" s="38" t="s">
        <v>209</v>
      </c>
      <c r="B532" s="90"/>
      <c r="C532" s="151">
        <f aca="true" t="shared" si="183" ref="C532:Q532">+C88+C102+C114+C130+C141+C165+C211+C233+C255+C283+C307+C405+C422+C435+C477+C460+C340+C266</f>
        <v>1194925.92</v>
      </c>
      <c r="D532" s="185">
        <f t="shared" si="183"/>
        <v>2631103.7800000003</v>
      </c>
      <c r="E532" s="159">
        <f t="shared" si="183"/>
        <v>23193.5</v>
      </c>
      <c r="F532" s="202">
        <f t="shared" si="183"/>
        <v>3849223.1999999997</v>
      </c>
      <c r="G532" s="238">
        <f t="shared" si="183"/>
        <v>0</v>
      </c>
      <c r="H532" s="159">
        <f t="shared" si="183"/>
        <v>0</v>
      </c>
      <c r="I532" s="161">
        <f t="shared" si="183"/>
        <v>3642658.2299999995</v>
      </c>
      <c r="J532" s="178">
        <f t="shared" si="183"/>
        <v>0</v>
      </c>
      <c r="K532" s="159">
        <f t="shared" si="183"/>
        <v>0</v>
      </c>
      <c r="L532" s="161">
        <f t="shared" si="183"/>
        <v>3642658.2299999995</v>
      </c>
      <c r="M532" s="178">
        <f t="shared" si="183"/>
        <v>0</v>
      </c>
      <c r="N532" s="159">
        <f t="shared" si="183"/>
        <v>0</v>
      </c>
      <c r="O532" s="202">
        <f t="shared" si="183"/>
        <v>3642658.2299999995</v>
      </c>
      <c r="P532" s="238">
        <f t="shared" si="183"/>
        <v>0</v>
      </c>
      <c r="Q532" s="202">
        <f t="shared" si="183"/>
        <v>3642658.2299999995</v>
      </c>
    </row>
    <row r="533" spans="1:17" ht="16.5" thickBot="1">
      <c r="A533" s="50" t="s">
        <v>202</v>
      </c>
      <c r="B533" s="89"/>
      <c r="C533" s="146">
        <f aca="true" t="shared" si="184" ref="C533:Q533">C78-C529</f>
        <v>-219999.99999999907</v>
      </c>
      <c r="D533" s="181">
        <f t="shared" si="184"/>
        <v>-2849586.3399999924</v>
      </c>
      <c r="E533" s="111">
        <f t="shared" si="184"/>
        <v>-67442.82</v>
      </c>
      <c r="F533" s="197">
        <f t="shared" si="184"/>
        <v>-3137029.1599999964</v>
      </c>
      <c r="G533" s="233">
        <f t="shared" si="184"/>
        <v>0</v>
      </c>
      <c r="H533" s="111">
        <f t="shared" si="184"/>
        <v>0</v>
      </c>
      <c r="I533" s="171">
        <f t="shared" si="184"/>
        <v>-2750334.0700000003</v>
      </c>
      <c r="J533" s="170">
        <f t="shared" si="184"/>
        <v>0</v>
      </c>
      <c r="K533" s="111">
        <f t="shared" si="184"/>
        <v>0</v>
      </c>
      <c r="L533" s="171">
        <f t="shared" si="184"/>
        <v>-2750334.0700000003</v>
      </c>
      <c r="M533" s="170">
        <f t="shared" si="184"/>
        <v>0</v>
      </c>
      <c r="N533" s="111">
        <f t="shared" si="184"/>
        <v>0</v>
      </c>
      <c r="O533" s="197">
        <f t="shared" si="184"/>
        <v>-2776820.789999999</v>
      </c>
      <c r="P533" s="233">
        <f t="shared" si="184"/>
        <v>0</v>
      </c>
      <c r="Q533" s="197">
        <f t="shared" si="184"/>
        <v>-2787721.75</v>
      </c>
    </row>
    <row r="534" spans="1:17" ht="15.75">
      <c r="A534" s="49" t="s">
        <v>210</v>
      </c>
      <c r="B534" s="88"/>
      <c r="C534" s="152">
        <f>SUM(C536:C539)</f>
        <v>220000</v>
      </c>
      <c r="D534" s="133">
        <f aca="true" t="shared" si="185" ref="D534:Q534">SUM(D536:D539)</f>
        <v>2849586.3400000003</v>
      </c>
      <c r="E534" s="113">
        <f t="shared" si="185"/>
        <v>67442.82</v>
      </c>
      <c r="F534" s="203">
        <f t="shared" si="185"/>
        <v>3137029.16</v>
      </c>
      <c r="G534" s="239">
        <f t="shared" si="185"/>
        <v>0</v>
      </c>
      <c r="H534" s="113">
        <f t="shared" si="185"/>
        <v>0</v>
      </c>
      <c r="I534" s="179">
        <f t="shared" si="185"/>
        <v>3137029.16</v>
      </c>
      <c r="J534" s="118">
        <f t="shared" si="185"/>
        <v>0</v>
      </c>
      <c r="K534" s="113">
        <f t="shared" si="185"/>
        <v>0</v>
      </c>
      <c r="L534" s="179">
        <f t="shared" si="185"/>
        <v>3137029.16</v>
      </c>
      <c r="M534" s="118">
        <f t="shared" si="185"/>
        <v>0</v>
      </c>
      <c r="N534" s="113">
        <f t="shared" si="185"/>
        <v>0</v>
      </c>
      <c r="O534" s="203">
        <f t="shared" si="185"/>
        <v>3137029.16</v>
      </c>
      <c r="P534" s="239">
        <f t="shared" si="185"/>
        <v>0</v>
      </c>
      <c r="Q534" s="203">
        <f t="shared" si="185"/>
        <v>3137029.16</v>
      </c>
    </row>
    <row r="535" spans="1:17" ht="12.75" customHeight="1">
      <c r="A535" s="51" t="s">
        <v>26</v>
      </c>
      <c r="B535" s="91"/>
      <c r="C535" s="255"/>
      <c r="D535" s="248"/>
      <c r="E535" s="114"/>
      <c r="F535" s="204"/>
      <c r="G535" s="265"/>
      <c r="H535" s="12"/>
      <c r="I535" s="59"/>
      <c r="J535" s="15"/>
      <c r="K535" s="12"/>
      <c r="L535" s="59"/>
      <c r="M535" s="15"/>
      <c r="N535" s="12"/>
      <c r="O535" s="214"/>
      <c r="P535" s="220"/>
      <c r="Q535" s="221"/>
    </row>
    <row r="536" spans="1:17" ht="14.25">
      <c r="A536" s="51" t="s">
        <v>123</v>
      </c>
      <c r="B536" s="91"/>
      <c r="C536" s="256">
        <v>400000</v>
      </c>
      <c r="D536" s="249"/>
      <c r="E536" s="125"/>
      <c r="F536" s="205">
        <f>SUM(C536:E536)</f>
        <v>400000</v>
      </c>
      <c r="G536" s="266"/>
      <c r="H536" s="13"/>
      <c r="I536" s="59">
        <f>SUM(F536:H536)</f>
        <v>400000</v>
      </c>
      <c r="J536" s="16"/>
      <c r="K536" s="13"/>
      <c r="L536" s="59">
        <f>SUM(I536:K536)</f>
        <v>400000</v>
      </c>
      <c r="M536" s="16"/>
      <c r="N536" s="13"/>
      <c r="O536" s="214">
        <f>SUM(L536:N536)</f>
        <v>400000</v>
      </c>
      <c r="P536" s="220"/>
      <c r="Q536" s="221">
        <f t="shared" si="170"/>
        <v>400000</v>
      </c>
    </row>
    <row r="537" spans="1:17" ht="14.25">
      <c r="A537" s="52" t="s">
        <v>130</v>
      </c>
      <c r="B537" s="91"/>
      <c r="C537" s="256">
        <v>-180000</v>
      </c>
      <c r="D537" s="249"/>
      <c r="E537" s="125"/>
      <c r="F537" s="205">
        <f>SUM(C537:E537)</f>
        <v>-180000</v>
      </c>
      <c r="G537" s="266"/>
      <c r="H537" s="13"/>
      <c r="I537" s="59">
        <f>SUM(F537:H537)</f>
        <v>-180000</v>
      </c>
      <c r="J537" s="16"/>
      <c r="K537" s="13"/>
      <c r="L537" s="59">
        <f>SUM(I537:K537)</f>
        <v>-180000</v>
      </c>
      <c r="M537" s="16"/>
      <c r="N537" s="13"/>
      <c r="O537" s="214">
        <f>SUM(L537:N537)</f>
        <v>-180000</v>
      </c>
      <c r="P537" s="220"/>
      <c r="Q537" s="221">
        <f t="shared" si="170"/>
        <v>-180000</v>
      </c>
    </row>
    <row r="538" spans="1:17" ht="15" thickBot="1">
      <c r="A538" s="64" t="s">
        <v>124</v>
      </c>
      <c r="B538" s="92"/>
      <c r="C538" s="257"/>
      <c r="D538" s="153">
        <f>91326.3+9970+336371.11+1000+13200+340906.09+739837.14+27800.56+7633+10000+500+32215.72+26800+1123+69447.46+1230.07+11929.94+7126.31+12225.29+5820.76+77538.41+3604.16+2391.29+19020.5+75653.4+1044.1+25775.83+2458.05+34500+4309.47+6646+3300+4084.75+3850+8540.5+23530.38+1815.87+22172.75+782888.13</f>
        <v>2849586.3400000003</v>
      </c>
      <c r="E538" s="126">
        <f>7350+12210+8487+750+31500+7145.82</f>
        <v>67442.82</v>
      </c>
      <c r="F538" s="206">
        <f>SUM(C538:E538)</f>
        <v>2917029.16</v>
      </c>
      <c r="G538" s="267"/>
      <c r="H538" s="14"/>
      <c r="I538" s="61">
        <f>SUM(F538:H538)</f>
        <v>2917029.16</v>
      </c>
      <c r="J538" s="63"/>
      <c r="K538" s="14"/>
      <c r="L538" s="61">
        <f>SUM(I538:K538)</f>
        <v>2917029.16</v>
      </c>
      <c r="M538" s="63"/>
      <c r="N538" s="14"/>
      <c r="O538" s="215">
        <f>SUM(L538:N538)</f>
        <v>2917029.16</v>
      </c>
      <c r="P538" s="240"/>
      <c r="Q538" s="241">
        <f t="shared" si="170"/>
        <v>2917029.16</v>
      </c>
    </row>
    <row r="539" spans="1:17" ht="15" hidden="1" thickBot="1">
      <c r="A539" s="64" t="s">
        <v>142</v>
      </c>
      <c r="B539" s="92"/>
      <c r="C539" s="258"/>
      <c r="D539" s="153" t="s">
        <v>186</v>
      </c>
      <c r="E539" s="126"/>
      <c r="F539" s="206">
        <f>SUM(C539:E539)</f>
        <v>0</v>
      </c>
      <c r="G539" s="267"/>
      <c r="H539" s="14"/>
      <c r="I539" s="61">
        <f>SUM(F539:H539)</f>
        <v>0</v>
      </c>
      <c r="J539" s="63">
        <v>0</v>
      </c>
      <c r="K539" s="14">
        <v>0</v>
      </c>
      <c r="L539" s="61">
        <f>SUM(I539:K539)</f>
        <v>0</v>
      </c>
      <c r="M539" s="63"/>
      <c r="N539" s="14"/>
      <c r="O539" s="215">
        <f>SUM(L539:N539)</f>
        <v>0</v>
      </c>
      <c r="P539" s="240"/>
      <c r="Q539" s="241">
        <f t="shared" si="170"/>
        <v>0</v>
      </c>
    </row>
    <row r="540" spans="2:17" ht="12.75" hidden="1">
      <c r="B540" s="93"/>
      <c r="C540" s="110">
        <f aca="true" t="shared" si="186" ref="C540:Q540">C78+C534-C529</f>
        <v>0</v>
      </c>
      <c r="D540" s="110">
        <f t="shared" si="186"/>
        <v>0</v>
      </c>
      <c r="E540" s="110">
        <f t="shared" si="186"/>
        <v>0</v>
      </c>
      <c r="F540" s="110">
        <f t="shared" si="186"/>
        <v>0</v>
      </c>
      <c r="G540" s="62">
        <f t="shared" si="186"/>
        <v>0</v>
      </c>
      <c r="H540" s="62">
        <f t="shared" si="186"/>
        <v>0</v>
      </c>
      <c r="I540" s="62">
        <f t="shared" si="186"/>
        <v>386695.08999999985</v>
      </c>
      <c r="J540" s="62">
        <f t="shared" si="186"/>
        <v>0</v>
      </c>
      <c r="K540" s="62">
        <f t="shared" si="186"/>
        <v>0</v>
      </c>
      <c r="L540" s="62">
        <f t="shared" si="186"/>
        <v>386695.08999999985</v>
      </c>
      <c r="M540" s="62">
        <f t="shared" si="186"/>
        <v>0</v>
      </c>
      <c r="N540" s="62">
        <f t="shared" si="186"/>
        <v>0</v>
      </c>
      <c r="O540" s="62">
        <f t="shared" si="186"/>
        <v>360208.37000000104</v>
      </c>
      <c r="P540" s="62">
        <f t="shared" si="186"/>
        <v>0</v>
      </c>
      <c r="Q540" s="62">
        <f t="shared" si="186"/>
        <v>349307.41000000015</v>
      </c>
    </row>
    <row r="541" spans="2:16" ht="12.75">
      <c r="B541" s="93"/>
      <c r="P541" s="62"/>
    </row>
    <row r="542" spans="2:16" ht="12.75">
      <c r="B542" s="93"/>
      <c r="D542" s="120"/>
      <c r="P542" s="62"/>
    </row>
    <row r="543" spans="2:16" ht="12.75">
      <c r="B543" s="93"/>
      <c r="P543" s="62"/>
    </row>
    <row r="544" spans="2:16" ht="12.75">
      <c r="B544" s="93"/>
      <c r="P544" s="62"/>
    </row>
    <row r="545" spans="2:16" ht="12.75">
      <c r="B545" s="93"/>
      <c r="P545" s="62"/>
    </row>
    <row r="546" spans="2:16" ht="12.75">
      <c r="B546" s="93"/>
      <c r="P546" s="62"/>
    </row>
    <row r="547" spans="2:16" ht="12.75">
      <c r="B547" s="93"/>
      <c r="P547" s="62"/>
    </row>
    <row r="548" spans="2:16" ht="12.75">
      <c r="B548" s="93"/>
      <c r="P548" s="62"/>
    </row>
    <row r="549" spans="2:16" ht="12.75">
      <c r="B549" s="93"/>
      <c r="P549" s="62"/>
    </row>
    <row r="550" spans="2:16" ht="12.75">
      <c r="B550" s="93"/>
      <c r="P550" s="62"/>
    </row>
    <row r="551" spans="2:16" ht="12.75">
      <c r="B551" s="93"/>
      <c r="P551" s="62"/>
    </row>
    <row r="552" spans="2:16" ht="12.75">
      <c r="B552" s="93"/>
      <c r="P552" s="62"/>
    </row>
    <row r="553" spans="2:16" ht="12.75">
      <c r="B553" s="93"/>
      <c r="P553" s="62"/>
    </row>
    <row r="554" spans="2:16" ht="12.75">
      <c r="B554" s="93"/>
      <c r="P554" s="62"/>
    </row>
    <row r="555" spans="2:16" ht="12.75">
      <c r="B555" s="93"/>
      <c r="P555" s="62"/>
    </row>
    <row r="556" spans="2:16" ht="12.75">
      <c r="B556" s="93"/>
      <c r="P556" s="62"/>
    </row>
    <row r="557" spans="2:16" ht="12.75">
      <c r="B557" s="93"/>
      <c r="P557" s="62"/>
    </row>
    <row r="558" spans="2:16" ht="12.75">
      <c r="B558" s="93"/>
      <c r="P558" s="62"/>
    </row>
    <row r="559" spans="2:16" ht="12.75">
      <c r="B559" s="93"/>
      <c r="P559" s="62"/>
    </row>
    <row r="560" ht="12.75">
      <c r="P560" s="62"/>
    </row>
    <row r="561" ht="12.75">
      <c r="P561" s="62"/>
    </row>
    <row r="562" ht="12.75">
      <c r="P562" s="62"/>
    </row>
    <row r="563" ht="12.75">
      <c r="P563" s="62"/>
    </row>
    <row r="564" ht="12.75">
      <c r="P564" s="62"/>
    </row>
    <row r="565" ht="12.75">
      <c r="P565" s="62"/>
    </row>
    <row r="566" ht="12.75">
      <c r="P566" s="62"/>
    </row>
    <row r="567" ht="12.75">
      <c r="P567" s="62"/>
    </row>
    <row r="568" ht="12.75">
      <c r="P568" s="62"/>
    </row>
    <row r="569" ht="12.75">
      <c r="P569" s="62"/>
    </row>
    <row r="570" ht="12.75">
      <c r="P570" s="62"/>
    </row>
    <row r="571" ht="12.75">
      <c r="P571" s="62"/>
    </row>
    <row r="572" ht="12.75">
      <c r="P572" s="62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9055118110236221" bottom="0.5905511811023623" header="0.5118110236220472" footer="0.3937007874015748"/>
  <pageSetup horizontalDpi="600" verticalDpi="600" orientation="portrait" paperSize="9" scale="87" r:id="rId1"/>
  <headerFooter alignWithMargins="0">
    <oddFooter>&amp;CStránka &amp;P</oddFooter>
  </headerFooter>
  <rowBreaks count="6" manualBreakCount="6">
    <brk id="90" max="5" man="1"/>
    <brk id="200" max="5" man="1"/>
    <brk id="286" max="5" man="1"/>
    <brk id="376" max="5" man="1"/>
    <brk id="473" max="5" man="1"/>
    <brk id="5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Volfová Hana Ing.</cp:lastModifiedBy>
  <cp:lastPrinted>2023-04-19T05:22:09Z</cp:lastPrinted>
  <dcterms:created xsi:type="dcterms:W3CDTF">2009-01-05T12:05:07Z</dcterms:created>
  <dcterms:modified xsi:type="dcterms:W3CDTF">2023-04-19T05:33:00Z</dcterms:modified>
  <cp:category/>
  <cp:version/>
  <cp:contentType/>
  <cp:contentStatus/>
</cp:coreProperties>
</file>