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8415" activeTab="1"/>
  </bookViews>
  <sheets>
    <sheet name="4. ZR" sheetId="1" r:id="rId1"/>
    <sheet name="4. ZR vč.PN" sheetId="2" r:id="rId2"/>
  </sheets>
  <definedNames>
    <definedName name="_xlnm.Print_Titles" localSheetId="0">'4. ZR'!$8:$9</definedName>
    <definedName name="_xlnm.Print_Titles" localSheetId="1">'4. ZR vč.PN'!$8:$9</definedName>
    <definedName name="_xlnm.Print_Area" localSheetId="0">'4. ZR'!$A$1:$O$572</definedName>
    <definedName name="_xlnm.Print_Area" localSheetId="1">'4. ZR vč.PN'!$A$1:$O$572</definedName>
    <definedName name="Z_39FD50E0_9911_4D32_8842_5A58F13D310F_.wvu.Cols" localSheetId="0" hidden="1">'4. ZR'!$D:$K,'4. ZR'!$N:$N,'4. ZR'!#REF!</definedName>
    <definedName name="Z_39FD50E0_9911_4D32_8842_5A58F13D310F_.wvu.Cols" localSheetId="1" hidden="1">'4. ZR vč.PN'!$D:$K,'4. ZR vč.PN'!$N:$N,'4. ZR vč.PN'!#REF!</definedName>
    <definedName name="Z_39FD50E0_9911_4D32_8842_5A58F13D310F_.wvu.PrintTitles" localSheetId="0" hidden="1">'4. ZR'!$8:$9</definedName>
    <definedName name="Z_39FD50E0_9911_4D32_8842_5A58F13D310F_.wvu.PrintTitles" localSheetId="1" hidden="1">'4. ZR vč.PN'!$8:$9</definedName>
    <definedName name="Z_39FD50E0_9911_4D32_8842_5A58F13D310F_.wvu.Rows" localSheetId="0" hidden="1">'4. ZR'!#REF!</definedName>
    <definedName name="Z_39FD50E0_9911_4D32_8842_5A58F13D310F_.wvu.Rows" localSheetId="1" hidden="1">'4. ZR vč.PN'!#REF!</definedName>
  </definedNames>
  <calcPr fullCalcOnLoad="1"/>
</workbook>
</file>

<file path=xl/sharedStrings.xml><?xml version="1.0" encoding="utf-8"?>
<sst xmlns="http://schemas.openxmlformats.org/spreadsheetml/2006/main" count="1220" uniqueCount="379">
  <si>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</si>
  <si>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</si>
  <si>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</si>
  <si>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</si>
  <si>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</si>
  <si>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</si>
  <si>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</si>
  <si>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</si>
  <si>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</si>
  <si>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</si>
  <si>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</si>
  <si>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</si>
  <si>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</si>
  <si>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</si>
  <si>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</si>
  <si>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</si>
  <si>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</si>
  <si>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</si>
  <si>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</si>
  <si>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</si>
  <si>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</si>
  <si>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</si>
  <si>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</si>
  <si>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</si>
  <si>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</si>
  <si>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</si>
  <si>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</si>
  <si>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</si>
  <si>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</si>
  <si>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</si>
  <si>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</si>
  <si>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</si>
  <si>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</si>
  <si>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</si>
  <si>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</si>
  <si>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</si>
  <si>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</si>
  <si>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SFDI</t>
  </si>
  <si>
    <t xml:space="preserve">  ze zahraničí</t>
  </si>
  <si>
    <t xml:space="preserve">  od obcí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</si>
  <si>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</si>
  <si>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</si>
  <si>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</si>
  <si>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</si>
  <si>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</si>
  <si>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</si>
  <si>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</si>
  <si>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</si>
  <si>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</si>
  <si>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</si>
  <si>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</si>
  <si>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ostatní příspěvky a dary</t>
  </si>
  <si>
    <t>kapitálové výdaje</t>
  </si>
  <si>
    <t>ostatní kapitálové výdaje</t>
  </si>
  <si>
    <t>krizové plánování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</si>
  <si>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</si>
  <si>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</si>
  <si>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</si>
  <si>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</si>
  <si>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</si>
  <si>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</si>
  <si>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</si>
  <si>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</si>
  <si>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 xml:space="preserve">vodohosp.akce dle vodního zákona </t>
  </si>
  <si>
    <t>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</si>
  <si>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</si>
  <si>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</si>
  <si>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</si>
  <si>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</si>
  <si>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</si>
  <si>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</si>
  <si>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</si>
  <si>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</si>
  <si>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</si>
  <si>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</si>
  <si>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</si>
  <si>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</si>
  <si>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</si>
  <si>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</si>
  <si>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</si>
  <si>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</si>
  <si>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</si>
  <si>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</si>
  <si>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</si>
  <si>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</si>
  <si>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</si>
  <si>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</si>
  <si>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</si>
  <si>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</si>
  <si>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</si>
  <si>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</si>
  <si>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</si>
  <si>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</si>
  <si>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</si>
  <si>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</si>
  <si>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</si>
  <si>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</si>
  <si>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</si>
  <si>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</si>
  <si>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</si>
  <si>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</si>
  <si>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</si>
  <si>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</si>
  <si>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</si>
  <si>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</si>
  <si>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</si>
  <si>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</si>
  <si>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</si>
  <si>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</si>
  <si>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</si>
  <si>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</si>
  <si>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</si>
  <si>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</si>
  <si>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</si>
  <si>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</si>
  <si>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</si>
  <si>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</si>
  <si>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</si>
  <si>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</si>
  <si>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</si>
  <si>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</si>
  <si>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</si>
  <si>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</si>
  <si>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</si>
  <si>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</si>
  <si>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</si>
  <si>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</si>
  <si>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</si>
  <si>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</si>
  <si>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</si>
  <si>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</si>
  <si>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</si>
  <si>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</si>
  <si>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</si>
  <si>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</si>
  <si>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</si>
  <si>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</si>
  <si>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</si>
  <si>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</si>
  <si>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</si>
  <si>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</si>
  <si>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</si>
  <si>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</si>
  <si>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</si>
  <si>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</si>
  <si>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</si>
  <si>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</si>
  <si>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</si>
  <si>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</si>
  <si>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</si>
  <si>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</si>
  <si>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</si>
  <si>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</si>
  <si>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</si>
  <si>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</si>
  <si>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</si>
  <si>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</si>
  <si>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</si>
  <si>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</si>
  <si>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</si>
  <si>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</si>
  <si>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</si>
  <si>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</si>
  <si>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</si>
  <si>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</si>
  <si>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</si>
  <si>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</si>
  <si>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</si>
  <si>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</si>
  <si>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</si>
  <si>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</si>
  <si>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</si>
  <si>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zdravotnictví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</si>
  <si>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</si>
  <si>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</si>
  <si>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</si>
  <si>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</si>
  <si>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</si>
  <si>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</si>
  <si>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</si>
  <si>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</si>
  <si>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</si>
  <si>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</si>
  <si>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</t>
  </si>
  <si>
    <t xml:space="preserve"> 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</si>
  <si>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</si>
  <si>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</si>
  <si>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</si>
  <si>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</si>
  <si>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ZOO Dvůr Králové n. Labem, a.s.</t>
  </si>
  <si>
    <t xml:space="preserve">             správa majetku kraje</t>
  </si>
  <si>
    <t>rezerva PO</t>
  </si>
  <si>
    <t xml:space="preserve">            individuální dotace</t>
  </si>
  <si>
    <t>majetková účast v a.s. Zdravotnický holding</t>
  </si>
  <si>
    <t xml:space="preserve">  z M obrany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</si>
  <si>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</si>
  <si>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</si>
  <si>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</si>
  <si>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</si>
  <si>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</si>
  <si>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</si>
  <si>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</si>
  <si>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</si>
  <si>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</si>
  <si>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</si>
  <si>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</si>
  <si>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</si>
  <si>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</si>
  <si>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</si>
  <si>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</si>
  <si>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</si>
  <si>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</si>
  <si>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</si>
  <si>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</si>
  <si>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</si>
  <si>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</si>
  <si>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>průmyslová zóna Kvasiny - SR</t>
  </si>
  <si>
    <t xml:space="preserve">            školství - prevence</t>
  </si>
  <si>
    <t>investiční transfery a.s.</t>
  </si>
  <si>
    <t>investiční transfery ZOO Dvůr Králové n. Labem, a.s.</t>
  </si>
  <si>
    <t xml:space="preserve">             org. 2077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</si>
  <si>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</si>
  <si>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</si>
  <si>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</si>
  <si>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</si>
  <si>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</si>
  <si>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</si>
  <si>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</si>
  <si>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</si>
  <si>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</si>
  <si>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</si>
  <si>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</si>
  <si>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</si>
  <si>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</si>
  <si>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</si>
  <si>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</si>
  <si>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</si>
  <si>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</si>
  <si>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>podpora výuky plavání v ZŠ - SR</t>
  </si>
  <si>
    <t xml:space="preserve">kap. 13 - evropská integrace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</si>
  <si>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</si>
  <si>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</si>
  <si>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</si>
  <si>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</si>
  <si>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</si>
  <si>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</si>
  <si>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</si>
  <si>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>částeční vyrovnání mezikr.rozdílů v odměňování ped.pracovníků-SR</t>
  </si>
  <si>
    <t>OP VVV - projekty PO - SR</t>
  </si>
  <si>
    <t>řešení mimoř.událostí a kriz.situací ZZS KHK - SR</t>
  </si>
  <si>
    <t>podpora mládeže na krajské úrovni - SR</t>
  </si>
  <si>
    <t xml:space="preserve">              rezerva neinvestiční a poplatky</t>
  </si>
  <si>
    <t>kap. 17 - analýzy a podpora řízení</t>
  </si>
  <si>
    <t xml:space="preserve">             org. 2088</t>
  </si>
  <si>
    <t xml:space="preserve">             org. 2099</t>
  </si>
  <si>
    <t xml:space="preserve">          sport a tělovýchova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</si>
  <si>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</si>
  <si>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</si>
  <si>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</si>
  <si>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>Digitální planetárium - zásobník na chlad, PD kotelny</t>
  </si>
  <si>
    <t xml:space="preserve">poplatky za odebr. množství podzemní vody </t>
  </si>
  <si>
    <t>investiční transfery obcím a DSO</t>
  </si>
  <si>
    <t>zlepšení přeshraniční dostupnosti ČR - PL - SR</t>
  </si>
  <si>
    <t>Rozšíření strateg.prům.zóny Solnice-Kvasiny - SFDI - SR</t>
  </si>
  <si>
    <t>ochrana a zabezp.škol a objektů veř.správy - SR</t>
  </si>
  <si>
    <t xml:space="preserve">Snížení emisí z lokál.vytápění domácností v KHK III. - SR </t>
  </si>
  <si>
    <t>OP Z - Do praxe bez bariér - SR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</si>
  <si>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</si>
  <si>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</si>
  <si>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</si>
  <si>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</si>
  <si>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</si>
  <si>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 xml:space="preserve">          regionální rozvoj</t>
  </si>
  <si>
    <t>projekty PO - SR</t>
  </si>
  <si>
    <t>projekt Jak zachraňujete u vás - pro ZZS KHK - SR</t>
  </si>
  <si>
    <t>výdaje spojené s pandemií koronaviru</t>
  </si>
  <si>
    <t xml:space="preserve">             životní prostředí</t>
  </si>
  <si>
    <t>OP Z - Predikce trhu práce - Kompas - SR</t>
  </si>
  <si>
    <t>řešení krizových situací - SR</t>
  </si>
  <si>
    <t xml:space="preserve">ostatní běžné výdaje </t>
  </si>
  <si>
    <t>kap. 16 - kultura a cestovní ruch</t>
  </si>
  <si>
    <t xml:space="preserve">kap. 39 - regionální rozvoj </t>
  </si>
  <si>
    <t xml:space="preserve">             regionální rozvoj </t>
  </si>
  <si>
    <t xml:space="preserve">             kultura </t>
  </si>
  <si>
    <t>financování silnic II. a III. tř. - SFDI - SR</t>
  </si>
  <si>
    <t>kap. 04 - informatika</t>
  </si>
  <si>
    <t xml:space="preserve">            volný čas</t>
  </si>
  <si>
    <t xml:space="preserve">          volný čas</t>
  </si>
  <si>
    <t>ostatní nedaňové příjmy</t>
  </si>
  <si>
    <t>informatika</t>
  </si>
  <si>
    <t>IP Přeshraniční spolupráce technických oborů - SR</t>
  </si>
  <si>
    <t xml:space="preserve">OP Z Služby soc.prevence v KHK V - SR  </t>
  </si>
  <si>
    <t>projekt mobility osob v programu Erasmus - SR</t>
  </si>
  <si>
    <t>OP Z Rozvoj dostup.a kvality soc.sl.v KHK VII - SR 2021</t>
  </si>
  <si>
    <t>OP Z Služby soc.prevence v KHK V - SR  2021</t>
  </si>
  <si>
    <t>nástroje pro oživení a odolnost - doučování žáků - SR</t>
  </si>
  <si>
    <t xml:space="preserve">             informatika</t>
  </si>
  <si>
    <t xml:space="preserve">          školství - vzdělávání </t>
  </si>
  <si>
    <t>NA ROK 2023</t>
  </si>
  <si>
    <t>ISO 50001 - plnění cílů</t>
  </si>
  <si>
    <t xml:space="preserve">průmyslová zóna Solnice - Kvasiny </t>
  </si>
  <si>
    <t>rezerva - navýšení energií</t>
  </si>
  <si>
    <t>příprava a realizace OZE (obnovitelné zdroje energie)</t>
  </si>
  <si>
    <t xml:space="preserve">                             - soukromé školství - SR</t>
  </si>
  <si>
    <t>OP Z+ Služby sociální prevence v KHK VII - SR</t>
  </si>
  <si>
    <t>OP Z+ Podpora procesu transformace péče o ohrož.děti v KHK - SR</t>
  </si>
  <si>
    <t>Výměna kotlů pro nízkopříjmové domácnosti v KHK I. - SR</t>
  </si>
  <si>
    <t xml:space="preserve">  z MF</t>
  </si>
  <si>
    <t>Komunitní zahrada kapucínského kláštera v Opočně - SR</t>
  </si>
  <si>
    <t>spolupráce se studenty - příprava investic</t>
  </si>
  <si>
    <t>energetika</t>
  </si>
  <si>
    <t>řešení krizových a havarijních situací</t>
  </si>
  <si>
    <t>Krajský akční plán vzdělávání v KHK - SR 2022</t>
  </si>
  <si>
    <t>IKAP rozvoje vzdělávání v KHK II - SR 2022</t>
  </si>
  <si>
    <t>Krajský akční plán vzdělávání v KHK II - SR 2022</t>
  </si>
  <si>
    <t>OP VVV - Smart Akcelerátor II. - SR 2022</t>
  </si>
  <si>
    <t>OP Z - Predikce trhu práce - Kompas - SR 2022</t>
  </si>
  <si>
    <t>Snížení emisí z lokál.vytápění domácností v KHK II - SR 2022</t>
  </si>
  <si>
    <t>Snížení emisí z lokál.vytápění domácností v KHK III. - SR 2022</t>
  </si>
  <si>
    <t>potravinová pomoc dětem v KHK V - obědy do škol - SR 2022</t>
  </si>
  <si>
    <t>TP Interreg V-A ČR-Polsko - SR 2022</t>
  </si>
  <si>
    <t>Nová zelená úsporám - AMO - SR 2022</t>
  </si>
  <si>
    <t>OP Z+ Rozvoj reg.partnerství v soc.oblasti v KHK III - SR 2022</t>
  </si>
  <si>
    <t>OP Z+ Žijeme v komunitě fáze 1 - SR 2022</t>
  </si>
  <si>
    <t>OP Z+ Žijeme v komunitě fáze 2 - SR 2022</t>
  </si>
  <si>
    <t>OP Z Služby soc.prevence v KHK VI - SR  2022</t>
  </si>
  <si>
    <t>OP Z Služby soc.prevence v KHK VII - SR  2022</t>
  </si>
  <si>
    <t>OP Z+ Podpora procesů reformy péče o duševní zdraví - SR 2022</t>
  </si>
  <si>
    <t>OP Z+ Rozvoj kompetencí sociálních služeb v KHK - SR 2022</t>
  </si>
  <si>
    <t>Interreg VA ČR-PL online digitální platforma - SR</t>
  </si>
  <si>
    <t>Hry X. zimní olympiády dětí a mládeže ČR 2023 - SR</t>
  </si>
  <si>
    <t>Výměna kotlů pro nízkopříjmové domácnosti v KHK I. - SR 2022</t>
  </si>
  <si>
    <t>OP Z - Agentura pro sociální začleňování jako inovační aktér - SR</t>
  </si>
  <si>
    <t>Správa nemovitostí KHK, a.s. - příplatek k základnímu kapitálu</t>
  </si>
  <si>
    <t>financování ukrajinských asistentů pedagoga - SR</t>
  </si>
  <si>
    <t>OP JAK - Šablony - Zlepšení kvality vzdělávání - SR</t>
  </si>
  <si>
    <t xml:space="preserve">OP JAK - Smart Akcelerátor plus KHK I. </t>
  </si>
  <si>
    <t>učební pomůcky pro MŠ - rozvoj informativního myšlení - SR</t>
  </si>
  <si>
    <t>učební pomůcky pro ZŠ a Gymnázia  - rozvoj informat. myšlení - SR</t>
  </si>
  <si>
    <t>prevence digi propasti - pořízení digit.techn. pro znev.žáky-SR</t>
  </si>
  <si>
    <t xml:space="preserve">Krajský akční plán vzdělávání v KHK II - SR </t>
  </si>
  <si>
    <t>IP Posilování kompet.ped.prac.a škol.ped.poraden. - SR</t>
  </si>
  <si>
    <t>12002, 95032</t>
  </si>
  <si>
    <t>výkon sociální práce 2023</t>
  </si>
  <si>
    <t xml:space="preserve">OP Z+ Podpora procesů reformy péče o duševní zdraví - SR </t>
  </si>
  <si>
    <t xml:space="preserve">OP Z+ Žijeme v komunitě fáze 2 - SR </t>
  </si>
  <si>
    <t>Podpora služeb s nadreg.a celostátní působností - SR</t>
  </si>
  <si>
    <t>zajištění zázemí provozu a činnosti KACPU - SR</t>
  </si>
  <si>
    <t>integrovaný systém ochrany mov.kult.dědictví II - SR</t>
  </si>
  <si>
    <t>podpora vých.vzdělávacích aktivit v muzejnictví - SR</t>
  </si>
  <si>
    <t>Plán pro zvládání sucha a stavu nedostatku vody KHK - SR</t>
  </si>
  <si>
    <t>Interreg VA ČR-PL Kompetence 4.0 - SR</t>
  </si>
  <si>
    <t xml:space="preserve">IKAP rozvoje vzdělávání v KHK II - SR </t>
  </si>
  <si>
    <t>Komunitní zahrada kapucínského kláštera v Opočně - SR 2022</t>
  </si>
  <si>
    <t>CEP a.s. HK - příplatek mimo základní kapitál</t>
  </si>
  <si>
    <t xml:space="preserve">          cestovní ruch</t>
  </si>
  <si>
    <t>podpora škol s nadprům. zastoupením soc. znevýhod. žáků - SR</t>
  </si>
  <si>
    <t>OPZ - Rozvoj systému hospodaření s energií v KHK - SR 2022</t>
  </si>
  <si>
    <t>prev.neg.dopadů psych.a fyz.zátěže v souvisl.s epid.COVID-19-SR</t>
  </si>
  <si>
    <t xml:space="preserve">            školství - vzdělávání  a prevence</t>
  </si>
  <si>
    <t>podp. soc. znevýhodn. rom. žáků SŠ a studentů VOŠ - SR</t>
  </si>
  <si>
    <t xml:space="preserve">potravinová pomoc dětem v KHK - obědy do škol - SR </t>
  </si>
  <si>
    <t xml:space="preserve">OP Z+ Rozvoj kompetencí sociálních služeb v KHK - SR </t>
  </si>
  <si>
    <t xml:space="preserve">OP Z+ Žijeme v komunitě fáze 1 - SR </t>
  </si>
  <si>
    <t xml:space="preserve">OPZ - Rozvoj systému hospodaření s energií v KHK - SR </t>
  </si>
  <si>
    <t xml:space="preserve">OP Z+ Rozvoj reg.partnerství v soc.oblasti v KHK III - SR </t>
  </si>
  <si>
    <t>národní plán obnovy - strategie, digitalizace - SR</t>
  </si>
  <si>
    <t>standardizované veřejné služby muzeí a galerií - SR</t>
  </si>
  <si>
    <t>podpora expozičních a výstavních projektů - SR</t>
  </si>
  <si>
    <t xml:space="preserve">  z Mze</t>
  </si>
  <si>
    <t>nemocnice Rychnov n.K. - rozšíření PZ Solnice - Kvasiny - SR</t>
  </si>
  <si>
    <t>kap. 49 - Regionální výzkumný a inovační fond KHK</t>
  </si>
  <si>
    <t>Výměna kotlů pro nízkopříjmové domácnosti v KHK II. - SR</t>
  </si>
  <si>
    <t>33063, 33092</t>
  </si>
  <si>
    <t>národní program podpory cestovního ruchu v regionech - SR</t>
  </si>
  <si>
    <t>národní plán obnovy - strategie, digitalizace, kreativita - SR</t>
  </si>
  <si>
    <t>Výměna kotlů pro nízkopříjmové domácnosti v KHK II. - SR 2022</t>
  </si>
  <si>
    <t>koordinace pedagogických praxí pro MŠ, ZŠ a SŠ - SR</t>
  </si>
  <si>
    <t>OPZ+ - Příležitost pro začátek - SR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</si>
</sst>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.0\ _K_č"/>
    <numFmt numFmtId="168" formatCode="#,##0.0_ ;\-#,##0.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;[Red]#,##0.0"/>
    <numFmt numFmtId="175" formatCode="#,##0.0_ ;[Red]\-#,##0.0\ "/>
    <numFmt numFmtId="176" formatCode="#,##0.00_ ;\-#,##0.00\ "/>
    <numFmt numFmtId="177" formatCode="#,##0.000"/>
    <numFmt numFmtId="178" formatCode="#,##0.000_ ;\-#,##0.000\ 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sz val="6"/>
      <name val="Arial CE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/>
    </border>
    <border>
      <left style="thin"/>
      <right style="thick"/>
      <top/>
      <bottom style="medium"/>
    </border>
    <border>
      <left style="thin"/>
      <right style="thick"/>
      <top/>
      <bottom/>
    </border>
    <border>
      <left style="thin"/>
      <right style="thick"/>
      <top style="medium"/>
      <bottom style="medium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38" fillId="0" borderId="0" applyNumberFormat="0" applyFill="0" applyBorder="0" applyAlignment="0" applyProtection="0"/>
    <xf numFmtId="0" fontId="39" fillId="20" borderId="2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3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21">
    <xf numFmtId="3" fontId="0" fillId="0" borderId="0" xfId="0" applyAlignment="1">
      <alignment/>
    </xf>
    <xf numFmtId="167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4" fillId="0" borderId="10" xfId="38" applyNumberFormat="1" applyFont="1" applyBorder="1" applyAlignment="1">
      <alignment horizontal="center"/>
    </xf>
    <xf numFmtId="168" fontId="4" fillId="0" borderId="10" xfId="38" applyNumberFormat="1" applyFont="1" applyBorder="1" applyAlignment="1">
      <alignment/>
    </xf>
    <xf numFmtId="167" fontId="4" fillId="0" borderId="11" xfId="38" applyNumberFormat="1" applyFont="1" applyBorder="1" applyAlignment="1">
      <alignment horizontal="center"/>
    </xf>
    <xf numFmtId="167" fontId="4" fillId="0" borderId="12" xfId="38" applyNumberFormat="1" applyFont="1" applyBorder="1" applyAlignment="1">
      <alignment horizontal="center"/>
    </xf>
    <xf numFmtId="167" fontId="4" fillId="0" borderId="13" xfId="38" applyNumberFormat="1" applyFont="1" applyBorder="1" applyAlignment="1">
      <alignment horizontal="center"/>
    </xf>
    <xf numFmtId="168" fontId="4" fillId="0" borderId="14" xfId="38" applyNumberFormat="1" applyFont="1" applyBorder="1" applyAlignment="1">
      <alignment/>
    </xf>
    <xf numFmtId="168" fontId="4" fillId="0" borderId="15" xfId="38" applyNumberFormat="1" applyFont="1" applyBorder="1" applyAlignment="1">
      <alignment/>
    </xf>
    <xf numFmtId="167" fontId="4" fillId="0" borderId="14" xfId="38" applyNumberFormat="1" applyFont="1" applyBorder="1" applyAlignment="1">
      <alignment horizontal="center"/>
    </xf>
    <xf numFmtId="3" fontId="4" fillId="0" borderId="16" xfId="0" applyFont="1" applyBorder="1" applyAlignment="1">
      <alignment/>
    </xf>
    <xf numFmtId="3" fontId="5" fillId="0" borderId="16" xfId="0" applyFont="1" applyBorder="1" applyAlignment="1">
      <alignment/>
    </xf>
    <xf numFmtId="3" fontId="0" fillId="0" borderId="16" xfId="0" applyFont="1" applyBorder="1" applyAlignment="1">
      <alignment/>
    </xf>
    <xf numFmtId="3" fontId="0" fillId="0" borderId="16" xfId="0" applyBorder="1" applyAlignment="1">
      <alignment/>
    </xf>
    <xf numFmtId="3" fontId="4" fillId="0" borderId="16" xfId="0" applyFont="1" applyBorder="1" applyAlignment="1">
      <alignment/>
    </xf>
    <xf numFmtId="3" fontId="5" fillId="0" borderId="16" xfId="0" applyFont="1" applyBorder="1" applyAlignment="1">
      <alignment/>
    </xf>
    <xf numFmtId="3" fontId="0" fillId="0" borderId="17" xfId="0" applyBorder="1" applyAlignment="1">
      <alignment/>
    </xf>
    <xf numFmtId="3" fontId="0" fillId="0" borderId="16" xfId="0" applyFont="1" applyBorder="1" applyAlignment="1">
      <alignment/>
    </xf>
    <xf numFmtId="3" fontId="2" fillId="0" borderId="18" xfId="0" applyFont="1" applyBorder="1" applyAlignment="1">
      <alignment vertical="center"/>
    </xf>
    <xf numFmtId="3" fontId="6" fillId="0" borderId="16" xfId="0" applyFont="1" applyBorder="1" applyAlignment="1">
      <alignment/>
    </xf>
    <xf numFmtId="3" fontId="6" fillId="0" borderId="16" xfId="0" applyFont="1" applyBorder="1" applyAlignment="1">
      <alignment/>
    </xf>
    <xf numFmtId="3" fontId="0" fillId="0" borderId="17" xfId="0" applyFont="1" applyBorder="1" applyAlignment="1">
      <alignment/>
    </xf>
    <xf numFmtId="3" fontId="7" fillId="0" borderId="16" xfId="0" applyFont="1" applyBorder="1" applyAlignment="1">
      <alignment/>
    </xf>
    <xf numFmtId="3" fontId="0" fillId="0" borderId="17" xfId="0" applyFont="1" applyBorder="1" applyAlignment="1">
      <alignment/>
    </xf>
    <xf numFmtId="3" fontId="4" fillId="0" borderId="16" xfId="0" applyFont="1" applyFill="1" applyBorder="1" applyAlignment="1">
      <alignment/>
    </xf>
    <xf numFmtId="3" fontId="4" fillId="0" borderId="18" xfId="0" applyFont="1" applyBorder="1" applyAlignment="1">
      <alignment/>
    </xf>
    <xf numFmtId="3" fontId="3" fillId="0" borderId="19" xfId="0" applyFont="1" applyBorder="1" applyAlignment="1">
      <alignment vertical="center"/>
    </xf>
    <xf numFmtId="3" fontId="4" fillId="0" borderId="19" xfId="0" applyFont="1" applyBorder="1" applyAlignment="1">
      <alignment vertical="center"/>
    </xf>
    <xf numFmtId="3" fontId="2" fillId="0" borderId="19" xfId="0" applyFont="1" applyBorder="1" applyAlignment="1">
      <alignment vertical="center"/>
    </xf>
    <xf numFmtId="3" fontId="2" fillId="0" borderId="20" xfId="0" applyFont="1" applyBorder="1" applyAlignment="1">
      <alignment vertical="center"/>
    </xf>
    <xf numFmtId="3" fontId="2" fillId="0" borderId="16" xfId="0" applyFont="1" applyBorder="1" applyAlignment="1">
      <alignment vertical="center"/>
    </xf>
    <xf numFmtId="3" fontId="0" fillId="0" borderId="16" xfId="0" applyFont="1" applyBorder="1" applyAlignment="1">
      <alignment vertical="center"/>
    </xf>
    <xf numFmtId="3" fontId="0" fillId="0" borderId="16" xfId="0" applyBorder="1" applyAlignment="1">
      <alignment vertical="center"/>
    </xf>
    <xf numFmtId="3" fontId="7" fillId="0" borderId="16" xfId="0" applyFont="1" applyBorder="1" applyAlignment="1">
      <alignment/>
    </xf>
    <xf numFmtId="3" fontId="4" fillId="0" borderId="16" xfId="0" applyFont="1" applyBorder="1" applyAlignment="1">
      <alignment horizontal="left" vertical="center"/>
    </xf>
    <xf numFmtId="167" fontId="4" fillId="0" borderId="15" xfId="38" applyNumberFormat="1" applyFont="1" applyBorder="1" applyAlignment="1">
      <alignment horizontal="center"/>
    </xf>
    <xf numFmtId="167" fontId="4" fillId="0" borderId="21" xfId="38" applyNumberFormat="1" applyFont="1" applyBorder="1" applyAlignment="1">
      <alignment horizontal="center"/>
    </xf>
    <xf numFmtId="167" fontId="4" fillId="0" borderId="22" xfId="38" applyNumberFormat="1" applyFont="1" applyBorder="1" applyAlignment="1">
      <alignment horizontal="center"/>
    </xf>
    <xf numFmtId="167" fontId="4" fillId="0" borderId="23" xfId="38" applyNumberFormat="1" applyFont="1" applyBorder="1" applyAlignment="1">
      <alignment horizontal="center"/>
    </xf>
    <xf numFmtId="3" fontId="54" fillId="0" borderId="0" xfId="0" applyFont="1" applyAlignment="1">
      <alignment/>
    </xf>
    <xf numFmtId="169" fontId="0" fillId="0" borderId="0" xfId="0" applyNumberFormat="1" applyAlignment="1">
      <alignment/>
    </xf>
    <xf numFmtId="3" fontId="0" fillId="0" borderId="18" xfId="0" applyBorder="1" applyAlignment="1">
      <alignment vertical="center"/>
    </xf>
    <xf numFmtId="3" fontId="55" fillId="0" borderId="0" xfId="0" applyFont="1" applyAlignment="1">
      <alignment/>
    </xf>
    <xf numFmtId="3" fontId="7" fillId="0" borderId="24" xfId="0" applyFont="1" applyBorder="1" applyAlignment="1">
      <alignment/>
    </xf>
    <xf numFmtId="3" fontId="4" fillId="0" borderId="25" xfId="0" applyFont="1" applyBorder="1" applyAlignment="1">
      <alignment horizontal="center" vertical="center"/>
    </xf>
    <xf numFmtId="3" fontId="4" fillId="0" borderId="24" xfId="0" applyFont="1" applyBorder="1" applyAlignment="1">
      <alignment horizontal="left" vertical="center"/>
    </xf>
    <xf numFmtId="3" fontId="4" fillId="0" borderId="24" xfId="0" applyFont="1" applyBorder="1" applyAlignment="1">
      <alignment/>
    </xf>
    <xf numFmtId="3" fontId="5" fillId="0" borderId="24" xfId="0" applyFont="1" applyBorder="1" applyAlignment="1">
      <alignment/>
    </xf>
    <xf numFmtId="3" fontId="0" fillId="0" borderId="24" xfId="0" applyFont="1" applyBorder="1" applyAlignment="1">
      <alignment/>
    </xf>
    <xf numFmtId="3" fontId="0" fillId="0" borderId="24" xfId="0" applyBorder="1" applyAlignment="1">
      <alignment/>
    </xf>
    <xf numFmtId="3" fontId="4" fillId="0" borderId="24" xfId="0" applyFont="1" applyBorder="1" applyAlignment="1">
      <alignment/>
    </xf>
    <xf numFmtId="3" fontId="5" fillId="0" borderId="24" xfId="0" applyFont="1" applyBorder="1" applyAlignment="1">
      <alignment/>
    </xf>
    <xf numFmtId="3" fontId="0" fillId="0" borderId="24" xfId="0" applyFont="1" applyBorder="1" applyAlignment="1">
      <alignment/>
    </xf>
    <xf numFmtId="3" fontId="2" fillId="0" borderId="26" xfId="0" applyFont="1" applyBorder="1" applyAlignment="1">
      <alignment vertical="center"/>
    </xf>
    <xf numFmtId="3" fontId="7" fillId="0" borderId="24" xfId="0" applyFont="1" applyBorder="1" applyAlignment="1">
      <alignment horizontal="center"/>
    </xf>
    <xf numFmtId="3" fontId="0" fillId="0" borderId="16" xfId="0" applyFont="1" applyBorder="1" applyAlignment="1">
      <alignment/>
    </xf>
    <xf numFmtId="3" fontId="9" fillId="0" borderId="24" xfId="0" applyFont="1" applyBorder="1" applyAlignment="1">
      <alignment/>
    </xf>
    <xf numFmtId="3" fontId="7" fillId="0" borderId="27" xfId="0" applyFont="1" applyBorder="1" applyAlignment="1">
      <alignment horizontal="center"/>
    </xf>
    <xf numFmtId="3" fontId="9" fillId="0" borderId="24" xfId="0" applyFont="1" applyBorder="1" applyAlignment="1">
      <alignment horizontal="center"/>
    </xf>
    <xf numFmtId="3" fontId="9" fillId="0" borderId="24" xfId="0" applyFont="1" applyFill="1" applyBorder="1" applyAlignment="1">
      <alignment horizontal="center"/>
    </xf>
    <xf numFmtId="3" fontId="7" fillId="0" borderId="24" xfId="0" applyFont="1" applyFill="1" applyBorder="1" applyAlignment="1">
      <alignment horizontal="center"/>
    </xf>
    <xf numFmtId="3" fontId="9" fillId="0" borderId="19" xfId="0" applyFont="1" applyBorder="1" applyAlignment="1">
      <alignment horizontal="center" vertical="center"/>
    </xf>
    <xf numFmtId="3" fontId="9" fillId="0" borderId="20" xfId="0" applyFont="1" applyBorder="1" applyAlignment="1">
      <alignment horizontal="center" vertical="center"/>
    </xf>
    <xf numFmtId="3" fontId="9" fillId="0" borderId="16" xfId="0" applyFont="1" applyBorder="1" applyAlignment="1">
      <alignment horizontal="center" vertical="center"/>
    </xf>
    <xf numFmtId="3" fontId="9" fillId="0" borderId="18" xfId="0" applyFont="1" applyBorder="1" applyAlignment="1">
      <alignment horizontal="center" vertical="center"/>
    </xf>
    <xf numFmtId="3" fontId="7" fillId="0" borderId="16" xfId="0" applyFont="1" applyBorder="1" applyAlignment="1">
      <alignment horizontal="center" vertical="center"/>
    </xf>
    <xf numFmtId="3" fontId="7" fillId="0" borderId="26" xfId="0" applyFont="1" applyBorder="1" applyAlignment="1">
      <alignment horizontal="center" vertical="center"/>
    </xf>
    <xf numFmtId="3" fontId="7" fillId="0" borderId="0" xfId="0" applyFont="1" applyAlignment="1">
      <alignment/>
    </xf>
    <xf numFmtId="176" fontId="4" fillId="0" borderId="14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0" fillId="0" borderId="10" xfId="38" applyNumberFormat="1" applyFont="1" applyBorder="1" applyAlignment="1">
      <alignment/>
    </xf>
    <xf numFmtId="176" fontId="0" fillId="0" borderId="14" xfId="38" applyNumberFormat="1" applyFont="1" applyBorder="1" applyAlignment="1">
      <alignment/>
    </xf>
    <xf numFmtId="176" fontId="4" fillId="0" borderId="14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2" fillId="0" borderId="21" xfId="38" applyNumberFormat="1" applyFont="1" applyBorder="1" applyAlignment="1">
      <alignment vertical="center"/>
    </xf>
    <xf numFmtId="176" fontId="2" fillId="0" borderId="22" xfId="38" applyNumberFormat="1" applyFont="1" applyBorder="1" applyAlignment="1">
      <alignment vertical="center"/>
    </xf>
    <xf numFmtId="176" fontId="6" fillId="0" borderId="14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28" xfId="38" applyNumberFormat="1" applyFont="1" applyBorder="1" applyAlignment="1">
      <alignment/>
    </xf>
    <xf numFmtId="176" fontId="6" fillId="0" borderId="14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10" xfId="38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3" fillId="0" borderId="29" xfId="38" applyNumberFormat="1" applyFont="1" applyBorder="1" applyAlignment="1">
      <alignment vertical="center"/>
    </xf>
    <xf numFmtId="176" fontId="3" fillId="0" borderId="12" xfId="38" applyNumberFormat="1" applyFont="1" applyBorder="1" applyAlignment="1">
      <alignment vertical="center"/>
    </xf>
    <xf numFmtId="176" fontId="2" fillId="0" borderId="12" xfId="38" applyNumberFormat="1" applyFont="1" applyBorder="1" applyAlignment="1">
      <alignment vertical="center"/>
    </xf>
    <xf numFmtId="176" fontId="2" fillId="0" borderId="10" xfId="38" applyNumberFormat="1" applyFont="1" applyBorder="1" applyAlignment="1">
      <alignment vertical="center"/>
    </xf>
    <xf numFmtId="176" fontId="6" fillId="0" borderId="10" xfId="38" applyNumberFormat="1" applyFont="1" applyFill="1" applyBorder="1" applyAlignment="1">
      <alignment/>
    </xf>
    <xf numFmtId="176" fontId="0" fillId="0" borderId="10" xfId="38" applyNumberFormat="1" applyFont="1" applyFill="1" applyBorder="1" applyAlignment="1">
      <alignment/>
    </xf>
    <xf numFmtId="176" fontId="4" fillId="0" borderId="30" xfId="38" applyNumberFormat="1" applyFont="1" applyBorder="1" applyAlignment="1">
      <alignment/>
    </xf>
    <xf numFmtId="176" fontId="2" fillId="0" borderId="11" xfId="38" applyNumberFormat="1" applyFont="1" applyBorder="1" applyAlignment="1">
      <alignment vertical="center"/>
    </xf>
    <xf numFmtId="167" fontId="5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3" fontId="0" fillId="0" borderId="16" xfId="0" applyFont="1" applyFill="1" applyBorder="1" applyAlignment="1">
      <alignment/>
    </xf>
    <xf numFmtId="3" fontId="4" fillId="0" borderId="26" xfId="0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/>
    </xf>
    <xf numFmtId="176" fontId="0" fillId="0" borderId="10" xfId="38" applyNumberFormat="1" applyFont="1" applyBorder="1" applyAlignment="1">
      <alignment vertical="center"/>
    </xf>
    <xf numFmtId="176" fontId="0" fillId="0" borderId="22" xfId="38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left"/>
    </xf>
    <xf numFmtId="176" fontId="0" fillId="0" borderId="30" xfId="38" applyNumberFormat="1" applyFont="1" applyBorder="1" applyAlignment="1">
      <alignment/>
    </xf>
    <xf numFmtId="176" fontId="4" fillId="0" borderId="30" xfId="38" applyNumberFormat="1" applyFont="1" applyBorder="1" applyAlignment="1">
      <alignment/>
    </xf>
    <xf numFmtId="176" fontId="2" fillId="0" borderId="31" xfId="38" applyNumberFormat="1" applyFont="1" applyBorder="1" applyAlignment="1">
      <alignment vertical="center"/>
    </xf>
    <xf numFmtId="176" fontId="6" fillId="0" borderId="30" xfId="38" applyNumberFormat="1" applyFont="1" applyBorder="1" applyAlignment="1">
      <alignment/>
    </xf>
    <xf numFmtId="176" fontId="6" fillId="0" borderId="30" xfId="38" applyNumberFormat="1" applyFont="1" applyBorder="1" applyAlignment="1">
      <alignment/>
    </xf>
    <xf numFmtId="176" fontId="2" fillId="0" borderId="32" xfId="38" applyNumberFormat="1" applyFont="1" applyBorder="1" applyAlignment="1">
      <alignment vertical="center"/>
    </xf>
    <xf numFmtId="3" fontId="10" fillId="0" borderId="24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3" fontId="0" fillId="0" borderId="27" xfId="0" applyFont="1" applyBorder="1" applyAlignment="1">
      <alignment/>
    </xf>
    <xf numFmtId="176" fontId="4" fillId="0" borderId="16" xfId="38" applyNumberFormat="1" applyFont="1" applyBorder="1" applyAlignment="1">
      <alignment/>
    </xf>
    <xf numFmtId="176" fontId="0" fillId="0" borderId="16" xfId="38" applyNumberFormat="1" applyFont="1" applyBorder="1" applyAlignment="1">
      <alignment/>
    </xf>
    <xf numFmtId="176" fontId="4" fillId="0" borderId="16" xfId="38" applyNumberFormat="1" applyFont="1" applyBorder="1" applyAlignment="1">
      <alignment/>
    </xf>
    <xf numFmtId="176" fontId="2" fillId="0" borderId="18" xfId="38" applyNumberFormat="1" applyFont="1" applyBorder="1" applyAlignment="1">
      <alignment vertical="center"/>
    </xf>
    <xf numFmtId="176" fontId="6" fillId="0" borderId="16" xfId="38" applyNumberFormat="1" applyFont="1" applyBorder="1" applyAlignment="1">
      <alignment/>
    </xf>
    <xf numFmtId="176" fontId="6" fillId="0" borderId="16" xfId="38" applyNumberFormat="1" applyFont="1" applyBorder="1" applyAlignment="1">
      <alignment/>
    </xf>
    <xf numFmtId="176" fontId="0" fillId="0" borderId="16" xfId="38" applyNumberFormat="1" applyFont="1" applyFill="1" applyBorder="1" applyAlignment="1">
      <alignment/>
    </xf>
    <xf numFmtId="176" fontId="3" fillId="0" borderId="19" xfId="38" applyNumberFormat="1" applyFont="1" applyBorder="1" applyAlignment="1">
      <alignment vertical="center"/>
    </xf>
    <xf numFmtId="176" fontId="4" fillId="0" borderId="19" xfId="38" applyNumberFormat="1" applyFont="1" applyBorder="1" applyAlignment="1">
      <alignment vertical="center"/>
    </xf>
    <xf numFmtId="176" fontId="2" fillId="0" borderId="19" xfId="38" applyNumberFormat="1" applyFont="1" applyBorder="1" applyAlignment="1">
      <alignment vertical="center"/>
    </xf>
    <xf numFmtId="176" fontId="3" fillId="0" borderId="20" xfId="38" applyNumberFormat="1" applyFont="1" applyBorder="1" applyAlignment="1">
      <alignment vertical="center"/>
    </xf>
    <xf numFmtId="176" fontId="3" fillId="0" borderId="16" xfId="38" applyNumberFormat="1" applyFont="1" applyBorder="1" applyAlignment="1">
      <alignment vertical="center"/>
    </xf>
    <xf numFmtId="176" fontId="3" fillId="0" borderId="18" xfId="38" applyNumberFormat="1" applyFont="1" applyBorder="1" applyAlignment="1">
      <alignment vertical="center"/>
    </xf>
    <xf numFmtId="176" fontId="2" fillId="0" borderId="20" xfId="38" applyNumberFormat="1" applyFont="1" applyBorder="1" applyAlignment="1">
      <alignment vertical="center"/>
    </xf>
    <xf numFmtId="176" fontId="0" fillId="0" borderId="31" xfId="38" applyNumberFormat="1" applyFont="1" applyBorder="1" applyAlignment="1">
      <alignment vertical="center"/>
    </xf>
    <xf numFmtId="3" fontId="0" fillId="0" borderId="17" xfId="0" applyFont="1" applyBorder="1" applyAlignment="1">
      <alignment/>
    </xf>
    <xf numFmtId="3" fontId="0" fillId="0" borderId="16" xfId="0" applyFill="1" applyBorder="1" applyAlignment="1">
      <alignment/>
    </xf>
    <xf numFmtId="167" fontId="55" fillId="0" borderId="0" xfId="0" applyNumberFormat="1" applyFont="1" applyAlignment="1">
      <alignment horizontal="center" vertical="center"/>
    </xf>
    <xf numFmtId="176" fontId="3" fillId="0" borderId="10" xfId="38" applyNumberFormat="1" applyFont="1" applyBorder="1" applyAlignment="1">
      <alignment vertical="center"/>
    </xf>
    <xf numFmtId="176" fontId="3" fillId="0" borderId="22" xfId="38" applyNumberFormat="1" applyFont="1" applyBorder="1" applyAlignment="1">
      <alignment vertical="center"/>
    </xf>
    <xf numFmtId="176" fontId="4" fillId="0" borderId="15" xfId="38" applyNumberFormat="1" applyFont="1" applyBorder="1" applyAlignment="1">
      <alignment/>
    </xf>
    <xf numFmtId="176" fontId="0" fillId="0" borderId="15" xfId="38" applyNumberFormat="1" applyFont="1" applyBorder="1" applyAlignment="1">
      <alignment/>
    </xf>
    <xf numFmtId="176" fontId="0" fillId="0" borderId="14" xfId="38" applyNumberFormat="1" applyFont="1" applyFill="1" applyBorder="1" applyAlignment="1">
      <alignment/>
    </xf>
    <xf numFmtId="176" fontId="3" fillId="0" borderId="33" xfId="38" applyNumberFormat="1" applyFont="1" applyBorder="1" applyAlignment="1">
      <alignment vertical="center"/>
    </xf>
    <xf numFmtId="176" fontId="4" fillId="0" borderId="33" xfId="38" applyNumberFormat="1" applyFont="1" applyBorder="1" applyAlignment="1">
      <alignment vertical="center"/>
    </xf>
    <xf numFmtId="176" fontId="4" fillId="0" borderId="29" xfId="38" applyNumberFormat="1" applyFont="1" applyBorder="1" applyAlignment="1">
      <alignment vertical="center"/>
    </xf>
    <xf numFmtId="176" fontId="2" fillId="0" borderId="33" xfId="38" applyNumberFormat="1" applyFont="1" applyBorder="1" applyAlignment="1">
      <alignment vertical="center"/>
    </xf>
    <xf numFmtId="176" fontId="2" fillId="0" borderId="29" xfId="38" applyNumberFormat="1" applyFont="1" applyBorder="1" applyAlignment="1">
      <alignment vertical="center"/>
    </xf>
    <xf numFmtId="176" fontId="3" fillId="0" borderId="11" xfId="38" applyNumberFormat="1" applyFont="1" applyBorder="1" applyAlignment="1">
      <alignment vertical="center"/>
    </xf>
    <xf numFmtId="176" fontId="3" fillId="0" borderId="14" xfId="38" applyNumberFormat="1" applyFont="1" applyBorder="1" applyAlignment="1">
      <alignment vertical="center"/>
    </xf>
    <xf numFmtId="176" fontId="3" fillId="0" borderId="21" xfId="38" applyNumberFormat="1" applyFont="1" applyBorder="1" applyAlignment="1">
      <alignment vertical="center"/>
    </xf>
    <xf numFmtId="176" fontId="0" fillId="0" borderId="30" xfId="38" applyNumberFormat="1" applyFont="1" applyFill="1" applyBorder="1" applyAlignment="1">
      <alignment/>
    </xf>
    <xf numFmtId="176" fontId="3" fillId="0" borderId="34" xfId="38" applyNumberFormat="1" applyFont="1" applyBorder="1" applyAlignment="1">
      <alignment vertical="center"/>
    </xf>
    <xf numFmtId="176" fontId="2" fillId="0" borderId="34" xfId="38" applyNumberFormat="1" applyFont="1" applyBorder="1" applyAlignment="1">
      <alignment vertical="center"/>
    </xf>
    <xf numFmtId="176" fontId="3" fillId="0" borderId="32" xfId="38" applyNumberFormat="1" applyFont="1" applyBorder="1" applyAlignment="1">
      <alignment vertical="center"/>
    </xf>
    <xf numFmtId="176" fontId="3" fillId="0" borderId="30" xfId="38" applyNumberFormat="1" applyFont="1" applyBorder="1" applyAlignment="1">
      <alignment vertical="center"/>
    </xf>
    <xf numFmtId="176" fontId="3" fillId="0" borderId="31" xfId="38" applyNumberFormat="1" applyFont="1" applyBorder="1" applyAlignment="1">
      <alignment vertical="center"/>
    </xf>
    <xf numFmtId="167" fontId="4" fillId="0" borderId="35" xfId="38" applyNumberFormat="1" applyFont="1" applyBorder="1" applyAlignment="1">
      <alignment horizontal="center"/>
    </xf>
    <xf numFmtId="167" fontId="4" fillId="0" borderId="36" xfId="38" applyNumberFormat="1" applyFont="1" applyBorder="1" applyAlignment="1">
      <alignment horizontal="center"/>
    </xf>
    <xf numFmtId="176" fontId="4" fillId="0" borderId="37" xfId="38" applyNumberFormat="1" applyFont="1" applyBorder="1" applyAlignment="1">
      <alignment/>
    </xf>
    <xf numFmtId="176" fontId="0" fillId="0" borderId="37" xfId="38" applyNumberFormat="1" applyFont="1" applyBorder="1" applyAlignment="1">
      <alignment/>
    </xf>
    <xf numFmtId="176" fontId="4" fillId="0" borderId="37" xfId="38" applyNumberFormat="1" applyFont="1" applyBorder="1" applyAlignment="1">
      <alignment/>
    </xf>
    <xf numFmtId="176" fontId="2" fillId="0" borderId="36" xfId="38" applyNumberFormat="1" applyFont="1" applyBorder="1" applyAlignment="1">
      <alignment vertical="center"/>
    </xf>
    <xf numFmtId="176" fontId="6" fillId="0" borderId="37" xfId="38" applyNumberFormat="1" applyFont="1" applyBorder="1" applyAlignment="1">
      <alignment/>
    </xf>
    <xf numFmtId="176" fontId="6" fillId="0" borderId="37" xfId="38" applyNumberFormat="1" applyFont="1" applyBorder="1" applyAlignment="1">
      <alignment/>
    </xf>
    <xf numFmtId="176" fontId="0" fillId="0" borderId="37" xfId="38" applyNumberFormat="1" applyFont="1" applyFill="1" applyBorder="1" applyAlignment="1">
      <alignment/>
    </xf>
    <xf numFmtId="176" fontId="3" fillId="0" borderId="38" xfId="38" applyNumberFormat="1" applyFont="1" applyBorder="1" applyAlignment="1">
      <alignment vertical="center"/>
    </xf>
    <xf numFmtId="176" fontId="2" fillId="0" borderId="38" xfId="38" applyNumberFormat="1" applyFont="1" applyBorder="1" applyAlignment="1">
      <alignment vertical="center"/>
    </xf>
    <xf numFmtId="176" fontId="3" fillId="0" borderId="35" xfId="38" applyNumberFormat="1" applyFont="1" applyBorder="1" applyAlignment="1">
      <alignment vertical="center"/>
    </xf>
    <xf numFmtId="176" fontId="3" fillId="0" borderId="37" xfId="38" applyNumberFormat="1" applyFont="1" applyBorder="1" applyAlignment="1">
      <alignment vertical="center"/>
    </xf>
    <xf numFmtId="176" fontId="3" fillId="0" borderId="36" xfId="38" applyNumberFormat="1" applyFont="1" applyBorder="1" applyAlignment="1">
      <alignment vertical="center"/>
    </xf>
    <xf numFmtId="176" fontId="2" fillId="0" borderId="35" xfId="38" applyNumberFormat="1" applyFont="1" applyBorder="1" applyAlignment="1">
      <alignment vertical="center"/>
    </xf>
    <xf numFmtId="167" fontId="4" fillId="0" borderId="32" xfId="38" applyNumberFormat="1" applyFont="1" applyBorder="1" applyAlignment="1">
      <alignment horizontal="center"/>
    </xf>
    <xf numFmtId="167" fontId="4" fillId="0" borderId="31" xfId="38" applyNumberFormat="1" applyFont="1" applyBorder="1" applyAlignment="1">
      <alignment horizontal="center"/>
    </xf>
    <xf numFmtId="3" fontId="0" fillId="0" borderId="37" xfId="0" applyBorder="1" applyAlignment="1">
      <alignment/>
    </xf>
    <xf numFmtId="168" fontId="4" fillId="0" borderId="37" xfId="38" applyNumberFormat="1" applyFon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39" xfId="0" applyNumberFormat="1" applyBorder="1" applyAlignment="1">
      <alignment/>
    </xf>
    <xf numFmtId="169" fontId="0" fillId="0" borderId="36" xfId="0" applyNumberFormat="1" applyBorder="1" applyAlignment="1">
      <alignment/>
    </xf>
    <xf numFmtId="167" fontId="4" fillId="0" borderId="30" xfId="38" applyNumberFormat="1" applyFont="1" applyBorder="1" applyAlignment="1">
      <alignment horizontal="center"/>
    </xf>
    <xf numFmtId="176" fontId="0" fillId="0" borderId="30" xfId="38" applyNumberFormat="1" applyFont="1" applyBorder="1" applyAlignment="1">
      <alignment/>
    </xf>
    <xf numFmtId="176" fontId="0" fillId="0" borderId="40" xfId="38" applyNumberFormat="1" applyFont="1" applyBorder="1" applyAlignment="1">
      <alignment/>
    </xf>
    <xf numFmtId="176" fontId="6" fillId="0" borderId="30" xfId="38" applyNumberFormat="1" applyFont="1" applyFill="1" applyBorder="1" applyAlignment="1">
      <alignment/>
    </xf>
    <xf numFmtId="176" fontId="0" fillId="0" borderId="30" xfId="38" applyNumberFormat="1" applyFont="1" applyFill="1" applyBorder="1" applyAlignment="1">
      <alignment/>
    </xf>
    <xf numFmtId="176" fontId="0" fillId="0" borderId="34" xfId="38" applyNumberFormat="1" applyFont="1" applyBorder="1" applyAlignment="1">
      <alignment vertical="center"/>
    </xf>
    <xf numFmtId="176" fontId="2" fillId="0" borderId="30" xfId="38" applyNumberFormat="1" applyFont="1" applyBorder="1" applyAlignment="1">
      <alignment vertical="center"/>
    </xf>
    <xf numFmtId="176" fontId="0" fillId="0" borderId="30" xfId="38" applyNumberFormat="1" applyFont="1" applyBorder="1" applyAlignment="1">
      <alignment vertical="center"/>
    </xf>
    <xf numFmtId="167" fontId="4" fillId="0" borderId="20" xfId="38" applyNumberFormat="1" applyFont="1" applyBorder="1" applyAlignment="1">
      <alignment horizontal="center"/>
    </xf>
    <xf numFmtId="167" fontId="4" fillId="0" borderId="18" xfId="38" applyNumberFormat="1" applyFont="1" applyBorder="1" applyAlignment="1">
      <alignment horizontal="center"/>
    </xf>
    <xf numFmtId="167" fontId="4" fillId="0" borderId="16" xfId="38" applyNumberFormat="1" applyFont="1" applyBorder="1" applyAlignment="1">
      <alignment horizontal="center"/>
    </xf>
    <xf numFmtId="176" fontId="0" fillId="0" borderId="17" xfId="38" applyNumberFormat="1" applyFont="1" applyBorder="1" applyAlignment="1">
      <alignment/>
    </xf>
    <xf numFmtId="176" fontId="2" fillId="0" borderId="16" xfId="38" applyNumberFormat="1" applyFont="1" applyBorder="1" applyAlignment="1">
      <alignment vertical="center"/>
    </xf>
    <xf numFmtId="176" fontId="0" fillId="0" borderId="16" xfId="38" applyNumberFormat="1" applyFont="1" applyBorder="1" applyAlignment="1">
      <alignment vertical="center"/>
    </xf>
    <xf numFmtId="176" fontId="4" fillId="0" borderId="18" xfId="38" applyNumberFormat="1" applyFont="1" applyBorder="1" applyAlignment="1">
      <alignment vertical="center"/>
    </xf>
    <xf numFmtId="176" fontId="0" fillId="0" borderId="17" xfId="38" applyNumberFormat="1" applyFont="1" applyBorder="1" applyAlignment="1">
      <alignment/>
    </xf>
    <xf numFmtId="167" fontId="4" fillId="0" borderId="41" xfId="38" applyNumberFormat="1" applyFont="1" applyBorder="1" applyAlignment="1">
      <alignment horizontal="center"/>
    </xf>
    <xf numFmtId="167" fontId="4" fillId="0" borderId="42" xfId="38" applyNumberFormat="1" applyFont="1" applyBorder="1" applyAlignment="1">
      <alignment horizontal="center"/>
    </xf>
    <xf numFmtId="167" fontId="4" fillId="0" borderId="43" xfId="38" applyNumberFormat="1" applyFont="1" applyBorder="1" applyAlignment="1">
      <alignment horizontal="center"/>
    </xf>
    <xf numFmtId="176" fontId="4" fillId="0" borderId="43" xfId="38" applyNumberFormat="1" applyFont="1" applyBorder="1" applyAlignment="1">
      <alignment/>
    </xf>
    <xf numFmtId="176" fontId="0" fillId="0" borderId="43" xfId="38" applyNumberFormat="1" applyFont="1" applyBorder="1" applyAlignment="1">
      <alignment/>
    </xf>
    <xf numFmtId="176" fontId="4" fillId="0" borderId="43" xfId="38" applyNumberFormat="1" applyFont="1" applyBorder="1" applyAlignment="1">
      <alignment/>
    </xf>
    <xf numFmtId="176" fontId="2" fillId="0" borderId="42" xfId="38" applyNumberFormat="1" applyFont="1" applyBorder="1" applyAlignment="1">
      <alignment vertical="center"/>
    </xf>
    <xf numFmtId="176" fontId="6" fillId="0" borderId="43" xfId="38" applyNumberFormat="1" applyFont="1" applyBorder="1" applyAlignment="1">
      <alignment/>
    </xf>
    <xf numFmtId="176" fontId="6" fillId="0" borderId="43" xfId="38" applyNumberFormat="1" applyFont="1" applyBorder="1" applyAlignment="1">
      <alignment/>
    </xf>
    <xf numFmtId="176" fontId="0" fillId="0" borderId="44" xfId="38" applyNumberFormat="1" applyFont="1" applyBorder="1" applyAlignment="1">
      <alignment/>
    </xf>
    <xf numFmtId="176" fontId="0" fillId="0" borderId="43" xfId="38" applyNumberFormat="1" applyFont="1" applyFill="1" applyBorder="1" applyAlignment="1">
      <alignment/>
    </xf>
    <xf numFmtId="176" fontId="3" fillId="0" borderId="45" xfId="38" applyNumberFormat="1" applyFont="1" applyBorder="1" applyAlignment="1">
      <alignment vertical="center"/>
    </xf>
    <xf numFmtId="176" fontId="4" fillId="0" borderId="45" xfId="38" applyNumberFormat="1" applyFont="1" applyBorder="1" applyAlignment="1">
      <alignment/>
    </xf>
    <xf numFmtId="176" fontId="2" fillId="0" borderId="45" xfId="38" applyNumberFormat="1" applyFont="1" applyBorder="1" applyAlignment="1">
      <alignment vertical="center"/>
    </xf>
    <xf numFmtId="176" fontId="3" fillId="0" borderId="41" xfId="38" applyNumberFormat="1" applyFont="1" applyBorder="1" applyAlignment="1">
      <alignment vertical="center"/>
    </xf>
    <xf numFmtId="176" fontId="3" fillId="0" borderId="43" xfId="38" applyNumberFormat="1" applyFont="1" applyBorder="1" applyAlignment="1">
      <alignment vertical="center"/>
    </xf>
    <xf numFmtId="176" fontId="3" fillId="0" borderId="42" xfId="38" applyNumberFormat="1" applyFont="1" applyBorder="1" applyAlignment="1">
      <alignment vertical="center"/>
    </xf>
    <xf numFmtId="176" fontId="2" fillId="0" borderId="41" xfId="38" applyNumberFormat="1" applyFont="1" applyBorder="1" applyAlignment="1">
      <alignment vertical="center"/>
    </xf>
    <xf numFmtId="176" fontId="8" fillId="0" borderId="43" xfId="38" applyNumberFormat="1" applyFont="1" applyBorder="1" applyAlignment="1">
      <alignment vertical="center"/>
    </xf>
    <xf numFmtId="176" fontId="0" fillId="0" borderId="43" xfId="38" applyNumberFormat="1" applyFont="1" applyBorder="1" applyAlignment="1">
      <alignment vertical="center"/>
    </xf>
    <xf numFmtId="176" fontId="0" fillId="0" borderId="42" xfId="38" applyNumberFormat="1" applyFont="1" applyBorder="1" applyAlignment="1">
      <alignment vertical="center"/>
    </xf>
    <xf numFmtId="4" fontId="4" fillId="0" borderId="15" xfId="38" applyNumberFormat="1" applyFont="1" applyBorder="1" applyAlignment="1">
      <alignment/>
    </xf>
    <xf numFmtId="4" fontId="0" fillId="0" borderId="15" xfId="38" applyNumberFormat="1" applyFont="1" applyBorder="1" applyAlignment="1">
      <alignment/>
    </xf>
    <xf numFmtId="4" fontId="4" fillId="0" borderId="15" xfId="38" applyNumberFormat="1" applyFont="1" applyBorder="1" applyAlignment="1">
      <alignment/>
    </xf>
    <xf numFmtId="4" fontId="2" fillId="0" borderId="23" xfId="38" applyNumberFormat="1" applyFont="1" applyBorder="1" applyAlignment="1">
      <alignment vertical="center"/>
    </xf>
    <xf numFmtId="4" fontId="6" fillId="0" borderId="15" xfId="38" applyNumberFormat="1" applyFont="1" applyBorder="1" applyAlignment="1">
      <alignment/>
    </xf>
    <xf numFmtId="4" fontId="6" fillId="0" borderId="15" xfId="38" applyNumberFormat="1" applyFont="1" applyBorder="1" applyAlignment="1">
      <alignment/>
    </xf>
    <xf numFmtId="4" fontId="0" fillId="0" borderId="46" xfId="38" applyNumberFormat="1" applyFont="1" applyBorder="1" applyAlignment="1">
      <alignment/>
    </xf>
    <xf numFmtId="4" fontId="0" fillId="0" borderId="15" xfId="38" applyNumberFormat="1" applyFont="1" applyFill="1" applyBorder="1" applyAlignment="1">
      <alignment/>
    </xf>
    <xf numFmtId="4" fontId="3" fillId="0" borderId="47" xfId="38" applyNumberFormat="1" applyFont="1" applyBorder="1" applyAlignment="1">
      <alignment vertical="center"/>
    </xf>
    <xf numFmtId="4" fontId="2" fillId="0" borderId="47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23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8" fillId="0" borderId="15" xfId="38" applyNumberFormat="1" applyFont="1" applyBorder="1" applyAlignment="1">
      <alignment vertical="center"/>
    </xf>
    <xf numFmtId="4" fontId="0" fillId="0" borderId="15" xfId="38" applyNumberFormat="1" applyFont="1" applyBorder="1" applyAlignment="1">
      <alignment vertical="center"/>
    </xf>
    <xf numFmtId="4" fontId="0" fillId="0" borderId="23" xfId="38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176" fontId="0" fillId="0" borderId="14" xfId="0" applyNumberFormat="1" applyBorder="1" applyAlignment="1">
      <alignment/>
    </xf>
    <xf numFmtId="176" fontId="0" fillId="0" borderId="48" xfId="38" applyNumberFormat="1" applyFont="1" applyBorder="1" applyAlignment="1">
      <alignment/>
    </xf>
    <xf numFmtId="176" fontId="2" fillId="0" borderId="14" xfId="38" applyNumberFormat="1" applyFont="1" applyBorder="1" applyAlignment="1">
      <alignment vertical="center"/>
    </xf>
    <xf numFmtId="3" fontId="13" fillId="0" borderId="24" xfId="0" applyFont="1" applyBorder="1" applyAlignment="1">
      <alignment horizontal="center"/>
    </xf>
    <xf numFmtId="3" fontId="12" fillId="0" borderId="27" xfId="0" applyFont="1" applyBorder="1" applyAlignment="1">
      <alignment horizontal="center"/>
    </xf>
    <xf numFmtId="176" fontId="11" fillId="0" borderId="28" xfId="38" applyNumberFormat="1" applyFont="1" applyBorder="1" applyAlignment="1">
      <alignment/>
    </xf>
    <xf numFmtId="3" fontId="7" fillId="0" borderId="24" xfId="0" applyFont="1" applyBorder="1" applyAlignment="1">
      <alignment horizontal="center" vertical="center"/>
    </xf>
    <xf numFmtId="176" fontId="0" fillId="0" borderId="14" xfId="38" applyNumberFormat="1" applyFont="1" applyBorder="1" applyAlignment="1">
      <alignment vertical="center"/>
    </xf>
    <xf numFmtId="176" fontId="0" fillId="0" borderId="21" xfId="38" applyNumberFormat="1" applyFont="1" applyBorder="1" applyAlignment="1">
      <alignment vertical="center"/>
    </xf>
    <xf numFmtId="4" fontId="4" fillId="0" borderId="10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38" applyNumberFormat="1" applyFont="1" applyBorder="1" applyAlignment="1">
      <alignment/>
    </xf>
    <xf numFmtId="4" fontId="2" fillId="0" borderId="22" xfId="38" applyNumberFormat="1" applyFont="1" applyBorder="1" applyAlignment="1">
      <alignment vertical="center"/>
    </xf>
    <xf numFmtId="4" fontId="6" fillId="0" borderId="10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0" fillId="0" borderId="28" xfId="38" applyNumberFormat="1" applyFont="1" applyBorder="1" applyAlignment="1">
      <alignment/>
    </xf>
    <xf numFmtId="4" fontId="7" fillId="0" borderId="10" xfId="38" applyNumberFormat="1" applyFont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3" fillId="0" borderId="29" xfId="38" applyNumberFormat="1" applyFont="1" applyBorder="1" applyAlignment="1">
      <alignment vertical="center"/>
    </xf>
    <xf numFmtId="4" fontId="4" fillId="0" borderId="29" xfId="38" applyNumberFormat="1" applyFont="1" applyBorder="1" applyAlignment="1">
      <alignment vertical="center"/>
    </xf>
    <xf numFmtId="4" fontId="2" fillId="0" borderId="29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22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0" fillId="0" borderId="10" xfId="38" applyNumberFormat="1" applyFont="1" applyBorder="1" applyAlignment="1">
      <alignment vertical="center"/>
    </xf>
    <xf numFmtId="4" fontId="0" fillId="0" borderId="22" xfId="38" applyNumberFormat="1" applyFont="1" applyBorder="1" applyAlignment="1">
      <alignment vertical="center"/>
    </xf>
    <xf numFmtId="4" fontId="6" fillId="0" borderId="49" xfId="38" applyNumberFormat="1" applyFont="1" applyBorder="1" applyAlignment="1">
      <alignment/>
    </xf>
    <xf numFmtId="4" fontId="2" fillId="0" borderId="50" xfId="38" applyNumberFormat="1" applyFont="1" applyBorder="1" applyAlignment="1">
      <alignment vertical="center"/>
    </xf>
    <xf numFmtId="4" fontId="4" fillId="0" borderId="14" xfId="38" applyNumberFormat="1" applyFont="1" applyBorder="1" applyAlignment="1">
      <alignment/>
    </xf>
    <xf numFmtId="4" fontId="0" fillId="0" borderId="14" xfId="38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4" fillId="0" borderId="14" xfId="38" applyNumberFormat="1" applyFont="1" applyBorder="1" applyAlignment="1">
      <alignment/>
    </xf>
    <xf numFmtId="4" fontId="0" fillId="0" borderId="14" xfId="38" applyNumberFormat="1" applyFont="1" applyFill="1" applyBorder="1" applyAlignment="1">
      <alignment/>
    </xf>
    <xf numFmtId="4" fontId="2" fillId="0" borderId="21" xfId="38" applyNumberFormat="1" applyFont="1" applyBorder="1" applyAlignment="1">
      <alignment vertical="center"/>
    </xf>
    <xf numFmtId="4" fontId="6" fillId="0" borderId="14" xfId="38" applyNumberFormat="1" applyFont="1" applyBorder="1" applyAlignment="1">
      <alignment/>
    </xf>
    <xf numFmtId="4" fontId="6" fillId="0" borderId="14" xfId="38" applyNumberFormat="1" applyFont="1" applyBorder="1" applyAlignment="1">
      <alignment/>
    </xf>
    <xf numFmtId="4" fontId="0" fillId="0" borderId="48" xfId="38" applyNumberFormat="1" applyFont="1" applyBorder="1" applyAlignment="1">
      <alignment/>
    </xf>
    <xf numFmtId="4" fontId="4" fillId="0" borderId="33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4" fontId="2" fillId="0" borderId="11" xfId="38" applyNumberFormat="1" applyFont="1" applyBorder="1" applyAlignment="1">
      <alignment vertical="center"/>
    </xf>
    <xf numFmtId="4" fontId="2" fillId="0" borderId="51" xfId="38" applyNumberFormat="1" applyFont="1" applyBorder="1" applyAlignment="1">
      <alignment vertical="center"/>
    </xf>
    <xf numFmtId="4" fontId="3" fillId="0" borderId="50" xfId="38" applyNumberFormat="1" applyFont="1" applyBorder="1" applyAlignment="1">
      <alignment vertical="center"/>
    </xf>
    <xf numFmtId="4" fontId="3" fillId="0" borderId="49" xfId="38" applyNumberFormat="1" applyFont="1" applyBorder="1" applyAlignment="1">
      <alignment vertical="center"/>
    </xf>
    <xf numFmtId="4" fontId="3" fillId="0" borderId="52" xfId="38" applyNumberFormat="1" applyFont="1" applyBorder="1" applyAlignment="1">
      <alignment vertical="center"/>
    </xf>
    <xf numFmtId="4" fontId="3" fillId="0" borderId="51" xfId="38" applyNumberFormat="1" applyFont="1" applyBorder="1" applyAlignment="1">
      <alignment vertical="center"/>
    </xf>
    <xf numFmtId="4" fontId="2" fillId="0" borderId="33" xfId="38" applyNumberFormat="1" applyFont="1" applyBorder="1" applyAlignment="1">
      <alignment vertical="center"/>
    </xf>
    <xf numFmtId="4" fontId="3" fillId="0" borderId="11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3" fillId="0" borderId="21" xfId="38" applyNumberFormat="1" applyFont="1" applyBorder="1" applyAlignment="1">
      <alignment vertical="center"/>
    </xf>
    <xf numFmtId="4" fontId="3" fillId="0" borderId="33" xfId="38" applyNumberFormat="1" applyFont="1" applyBorder="1" applyAlignment="1">
      <alignment vertical="center"/>
    </xf>
    <xf numFmtId="3" fontId="14" fillId="0" borderId="14" xfId="0" applyFont="1" applyBorder="1" applyAlignment="1">
      <alignment vertical="center"/>
    </xf>
    <xf numFmtId="3" fontId="5" fillId="0" borderId="24" xfId="0" applyFont="1" applyBorder="1" applyAlignment="1">
      <alignment horizontal="center"/>
    </xf>
    <xf numFmtId="176" fontId="4" fillId="0" borderId="49" xfId="38" applyNumberFormat="1" applyFont="1" applyBorder="1" applyAlignment="1">
      <alignment/>
    </xf>
    <xf numFmtId="4" fontId="0" fillId="0" borderId="14" xfId="38" applyNumberFormat="1" applyFont="1" applyBorder="1" applyAlignment="1">
      <alignment/>
    </xf>
    <xf numFmtId="4" fontId="0" fillId="0" borderId="28" xfId="38" applyNumberFormat="1" applyFont="1" applyFill="1" applyBorder="1" applyAlignment="1">
      <alignment/>
    </xf>
    <xf numFmtId="4" fontId="0" fillId="0" borderId="48" xfId="38" applyNumberFormat="1" applyFont="1" applyFill="1" applyBorder="1" applyAlignment="1">
      <alignment/>
    </xf>
    <xf numFmtId="3" fontId="0" fillId="0" borderId="53" xfId="0" applyBorder="1" applyAlignment="1">
      <alignment/>
    </xf>
    <xf numFmtId="4" fontId="0" fillId="0" borderId="14" xfId="38" applyNumberFormat="1" applyFont="1" applyBorder="1" applyAlignment="1">
      <alignment vertical="center"/>
    </xf>
    <xf numFmtId="4" fontId="0" fillId="0" borderId="21" xfId="38" applyNumberFormat="1" applyFont="1" applyBorder="1" applyAlignment="1">
      <alignment vertical="center"/>
    </xf>
    <xf numFmtId="3" fontId="14" fillId="0" borderId="24" xfId="0" applyFont="1" applyBorder="1" applyAlignment="1">
      <alignment vertical="center"/>
    </xf>
    <xf numFmtId="3" fontId="0" fillId="0" borderId="0" xfId="0" applyFill="1" applyAlignment="1">
      <alignment/>
    </xf>
    <xf numFmtId="4" fontId="0" fillId="0" borderId="33" xfId="38" applyNumberFormat="1" applyFont="1" applyBorder="1" applyAlignment="1">
      <alignment vertical="center"/>
    </xf>
    <xf numFmtId="176" fontId="0" fillId="0" borderId="17" xfId="38" applyNumberFormat="1" applyFont="1" applyFill="1" applyBorder="1" applyAlignment="1">
      <alignment/>
    </xf>
    <xf numFmtId="3" fontId="0" fillId="0" borderId="30" xfId="0" applyBorder="1" applyAlignment="1">
      <alignment/>
    </xf>
    <xf numFmtId="169" fontId="0" fillId="0" borderId="30" xfId="0" applyNumberFormat="1" applyBorder="1" applyAlignment="1">
      <alignment/>
    </xf>
    <xf numFmtId="169" fontId="0" fillId="33" borderId="30" xfId="0" applyNumberFormat="1" applyFill="1" applyBorder="1" applyAlignment="1">
      <alignment/>
    </xf>
    <xf numFmtId="169" fontId="0" fillId="0" borderId="30" xfId="0" applyNumberFormat="1" applyFill="1" applyBorder="1" applyAlignment="1">
      <alignment/>
    </xf>
    <xf numFmtId="169" fontId="0" fillId="0" borderId="40" xfId="0" applyNumberFormat="1" applyBorder="1" applyAlignment="1">
      <alignment/>
    </xf>
    <xf numFmtId="169" fontId="4" fillId="0" borderId="30" xfId="38" applyNumberFormat="1" applyFont="1" applyBorder="1" applyAlignment="1">
      <alignment/>
    </xf>
    <xf numFmtId="176" fontId="4" fillId="0" borderId="34" xfId="38" applyNumberFormat="1" applyFont="1" applyBorder="1" applyAlignment="1">
      <alignment vertical="center"/>
    </xf>
    <xf numFmtId="169" fontId="0" fillId="0" borderId="31" xfId="0" applyNumberFormat="1" applyBorder="1" applyAlignment="1">
      <alignment/>
    </xf>
    <xf numFmtId="3" fontId="0" fillId="0" borderId="18" xfId="0" applyFont="1" applyBorder="1" applyAlignment="1">
      <alignment/>
    </xf>
    <xf numFmtId="3" fontId="7" fillId="0" borderId="26" xfId="0" applyFont="1" applyBorder="1" applyAlignment="1">
      <alignment horizontal="center"/>
    </xf>
    <xf numFmtId="176" fontId="0" fillId="0" borderId="18" xfId="38" applyNumberFormat="1" applyFont="1" applyBorder="1" applyAlignment="1">
      <alignment/>
    </xf>
    <xf numFmtId="176" fontId="0" fillId="0" borderId="31" xfId="38" applyNumberFormat="1" applyFont="1" applyBorder="1" applyAlignment="1">
      <alignment/>
    </xf>
    <xf numFmtId="176" fontId="0" fillId="0" borderId="22" xfId="38" applyNumberFormat="1" applyFont="1" applyBorder="1" applyAlignment="1">
      <alignment/>
    </xf>
    <xf numFmtId="176" fontId="0" fillId="0" borderId="42" xfId="38" applyNumberFormat="1" applyFont="1" applyBorder="1" applyAlignment="1">
      <alignment/>
    </xf>
    <xf numFmtId="176" fontId="0" fillId="0" borderId="21" xfId="38" applyNumberFormat="1" applyFont="1" applyBorder="1" applyAlignment="1">
      <alignment/>
    </xf>
    <xf numFmtId="4" fontId="0" fillId="0" borderId="22" xfId="38" applyNumberFormat="1" applyFont="1" applyBorder="1" applyAlignment="1">
      <alignment/>
    </xf>
    <xf numFmtId="4" fontId="0" fillId="0" borderId="23" xfId="38" applyNumberFormat="1" applyFont="1" applyBorder="1" applyAlignment="1">
      <alignment/>
    </xf>
    <xf numFmtId="4" fontId="0" fillId="0" borderId="21" xfId="38" applyNumberFormat="1" applyFont="1" applyBorder="1" applyAlignment="1">
      <alignment/>
    </xf>
    <xf numFmtId="3" fontId="0" fillId="0" borderId="18" xfId="0" applyFont="1" applyBorder="1" applyAlignment="1">
      <alignment/>
    </xf>
    <xf numFmtId="176" fontId="0" fillId="0" borderId="31" xfId="38" applyNumberFormat="1" applyFont="1" applyFill="1" applyBorder="1" applyAlignment="1">
      <alignment/>
    </xf>
    <xf numFmtId="3" fontId="0" fillId="0" borderId="18" xfId="0" applyBorder="1" applyAlignment="1">
      <alignment/>
    </xf>
    <xf numFmtId="4" fontId="0" fillId="0" borderId="21" xfId="38" applyNumberFormat="1" applyFont="1" applyFill="1" applyBorder="1" applyAlignment="1">
      <alignment/>
    </xf>
    <xf numFmtId="176" fontId="0" fillId="0" borderId="18" xfId="38" applyNumberFormat="1" applyFont="1" applyFill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6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3" fontId="4" fillId="0" borderId="20" xfId="0" applyFont="1" applyBorder="1" applyAlignment="1">
      <alignment horizontal="center" vertical="center"/>
    </xf>
    <xf numFmtId="3" fontId="0" fillId="0" borderId="18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5"/>
  <sheetViews>
    <sheetView zoomScale="110" zoomScaleNormal="110" zoomScaleSheetLayoutView="69" zoomScalePageLayoutView="0" workbookViewId="0" topLeftCell="A1">
      <pane xSplit="1" ySplit="9" topLeftCell="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10" sqref="S10"/>
    </sheetView>
  </sheetViews>
  <sheetFormatPr defaultColWidth="9.00390625" defaultRowHeight="12.75"/>
  <cols>
    <col min="1" max="1" width="52.25390625" style="0" customWidth="1"/>
    <col min="2" max="2" width="8.625" style="0" hidden="1" customWidth="1"/>
    <col min="3" max="3" width="15.25390625" style="0" customWidth="1"/>
    <col min="4" max="4" width="16.75390625" style="0" hidden="1" customWidth="1"/>
    <col min="5" max="5" width="12.875" style="0" hidden="1" customWidth="1"/>
    <col min="6" max="6" width="16.375" style="0" hidden="1" customWidth="1"/>
    <col min="7" max="7" width="15.625" style="0" hidden="1" customWidth="1"/>
    <col min="8" max="8" width="13.125" style="0" hidden="1" customWidth="1"/>
    <col min="9" max="9" width="16.125" style="0" hidden="1" customWidth="1"/>
    <col min="10" max="10" width="15.25390625" style="0" hidden="1" customWidth="1"/>
    <col min="11" max="11" width="13.00390625" style="0" hidden="1" customWidth="1"/>
    <col min="12" max="12" width="15.875" style="0" customWidth="1"/>
    <col min="13" max="13" width="13.125" style="0" customWidth="1"/>
    <col min="14" max="14" width="13.375" style="0" hidden="1" customWidth="1"/>
    <col min="15" max="15" width="17.125" style="0" customWidth="1"/>
    <col min="16" max="16" width="13.25390625" style="0" hidden="1" customWidth="1"/>
    <col min="17" max="17" width="15.125" style="0" hidden="1" customWidth="1"/>
  </cols>
  <sheetData>
    <row r="1" spans="3:17" ht="12.75">
      <c r="C1" s="1"/>
      <c r="D1" s="1"/>
      <c r="E1" s="1"/>
      <c r="F1" s="2"/>
      <c r="I1" s="2"/>
      <c r="L1" s="2"/>
      <c r="O1" s="2" t="s">
        <v>126</v>
      </c>
      <c r="Q1" s="2" t="s">
        <v>126</v>
      </c>
    </row>
    <row r="2" spans="3:6" ht="9.75" customHeight="1">
      <c r="C2" s="1"/>
      <c r="D2" s="1"/>
      <c r="E2" s="1"/>
      <c r="F2" s="2"/>
    </row>
    <row r="3" spans="1:17" ht="15.75">
      <c r="A3" s="314" t="s">
        <v>221</v>
      </c>
      <c r="B3" s="314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</row>
    <row r="4" spans="1:17" ht="15.75">
      <c r="A4" s="316" t="s">
        <v>298</v>
      </c>
      <c r="B4" s="316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</row>
    <row r="5" spans="1:17" ht="15">
      <c r="A5" s="317" t="s">
        <v>0</v>
      </c>
      <c r="B5" s="317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</row>
    <row r="6" spans="1:17" ht="12.75">
      <c r="A6" s="318" t="s">
        <v>1</v>
      </c>
      <c r="B6" s="318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</row>
    <row r="7" spans="1:13" ht="10.5" customHeight="1" thickBot="1">
      <c r="A7" s="3"/>
      <c r="B7" s="3"/>
      <c r="C7" s="128"/>
      <c r="D7" s="94"/>
      <c r="E7" s="4"/>
      <c r="F7" s="4"/>
      <c r="J7" s="45"/>
      <c r="M7" s="42"/>
    </row>
    <row r="8" spans="1:17" ht="12.75">
      <c r="A8" s="319" t="s">
        <v>2</v>
      </c>
      <c r="B8" s="47" t="s">
        <v>209</v>
      </c>
      <c r="C8" s="178" t="s">
        <v>3</v>
      </c>
      <c r="D8" s="163" t="s">
        <v>4</v>
      </c>
      <c r="E8" s="8" t="s">
        <v>5</v>
      </c>
      <c r="F8" s="186" t="s">
        <v>6</v>
      </c>
      <c r="G8" s="7" t="s">
        <v>7</v>
      </c>
      <c r="H8" s="8" t="s">
        <v>5</v>
      </c>
      <c r="I8" s="9" t="s">
        <v>6</v>
      </c>
      <c r="J8" s="7" t="s">
        <v>8</v>
      </c>
      <c r="K8" s="8" t="s">
        <v>5</v>
      </c>
      <c r="L8" s="9" t="s">
        <v>6</v>
      </c>
      <c r="M8" s="7" t="s">
        <v>9</v>
      </c>
      <c r="N8" s="8" t="s">
        <v>5</v>
      </c>
      <c r="O8" s="9" t="s">
        <v>6</v>
      </c>
      <c r="P8" s="163" t="s">
        <v>149</v>
      </c>
      <c r="Q8" s="148" t="s">
        <v>6</v>
      </c>
    </row>
    <row r="9" spans="1:17" ht="13.5" thickBot="1">
      <c r="A9" s="320"/>
      <c r="B9" s="97" t="s">
        <v>163</v>
      </c>
      <c r="C9" s="179" t="s">
        <v>10</v>
      </c>
      <c r="D9" s="164" t="s">
        <v>11</v>
      </c>
      <c r="E9" s="40" t="s">
        <v>12</v>
      </c>
      <c r="F9" s="187" t="s">
        <v>13</v>
      </c>
      <c r="G9" s="39" t="s">
        <v>11</v>
      </c>
      <c r="H9" s="40" t="s">
        <v>12</v>
      </c>
      <c r="I9" s="41" t="s">
        <v>14</v>
      </c>
      <c r="J9" s="39" t="s">
        <v>11</v>
      </c>
      <c r="K9" s="40" t="s">
        <v>12</v>
      </c>
      <c r="L9" s="41" t="s">
        <v>15</v>
      </c>
      <c r="M9" s="39" t="s">
        <v>11</v>
      </c>
      <c r="N9" s="40" t="s">
        <v>12</v>
      </c>
      <c r="O9" s="41" t="s">
        <v>16</v>
      </c>
      <c r="P9" s="164" t="s">
        <v>11</v>
      </c>
      <c r="Q9" s="149" t="s">
        <v>150</v>
      </c>
    </row>
    <row r="10" spans="1:17" ht="15.75" customHeight="1">
      <c r="A10" s="37" t="s">
        <v>17</v>
      </c>
      <c r="B10" s="48"/>
      <c r="C10" s="180"/>
      <c r="D10" s="170"/>
      <c r="E10" s="5"/>
      <c r="F10" s="188"/>
      <c r="G10" s="12"/>
      <c r="H10" s="5"/>
      <c r="I10" s="38"/>
      <c r="J10" s="12"/>
      <c r="K10" s="5"/>
      <c r="L10" s="38"/>
      <c r="M10" s="12"/>
      <c r="N10" s="5"/>
      <c r="O10" s="38"/>
      <c r="P10" s="291"/>
      <c r="Q10" s="165"/>
    </row>
    <row r="11" spans="1:17" ht="12.75">
      <c r="A11" s="13" t="s">
        <v>199</v>
      </c>
      <c r="B11" s="49"/>
      <c r="C11" s="111">
        <f>C13+C14+C15+C16</f>
        <v>5350000</v>
      </c>
      <c r="D11" s="92">
        <f>D13+D14+D15+D16</f>
        <v>45003.16</v>
      </c>
      <c r="E11" s="72">
        <f>E13+E14+E15</f>
        <v>0</v>
      </c>
      <c r="F11" s="189">
        <f>F13+F14+F15+F16</f>
        <v>5395003.16</v>
      </c>
      <c r="G11" s="71">
        <f aca="true" t="shared" si="0" ref="G11:Q11">G13+G14+G15+G16</f>
        <v>652991.7</v>
      </c>
      <c r="H11" s="234">
        <f t="shared" si="0"/>
        <v>162517.88</v>
      </c>
      <c r="I11" s="207">
        <f t="shared" si="0"/>
        <v>6210512.74</v>
      </c>
      <c r="J11" s="71">
        <f t="shared" si="0"/>
        <v>164423.1</v>
      </c>
      <c r="K11" s="72">
        <f t="shared" si="0"/>
        <v>21952.41</v>
      </c>
      <c r="L11" s="131">
        <f t="shared" si="0"/>
        <v>6396888.25</v>
      </c>
      <c r="M11" s="256">
        <f t="shared" si="0"/>
        <v>35046.38</v>
      </c>
      <c r="N11" s="234">
        <f t="shared" si="0"/>
        <v>0</v>
      </c>
      <c r="O11" s="207">
        <f t="shared" si="0"/>
        <v>6431934.63</v>
      </c>
      <c r="P11" s="92">
        <f t="shared" si="0"/>
        <v>0</v>
      </c>
      <c r="Q11" s="150">
        <f t="shared" si="0"/>
        <v>6431934.63</v>
      </c>
    </row>
    <row r="12" spans="1:17" ht="12.75">
      <c r="A12" s="14" t="s">
        <v>18</v>
      </c>
      <c r="B12" s="50"/>
      <c r="C12" s="111"/>
      <c r="D12" s="92"/>
      <c r="E12" s="72"/>
      <c r="F12" s="189"/>
      <c r="G12" s="71"/>
      <c r="H12" s="234"/>
      <c r="I12" s="207"/>
      <c r="J12" s="10"/>
      <c r="K12" s="6"/>
      <c r="L12" s="11"/>
      <c r="M12" s="256"/>
      <c r="N12" s="234"/>
      <c r="O12" s="207"/>
      <c r="P12" s="292"/>
      <c r="Q12" s="167"/>
    </row>
    <row r="13" spans="1:18" ht="12.75">
      <c r="A13" s="58" t="s">
        <v>206</v>
      </c>
      <c r="B13" s="50"/>
      <c r="C13" s="112">
        <v>5316580</v>
      </c>
      <c r="D13" s="102"/>
      <c r="E13" s="72"/>
      <c r="F13" s="190">
        <f>C13+D13+E13</f>
        <v>5316580</v>
      </c>
      <c r="G13" s="74">
        <f>4605.41+14274+3000+700+8000+1500+400+28581+3515.1+300000+1600+7280.19+4000+8000+2500+35000+17500+49000+8000+20000+5000+7000+123500</f>
        <v>652955.7</v>
      </c>
      <c r="H13" s="235">
        <f>61000+4321+60000+15000+11190+6550+4456.88</f>
        <v>162517.88</v>
      </c>
      <c r="I13" s="208">
        <f>F13+G13+H13</f>
        <v>6132053.58</v>
      </c>
      <c r="J13" s="257">
        <f>3600+2328.9+1644.2+2400+45000+47000+7000+30450+25000</f>
        <v>164423.1</v>
      </c>
      <c r="K13" s="235">
        <f>988+2959.21+14071.76+3933.44</f>
        <v>21952.41</v>
      </c>
      <c r="L13" s="208">
        <f>I13+J13+K13</f>
        <v>6318429.09</v>
      </c>
      <c r="M13" s="260">
        <f>7300+3248.5+3685+2200+12000+5129.2+1425.68</f>
        <v>34988.38</v>
      </c>
      <c r="N13" s="234"/>
      <c r="O13" s="208">
        <f>L13+M13+N13</f>
        <v>6353417.47</v>
      </c>
      <c r="P13" s="292"/>
      <c r="Q13" s="167">
        <f aca="true" t="shared" si="1" ref="Q13:Q78">O13+P13</f>
        <v>6353417.47</v>
      </c>
      <c r="R13" s="288"/>
    </row>
    <row r="14" spans="1:17" ht="12.75">
      <c r="A14" s="15" t="s">
        <v>19</v>
      </c>
      <c r="B14" s="51"/>
      <c r="C14" s="112"/>
      <c r="D14" s="142">
        <f>45003.16</f>
        <v>45003.16</v>
      </c>
      <c r="E14" s="73"/>
      <c r="F14" s="190">
        <f>C14+D14+E14</f>
        <v>45003.16</v>
      </c>
      <c r="G14" s="74"/>
      <c r="H14" s="234"/>
      <c r="I14" s="208">
        <f>F14+G14+H14</f>
        <v>45003.16</v>
      </c>
      <c r="J14" s="257"/>
      <c r="K14" s="234"/>
      <c r="L14" s="208">
        <f>I14+J14+K14</f>
        <v>45003.16</v>
      </c>
      <c r="M14" s="257"/>
      <c r="N14" s="234"/>
      <c r="O14" s="208">
        <f>L14+M14+N14</f>
        <v>45003.16</v>
      </c>
      <c r="P14" s="292"/>
      <c r="Q14" s="167">
        <f t="shared" si="1"/>
        <v>45003.16</v>
      </c>
    </row>
    <row r="15" spans="1:17" ht="12.75">
      <c r="A15" s="58" t="s">
        <v>207</v>
      </c>
      <c r="B15" s="51"/>
      <c r="C15" s="112">
        <v>3420</v>
      </c>
      <c r="D15" s="142"/>
      <c r="E15" s="73"/>
      <c r="F15" s="190">
        <f>C15+D15+E15</f>
        <v>3420</v>
      </c>
      <c r="G15" s="74">
        <f>36</f>
        <v>36</v>
      </c>
      <c r="H15" s="234"/>
      <c r="I15" s="208">
        <f>F15+G15+H15</f>
        <v>3456</v>
      </c>
      <c r="J15" s="257"/>
      <c r="K15" s="234"/>
      <c r="L15" s="208">
        <f>I15+J15+K15</f>
        <v>3456</v>
      </c>
      <c r="M15" s="257">
        <f>58</f>
        <v>58</v>
      </c>
      <c r="N15" s="234"/>
      <c r="O15" s="208">
        <f>L15+M15+N15</f>
        <v>3514</v>
      </c>
      <c r="P15" s="292"/>
      <c r="Q15" s="167">
        <f t="shared" si="1"/>
        <v>3514</v>
      </c>
    </row>
    <row r="16" spans="1:17" ht="12.75">
      <c r="A16" s="58" t="s">
        <v>260</v>
      </c>
      <c r="B16" s="51"/>
      <c r="C16" s="112">
        <v>30000</v>
      </c>
      <c r="D16" s="142"/>
      <c r="E16" s="73"/>
      <c r="F16" s="190">
        <f>C16+D16+E16</f>
        <v>30000</v>
      </c>
      <c r="G16" s="74"/>
      <c r="H16" s="234"/>
      <c r="I16" s="208">
        <f>F16+G16+H16</f>
        <v>30000</v>
      </c>
      <c r="J16" s="257"/>
      <c r="K16" s="234"/>
      <c r="L16" s="208">
        <f>I16+J16+K16</f>
        <v>30000</v>
      </c>
      <c r="M16" s="257"/>
      <c r="N16" s="234"/>
      <c r="O16" s="208">
        <f>L16+M16+N16</f>
        <v>30000</v>
      </c>
      <c r="P16" s="292"/>
      <c r="Q16" s="167">
        <f t="shared" si="1"/>
        <v>30000</v>
      </c>
    </row>
    <row r="17" spans="1:17" ht="12.75">
      <c r="A17" s="13" t="s">
        <v>200</v>
      </c>
      <c r="B17" s="49"/>
      <c r="C17" s="111">
        <f aca="true" t="shared" si="2" ref="C17:Q17">SUM(C19:C23)+C30</f>
        <v>266948.12</v>
      </c>
      <c r="D17" s="92">
        <f t="shared" si="2"/>
        <v>31733.940000000002</v>
      </c>
      <c r="E17" s="72">
        <f t="shared" si="2"/>
        <v>0</v>
      </c>
      <c r="F17" s="189">
        <f t="shared" si="2"/>
        <v>298682.05999999994</v>
      </c>
      <c r="G17" s="71">
        <f t="shared" si="2"/>
        <v>68174.93</v>
      </c>
      <c r="H17" s="234">
        <f t="shared" si="2"/>
        <v>4610.66</v>
      </c>
      <c r="I17" s="207">
        <f t="shared" si="2"/>
        <v>371467.64999999997</v>
      </c>
      <c r="J17" s="256">
        <f t="shared" si="2"/>
        <v>99024.05</v>
      </c>
      <c r="K17" s="234">
        <f t="shared" si="2"/>
        <v>13641.18</v>
      </c>
      <c r="L17" s="207">
        <f t="shared" si="2"/>
        <v>484132.87999999995</v>
      </c>
      <c r="M17" s="256">
        <f t="shared" si="2"/>
        <v>45502.009999999995</v>
      </c>
      <c r="N17" s="234">
        <f t="shared" si="2"/>
        <v>0</v>
      </c>
      <c r="O17" s="207">
        <f t="shared" si="2"/>
        <v>529634.89</v>
      </c>
      <c r="P17" s="92">
        <f t="shared" si="2"/>
        <v>0</v>
      </c>
      <c r="Q17" s="150">
        <f t="shared" si="2"/>
        <v>428756.58</v>
      </c>
    </row>
    <row r="18" spans="1:17" ht="10.5" customHeight="1">
      <c r="A18" s="14" t="s">
        <v>20</v>
      </c>
      <c r="B18" s="50"/>
      <c r="C18" s="111"/>
      <c r="D18" s="92"/>
      <c r="E18" s="72"/>
      <c r="F18" s="189"/>
      <c r="G18" s="71"/>
      <c r="H18" s="234"/>
      <c r="I18" s="207"/>
      <c r="J18" s="256"/>
      <c r="K18" s="234"/>
      <c r="L18" s="207"/>
      <c r="M18" s="256"/>
      <c r="N18" s="234"/>
      <c r="O18" s="207"/>
      <c r="P18" s="292"/>
      <c r="Q18" s="167"/>
    </row>
    <row r="19" spans="1:17" ht="12.75">
      <c r="A19" s="15" t="s">
        <v>21</v>
      </c>
      <c r="B19" s="51"/>
      <c r="C19" s="112">
        <v>10000</v>
      </c>
      <c r="D19" s="102"/>
      <c r="E19" s="73"/>
      <c r="F19" s="190">
        <f>C19+D19+E19</f>
        <v>10000</v>
      </c>
      <c r="G19" s="74">
        <f>86.04+1249.9</f>
        <v>1335.94</v>
      </c>
      <c r="H19" s="235"/>
      <c r="I19" s="208">
        <f>F19+G19+H19</f>
        <v>11335.94</v>
      </c>
      <c r="J19" s="257">
        <f>961.26+523.73</f>
        <v>1484.99</v>
      </c>
      <c r="K19" s="235"/>
      <c r="L19" s="208">
        <f>I19+J19+K19</f>
        <v>12820.93</v>
      </c>
      <c r="M19" s="257">
        <f>17.36+4.48+246.27+112.84</f>
        <v>380.95000000000005</v>
      </c>
      <c r="N19" s="235"/>
      <c r="O19" s="208">
        <f>L19+M19+N19</f>
        <v>13201.880000000001</v>
      </c>
      <c r="P19" s="292"/>
      <c r="Q19" s="167">
        <f t="shared" si="1"/>
        <v>13201.880000000001</v>
      </c>
    </row>
    <row r="20" spans="1:17" ht="12.75">
      <c r="A20" s="58" t="s">
        <v>235</v>
      </c>
      <c r="B20" s="51"/>
      <c r="C20" s="112"/>
      <c r="D20" s="102">
        <f>3000</f>
        <v>3000</v>
      </c>
      <c r="E20" s="73"/>
      <c r="F20" s="190">
        <f aca="true" t="shared" si="3" ref="F20:F30">C20+D20+E20</f>
        <v>3000</v>
      </c>
      <c r="G20" s="74">
        <f>750+550+1127.46-3000+822.03+1600.68+1337.82+1344.4</f>
        <v>4532.389999999999</v>
      </c>
      <c r="H20" s="235">
        <f>4610.66</f>
        <v>4610.66</v>
      </c>
      <c r="I20" s="208">
        <f>F20+G20+H20</f>
        <v>12143.05</v>
      </c>
      <c r="J20" s="257">
        <f>47365.51+90.64+13.38+1052.12+457.69+28729.18</f>
        <v>77708.52</v>
      </c>
      <c r="K20" s="235">
        <f>13641.18</f>
        <v>13641.18</v>
      </c>
      <c r="L20" s="208">
        <f>I20+J20+K20</f>
        <v>103492.75</v>
      </c>
      <c r="M20" s="257">
        <f>200+26850.97+116.9+49.01+6313.95+85.3+1220.82</f>
        <v>34836.950000000004</v>
      </c>
      <c r="N20" s="235"/>
      <c r="O20" s="208">
        <f>L20+M20+N20</f>
        <v>138329.7</v>
      </c>
      <c r="P20" s="292"/>
      <c r="Q20" s="167">
        <f t="shared" si="1"/>
        <v>138329.7</v>
      </c>
    </row>
    <row r="21" spans="1:17" ht="12.75">
      <c r="A21" s="16" t="s">
        <v>236</v>
      </c>
      <c r="B21" s="52"/>
      <c r="C21" s="112">
        <v>130895.91</v>
      </c>
      <c r="D21" s="102">
        <f>534.21</f>
        <v>534.21</v>
      </c>
      <c r="E21" s="73"/>
      <c r="F21" s="190">
        <f t="shared" si="3"/>
        <v>131430.12</v>
      </c>
      <c r="G21" s="74"/>
      <c r="H21" s="235"/>
      <c r="I21" s="208">
        <f>F21+G21+H21</f>
        <v>131430.12</v>
      </c>
      <c r="J21" s="257"/>
      <c r="K21" s="235"/>
      <c r="L21" s="208">
        <f>I21+J21+K21</f>
        <v>131430.12</v>
      </c>
      <c r="M21" s="257"/>
      <c r="N21" s="235"/>
      <c r="O21" s="208">
        <f>L21+M21+N21</f>
        <v>131430.12</v>
      </c>
      <c r="P21" s="292"/>
      <c r="Q21" s="167">
        <f t="shared" si="1"/>
        <v>131430.12</v>
      </c>
    </row>
    <row r="22" spans="1:17" ht="12.75" hidden="1">
      <c r="A22" s="16" t="s">
        <v>237</v>
      </c>
      <c r="B22" s="52"/>
      <c r="C22" s="112"/>
      <c r="D22" s="102"/>
      <c r="E22" s="73"/>
      <c r="F22" s="190">
        <f t="shared" si="3"/>
        <v>0</v>
      </c>
      <c r="G22" s="74"/>
      <c r="H22" s="235"/>
      <c r="I22" s="208">
        <f>F22+G22+H22</f>
        <v>0</v>
      </c>
      <c r="J22" s="257"/>
      <c r="K22" s="235"/>
      <c r="L22" s="208">
        <f>I22+J22+K22</f>
        <v>0</v>
      </c>
      <c r="M22" s="257"/>
      <c r="N22" s="235"/>
      <c r="O22" s="208">
        <f>L22+M22+N22</f>
        <v>0</v>
      </c>
      <c r="P22" s="292"/>
      <c r="Q22" s="167">
        <f t="shared" si="1"/>
        <v>0</v>
      </c>
    </row>
    <row r="23" spans="1:17" ht="12.75">
      <c r="A23" s="15" t="s">
        <v>22</v>
      </c>
      <c r="B23" s="51"/>
      <c r="C23" s="112">
        <f>SUM(C24:C29)</f>
        <v>126052.21</v>
      </c>
      <c r="D23" s="102">
        <f>SUM(D24:D29)</f>
        <v>1713.01</v>
      </c>
      <c r="E23" s="73">
        <f aca="true" t="shared" si="4" ref="E23:Q23">SUM(E24:E29)</f>
        <v>0</v>
      </c>
      <c r="F23" s="190">
        <f t="shared" si="4"/>
        <v>127765.22</v>
      </c>
      <c r="G23" s="74">
        <f t="shared" si="4"/>
        <v>5174.01</v>
      </c>
      <c r="H23" s="235">
        <f t="shared" si="4"/>
        <v>0</v>
      </c>
      <c r="I23" s="208">
        <f t="shared" si="4"/>
        <v>132939.22999999998</v>
      </c>
      <c r="J23" s="257">
        <f t="shared" si="4"/>
        <v>11184.06</v>
      </c>
      <c r="K23" s="235">
        <f t="shared" si="4"/>
        <v>0</v>
      </c>
      <c r="L23" s="208">
        <f t="shared" si="4"/>
        <v>144123.28999999998</v>
      </c>
      <c r="M23" s="257">
        <f t="shared" si="4"/>
        <v>1671.59</v>
      </c>
      <c r="N23" s="235">
        <f t="shared" si="4"/>
        <v>0</v>
      </c>
      <c r="O23" s="208">
        <f t="shared" si="4"/>
        <v>145794.88</v>
      </c>
      <c r="P23" s="102">
        <f t="shared" si="4"/>
        <v>0</v>
      </c>
      <c r="Q23" s="151">
        <f t="shared" si="4"/>
        <v>145794.88</v>
      </c>
    </row>
    <row r="24" spans="1:17" ht="12.75">
      <c r="A24" s="15" t="s">
        <v>23</v>
      </c>
      <c r="B24" s="51"/>
      <c r="C24" s="112">
        <v>52501.31</v>
      </c>
      <c r="D24" s="102">
        <f>1713.01</f>
        <v>1713.01</v>
      </c>
      <c r="E24" s="73"/>
      <c r="F24" s="190">
        <f t="shared" si="3"/>
        <v>54214.32</v>
      </c>
      <c r="G24" s="74">
        <f>54.38</f>
        <v>54.38</v>
      </c>
      <c r="H24" s="235"/>
      <c r="I24" s="208">
        <f aca="true" t="shared" si="5" ref="I24:I30">F24+G24+H24</f>
        <v>54268.7</v>
      </c>
      <c r="J24" s="257">
        <f>392.56</f>
        <v>392.56</v>
      </c>
      <c r="K24" s="235"/>
      <c r="L24" s="208">
        <f aca="true" t="shared" si="6" ref="L24:L30">I24+J24+K24</f>
        <v>54661.259999999995</v>
      </c>
      <c r="M24" s="257">
        <f>239.25+1528.34</f>
        <v>1767.59</v>
      </c>
      <c r="N24" s="235"/>
      <c r="O24" s="208">
        <f aca="true" t="shared" si="7" ref="O24:O30">L24+M24+N24</f>
        <v>56428.84999999999</v>
      </c>
      <c r="P24" s="292"/>
      <c r="Q24" s="167">
        <f t="shared" si="1"/>
        <v>56428.84999999999</v>
      </c>
    </row>
    <row r="25" spans="1:17" ht="12.75">
      <c r="A25" s="16" t="s">
        <v>137</v>
      </c>
      <c r="B25" s="52"/>
      <c r="C25" s="112">
        <v>880.6</v>
      </c>
      <c r="D25" s="102"/>
      <c r="E25" s="73"/>
      <c r="F25" s="190">
        <f t="shared" si="3"/>
        <v>880.6</v>
      </c>
      <c r="G25" s="74">
        <f>3004.53</f>
        <v>3004.53</v>
      </c>
      <c r="H25" s="235"/>
      <c r="I25" s="208">
        <f t="shared" si="5"/>
        <v>3885.13</v>
      </c>
      <c r="J25" s="257"/>
      <c r="K25" s="235"/>
      <c r="L25" s="208">
        <f t="shared" si="6"/>
        <v>3885.13</v>
      </c>
      <c r="M25" s="257"/>
      <c r="N25" s="235"/>
      <c r="O25" s="208">
        <f t="shared" si="7"/>
        <v>3885.13</v>
      </c>
      <c r="P25" s="292"/>
      <c r="Q25" s="167">
        <f t="shared" si="1"/>
        <v>3885.13</v>
      </c>
    </row>
    <row r="26" spans="1:17" ht="12.75">
      <c r="A26" s="15" t="s">
        <v>24</v>
      </c>
      <c r="B26" s="51"/>
      <c r="C26" s="112">
        <v>29804.7</v>
      </c>
      <c r="D26" s="102"/>
      <c r="E26" s="73"/>
      <c r="F26" s="190">
        <f t="shared" si="3"/>
        <v>29804.7</v>
      </c>
      <c r="G26" s="74">
        <f>1300+500</f>
        <v>1800</v>
      </c>
      <c r="H26" s="235"/>
      <c r="I26" s="208">
        <f t="shared" si="5"/>
        <v>31604.7</v>
      </c>
      <c r="J26" s="257">
        <f>10791.5</f>
        <v>10791.5</v>
      </c>
      <c r="K26" s="235"/>
      <c r="L26" s="208">
        <f t="shared" si="6"/>
        <v>42396.2</v>
      </c>
      <c r="M26" s="257"/>
      <c r="N26" s="235"/>
      <c r="O26" s="208">
        <f t="shared" si="7"/>
        <v>42396.2</v>
      </c>
      <c r="P26" s="292"/>
      <c r="Q26" s="167">
        <f t="shared" si="1"/>
        <v>42396.2</v>
      </c>
    </row>
    <row r="27" spans="1:17" ht="12.75">
      <c r="A27" s="16" t="s">
        <v>138</v>
      </c>
      <c r="B27" s="52"/>
      <c r="C27" s="112">
        <v>12585.8</v>
      </c>
      <c r="D27" s="102"/>
      <c r="E27" s="73"/>
      <c r="F27" s="190">
        <f t="shared" si="3"/>
        <v>12585.8</v>
      </c>
      <c r="G27" s="74">
        <f>315.1</f>
        <v>315.1</v>
      </c>
      <c r="H27" s="235"/>
      <c r="I27" s="208">
        <f t="shared" si="5"/>
        <v>12900.9</v>
      </c>
      <c r="J27" s="257"/>
      <c r="K27" s="235"/>
      <c r="L27" s="208">
        <f t="shared" si="6"/>
        <v>12900.9</v>
      </c>
      <c r="M27" s="257"/>
      <c r="N27" s="235"/>
      <c r="O27" s="208">
        <f t="shared" si="7"/>
        <v>12900.9</v>
      </c>
      <c r="P27" s="292"/>
      <c r="Q27" s="167">
        <f t="shared" si="1"/>
        <v>12900.9</v>
      </c>
    </row>
    <row r="28" spans="1:17" ht="12.75">
      <c r="A28" s="16" t="s">
        <v>222</v>
      </c>
      <c r="B28" s="52"/>
      <c r="C28" s="112">
        <v>340.8</v>
      </c>
      <c r="D28" s="102"/>
      <c r="E28" s="73"/>
      <c r="F28" s="190">
        <f t="shared" si="3"/>
        <v>340.8</v>
      </c>
      <c r="G28" s="74"/>
      <c r="H28" s="235"/>
      <c r="I28" s="208">
        <f t="shared" si="5"/>
        <v>340.8</v>
      </c>
      <c r="J28" s="257"/>
      <c r="K28" s="235"/>
      <c r="L28" s="208">
        <f t="shared" si="6"/>
        <v>340.8</v>
      </c>
      <c r="M28" s="257">
        <f>-96</f>
        <v>-96</v>
      </c>
      <c r="N28" s="235"/>
      <c r="O28" s="208">
        <f t="shared" si="7"/>
        <v>244.8</v>
      </c>
      <c r="P28" s="292"/>
      <c r="Q28" s="167">
        <f t="shared" si="1"/>
        <v>244.8</v>
      </c>
    </row>
    <row r="29" spans="1:17" ht="12.75">
      <c r="A29" s="16" t="s">
        <v>139</v>
      </c>
      <c r="B29" s="52"/>
      <c r="C29" s="112">
        <v>29939</v>
      </c>
      <c r="D29" s="102"/>
      <c r="E29" s="73"/>
      <c r="F29" s="190">
        <f t="shared" si="3"/>
        <v>29939</v>
      </c>
      <c r="G29" s="74"/>
      <c r="H29" s="235"/>
      <c r="I29" s="208">
        <f t="shared" si="5"/>
        <v>29939</v>
      </c>
      <c r="J29" s="257"/>
      <c r="K29" s="235"/>
      <c r="L29" s="208">
        <f t="shared" si="6"/>
        <v>29939</v>
      </c>
      <c r="M29" s="257"/>
      <c r="N29" s="235"/>
      <c r="O29" s="208">
        <f t="shared" si="7"/>
        <v>29939</v>
      </c>
      <c r="P29" s="292"/>
      <c r="Q29" s="167">
        <f>O29+P29</f>
        <v>29939</v>
      </c>
    </row>
    <row r="30" spans="1:17" ht="12.75">
      <c r="A30" s="16" t="s">
        <v>288</v>
      </c>
      <c r="B30" s="52"/>
      <c r="C30" s="112"/>
      <c r="D30" s="171">
        <f>2421+1769.02+100+968.95+492.63+100+1177.09+9000+27.05+478.8+8512.54+36.94+155.2+247.5+1000</f>
        <v>26486.72</v>
      </c>
      <c r="E30" s="73"/>
      <c r="F30" s="190">
        <f t="shared" si="3"/>
        <v>26486.72</v>
      </c>
      <c r="G30" s="225">
        <f>3000+478+380.76+169.89+87.12+547.3+2467.47+13.4+27550.46+102.99+548.52+409.66+7175.11+189.46+48.5+2173.09+1186.41+2530.06+247.5+6435.39+1391.5</f>
        <v>57132.59</v>
      </c>
      <c r="H30" s="236"/>
      <c r="I30" s="208">
        <f t="shared" si="5"/>
        <v>83619.31</v>
      </c>
      <c r="J30" s="258">
        <f>-2173.09+8209+11.34+379.46+239.19+650.82+127.5+249.3+2847.56-447.75-2479.35+32.5+1000</f>
        <v>8646.48</v>
      </c>
      <c r="K30" s="236"/>
      <c r="L30" s="208">
        <f t="shared" si="6"/>
        <v>92265.79</v>
      </c>
      <c r="M30" s="258">
        <f>950.98+87.98+1123.17+1026.68+165+135.39+910.19+1396.13+2817</f>
        <v>8612.52</v>
      </c>
      <c r="N30" s="236"/>
      <c r="O30" s="208">
        <f t="shared" si="7"/>
        <v>100878.31</v>
      </c>
      <c r="P30" s="291"/>
      <c r="Q30" s="165"/>
    </row>
    <row r="31" spans="1:17" ht="12.75">
      <c r="A31" s="17" t="s">
        <v>201</v>
      </c>
      <c r="B31" s="53"/>
      <c r="C31" s="113">
        <f>SUM(C33:C37)</f>
        <v>5000</v>
      </c>
      <c r="D31" s="103">
        <f aca="true" t="shared" si="8" ref="D31:Q31">SUM(D33:D37)</f>
        <v>0</v>
      </c>
      <c r="E31" s="76">
        <f t="shared" si="8"/>
        <v>0</v>
      </c>
      <c r="F31" s="191">
        <f t="shared" si="8"/>
        <v>5000</v>
      </c>
      <c r="G31" s="75">
        <f t="shared" si="8"/>
        <v>0</v>
      </c>
      <c r="H31" s="237">
        <f t="shared" si="8"/>
        <v>0</v>
      </c>
      <c r="I31" s="209">
        <f t="shared" si="8"/>
        <v>5000</v>
      </c>
      <c r="J31" s="259">
        <f t="shared" si="8"/>
        <v>2868.9700000000003</v>
      </c>
      <c r="K31" s="237">
        <f t="shared" si="8"/>
        <v>0</v>
      </c>
      <c r="L31" s="209">
        <f t="shared" si="8"/>
        <v>7868.97</v>
      </c>
      <c r="M31" s="259">
        <f t="shared" si="8"/>
        <v>28892.53</v>
      </c>
      <c r="N31" s="237">
        <f t="shared" si="8"/>
        <v>0</v>
      </c>
      <c r="O31" s="209">
        <f t="shared" si="8"/>
        <v>36761.49999999999</v>
      </c>
      <c r="P31" s="103">
        <f t="shared" si="8"/>
        <v>0</v>
      </c>
      <c r="Q31" s="152">
        <f t="shared" si="8"/>
        <v>36761.49999999999</v>
      </c>
    </row>
    <row r="32" spans="1:17" ht="11.25" customHeight="1">
      <c r="A32" s="14" t="s">
        <v>20</v>
      </c>
      <c r="B32" s="50"/>
      <c r="C32" s="112"/>
      <c r="D32" s="102"/>
      <c r="E32" s="73"/>
      <c r="F32" s="190"/>
      <c r="G32" s="74"/>
      <c r="H32" s="235"/>
      <c r="I32" s="208"/>
      <c r="J32" s="257"/>
      <c r="K32" s="235"/>
      <c r="L32" s="208"/>
      <c r="M32" s="257"/>
      <c r="N32" s="235"/>
      <c r="O32" s="208"/>
      <c r="P32" s="292"/>
      <c r="Q32" s="167"/>
    </row>
    <row r="33" spans="1:17" ht="12.75">
      <c r="A33" s="58" t="s">
        <v>102</v>
      </c>
      <c r="B33" s="51"/>
      <c r="C33" s="112"/>
      <c r="D33" s="102"/>
      <c r="E33" s="73"/>
      <c r="F33" s="190">
        <f>C33+D33+E33</f>
        <v>0</v>
      </c>
      <c r="G33" s="74"/>
      <c r="H33" s="235"/>
      <c r="I33" s="208">
        <f>F33+G33+H33</f>
        <v>0</v>
      </c>
      <c r="J33" s="257">
        <f>695.88</f>
        <v>695.88</v>
      </c>
      <c r="K33" s="235"/>
      <c r="L33" s="208">
        <f>I33+J33+K33</f>
        <v>695.88</v>
      </c>
      <c r="M33" s="257"/>
      <c r="N33" s="235"/>
      <c r="O33" s="208">
        <f>L33+M33+N33</f>
        <v>695.88</v>
      </c>
      <c r="P33" s="292"/>
      <c r="Q33" s="167">
        <f t="shared" si="1"/>
        <v>695.88</v>
      </c>
    </row>
    <row r="34" spans="1:17" ht="12.75" hidden="1">
      <c r="A34" s="16" t="s">
        <v>97</v>
      </c>
      <c r="B34" s="52"/>
      <c r="C34" s="112"/>
      <c r="D34" s="102"/>
      <c r="E34" s="73"/>
      <c r="F34" s="190">
        <f>C34+D34+E34</f>
        <v>0</v>
      </c>
      <c r="G34" s="74"/>
      <c r="H34" s="235"/>
      <c r="I34" s="208">
        <f>F34+G34+H34</f>
        <v>0</v>
      </c>
      <c r="J34" s="260"/>
      <c r="K34" s="235"/>
      <c r="L34" s="208">
        <f>I34+J34+K34</f>
        <v>0</v>
      </c>
      <c r="M34" s="260"/>
      <c r="N34" s="235"/>
      <c r="O34" s="208">
        <f>L34+M34+N34</f>
        <v>0</v>
      </c>
      <c r="P34" s="292"/>
      <c r="Q34" s="167">
        <f t="shared" si="1"/>
        <v>0</v>
      </c>
    </row>
    <row r="35" spans="1:17" ht="12.75" hidden="1">
      <c r="A35" s="16" t="s">
        <v>100</v>
      </c>
      <c r="B35" s="52"/>
      <c r="C35" s="112"/>
      <c r="D35" s="102"/>
      <c r="E35" s="73"/>
      <c r="F35" s="190">
        <f>C35+D35+E35</f>
        <v>0</v>
      </c>
      <c r="G35" s="74"/>
      <c r="H35" s="235"/>
      <c r="I35" s="208">
        <f>F35+G35+H35</f>
        <v>0</v>
      </c>
      <c r="J35" s="260"/>
      <c r="K35" s="235"/>
      <c r="L35" s="208">
        <f>I35+J35+K35</f>
        <v>0</v>
      </c>
      <c r="M35" s="260"/>
      <c r="N35" s="235"/>
      <c r="O35" s="208">
        <f>L35+M35+N35</f>
        <v>0</v>
      </c>
      <c r="P35" s="292"/>
      <c r="Q35" s="167">
        <f t="shared" si="1"/>
        <v>0</v>
      </c>
    </row>
    <row r="36" spans="1:17" ht="12.75" hidden="1">
      <c r="A36" s="16" t="s">
        <v>107</v>
      </c>
      <c r="B36" s="52"/>
      <c r="C36" s="112"/>
      <c r="D36" s="102"/>
      <c r="E36" s="73"/>
      <c r="F36" s="190">
        <f>C36+D36+E36</f>
        <v>0</v>
      </c>
      <c r="G36" s="74"/>
      <c r="H36" s="235"/>
      <c r="I36" s="208">
        <f>F36+G36+H36</f>
        <v>0</v>
      </c>
      <c r="J36" s="260"/>
      <c r="K36" s="235"/>
      <c r="L36" s="208">
        <f>I36+J36+K36</f>
        <v>0</v>
      </c>
      <c r="M36" s="260"/>
      <c r="N36" s="235"/>
      <c r="O36" s="208">
        <f>L36+M36+N36</f>
        <v>0</v>
      </c>
      <c r="P36" s="292"/>
      <c r="Q36" s="167">
        <f t="shared" si="1"/>
        <v>0</v>
      </c>
    </row>
    <row r="37" spans="1:17" ht="12.75">
      <c r="A37" s="58" t="s">
        <v>223</v>
      </c>
      <c r="B37" s="51"/>
      <c r="C37" s="112">
        <v>5000</v>
      </c>
      <c r="D37" s="102"/>
      <c r="E37" s="73"/>
      <c r="F37" s="190">
        <f>C37+D37+E37</f>
        <v>5000</v>
      </c>
      <c r="G37" s="74"/>
      <c r="H37" s="235"/>
      <c r="I37" s="208">
        <f>F37+G37+H37</f>
        <v>5000</v>
      </c>
      <c r="J37" s="257">
        <f>2173.09</f>
        <v>2173.09</v>
      </c>
      <c r="K37" s="235"/>
      <c r="L37" s="208">
        <f>I37+J37+K37</f>
        <v>7173.09</v>
      </c>
      <c r="M37" s="257">
        <f>16118.74+3175.81+11771.07-2173.09</f>
        <v>28892.53</v>
      </c>
      <c r="N37" s="235"/>
      <c r="O37" s="208">
        <f>L37+M37+N37</f>
        <v>36065.619999999995</v>
      </c>
      <c r="P37" s="292"/>
      <c r="Q37" s="167">
        <f t="shared" si="1"/>
        <v>36065.619999999995</v>
      </c>
    </row>
    <row r="38" spans="1:17" ht="12.75">
      <c r="A38" s="17" t="s">
        <v>202</v>
      </c>
      <c r="B38" s="51"/>
      <c r="C38" s="112"/>
      <c r="D38" s="102"/>
      <c r="E38" s="73"/>
      <c r="F38" s="190"/>
      <c r="G38" s="74"/>
      <c r="H38" s="235"/>
      <c r="I38" s="208"/>
      <c r="J38" s="257"/>
      <c r="K38" s="235"/>
      <c r="L38" s="208"/>
      <c r="M38" s="257"/>
      <c r="N38" s="235"/>
      <c r="O38" s="208"/>
      <c r="P38" s="292"/>
      <c r="Q38" s="167"/>
    </row>
    <row r="39" spans="1:17" ht="12.75">
      <c r="A39" s="13" t="s">
        <v>25</v>
      </c>
      <c r="B39" s="49"/>
      <c r="C39" s="111">
        <f aca="true" t="shared" si="9" ref="C39:Q39">SUM(C41:C61)</f>
        <v>129756.6</v>
      </c>
      <c r="D39" s="92">
        <f t="shared" si="9"/>
        <v>11594528.180000003</v>
      </c>
      <c r="E39" s="72">
        <f t="shared" si="9"/>
        <v>0</v>
      </c>
      <c r="F39" s="189">
        <f t="shared" si="9"/>
        <v>11724284.780000003</v>
      </c>
      <c r="G39" s="71">
        <f t="shared" si="9"/>
        <v>510561.9400000001</v>
      </c>
      <c r="H39" s="234">
        <f t="shared" si="9"/>
        <v>0</v>
      </c>
      <c r="I39" s="207">
        <f t="shared" si="9"/>
        <v>12234846.72</v>
      </c>
      <c r="J39" s="256">
        <f t="shared" si="9"/>
        <v>589371.54</v>
      </c>
      <c r="K39" s="234">
        <f t="shared" si="9"/>
        <v>0</v>
      </c>
      <c r="L39" s="207">
        <f t="shared" si="9"/>
        <v>12824218.260000004</v>
      </c>
      <c r="M39" s="256">
        <f t="shared" si="9"/>
        <v>328495.63000000006</v>
      </c>
      <c r="N39" s="234">
        <f t="shared" si="9"/>
        <v>0</v>
      </c>
      <c r="O39" s="207">
        <f t="shared" si="9"/>
        <v>13152713.890000002</v>
      </c>
      <c r="P39" s="92">
        <f t="shared" si="9"/>
        <v>0</v>
      </c>
      <c r="Q39" s="150">
        <f t="shared" si="9"/>
        <v>13147679.200000003</v>
      </c>
    </row>
    <row r="40" spans="1:17" ht="10.5" customHeight="1">
      <c r="A40" s="18" t="s">
        <v>26</v>
      </c>
      <c r="B40" s="54"/>
      <c r="C40" s="112"/>
      <c r="D40" s="102"/>
      <c r="E40" s="73"/>
      <c r="F40" s="190"/>
      <c r="G40" s="74"/>
      <c r="H40" s="235"/>
      <c r="I40" s="208"/>
      <c r="J40" s="257"/>
      <c r="K40" s="235"/>
      <c r="L40" s="208"/>
      <c r="M40" s="257"/>
      <c r="N40" s="235"/>
      <c r="O40" s="208"/>
      <c r="P40" s="292"/>
      <c r="Q40" s="167"/>
    </row>
    <row r="41" spans="1:17" ht="12.75">
      <c r="A41" s="16" t="s">
        <v>27</v>
      </c>
      <c r="B41" s="52"/>
      <c r="C41" s="112">
        <v>129506.6</v>
      </c>
      <c r="D41" s="102"/>
      <c r="E41" s="73"/>
      <c r="F41" s="190">
        <f aca="true" t="shared" si="10" ref="F41:F61">C41+D41+E41</f>
        <v>129506.6</v>
      </c>
      <c r="G41" s="74"/>
      <c r="H41" s="235"/>
      <c r="I41" s="208">
        <f>F41+G41+H41</f>
        <v>129506.6</v>
      </c>
      <c r="J41" s="257"/>
      <c r="K41" s="235"/>
      <c r="L41" s="208">
        <f>I41+J41+K41</f>
        <v>129506.6</v>
      </c>
      <c r="M41" s="257"/>
      <c r="N41" s="235"/>
      <c r="O41" s="208">
        <f>L41+M41+N41</f>
        <v>129506.6</v>
      </c>
      <c r="P41" s="292"/>
      <c r="Q41" s="167">
        <f t="shared" si="1"/>
        <v>129506.6</v>
      </c>
    </row>
    <row r="42" spans="1:17" ht="12.75">
      <c r="A42" s="16" t="s">
        <v>28</v>
      </c>
      <c r="B42" s="52"/>
      <c r="C42" s="112"/>
      <c r="D42" s="102">
        <f>800+15+32053.4</f>
        <v>32868.4</v>
      </c>
      <c r="E42" s="73"/>
      <c r="F42" s="190">
        <f t="shared" si="10"/>
        <v>32868.4</v>
      </c>
      <c r="G42" s="74">
        <f>15+96383.35+32659</f>
        <v>129057.35</v>
      </c>
      <c r="H42" s="235"/>
      <c r="I42" s="208">
        <f aca="true" t="shared" si="11" ref="I42:I61">F42+G42+H42</f>
        <v>161925.75</v>
      </c>
      <c r="J42" s="257">
        <f>34781.35+31636.6+29110.35</f>
        <v>95528.29999999999</v>
      </c>
      <c r="K42" s="235"/>
      <c r="L42" s="208">
        <f aca="true" t="shared" si="12" ref="L42:L61">I42+J42+K42</f>
        <v>257454.05</v>
      </c>
      <c r="M42" s="257">
        <f>11845.75+8886.25</f>
        <v>20732</v>
      </c>
      <c r="N42" s="235"/>
      <c r="O42" s="208">
        <f aca="true" t="shared" si="13" ref="O42:O61">L42+M42+N42</f>
        <v>278186.05</v>
      </c>
      <c r="P42" s="292"/>
      <c r="Q42" s="167">
        <f t="shared" si="1"/>
        <v>278186.05</v>
      </c>
    </row>
    <row r="43" spans="1:17" ht="12.75">
      <c r="A43" s="16" t="s">
        <v>307</v>
      </c>
      <c r="B43" s="52">
        <v>12002</v>
      </c>
      <c r="C43" s="112"/>
      <c r="D43" s="102">
        <f>9.74</f>
        <v>9.74</v>
      </c>
      <c r="E43" s="73"/>
      <c r="F43" s="190">
        <f t="shared" si="10"/>
        <v>9.74</v>
      </c>
      <c r="G43" s="74">
        <f>153.78</f>
        <v>153.78</v>
      </c>
      <c r="H43" s="235"/>
      <c r="I43" s="208">
        <f t="shared" si="11"/>
        <v>163.52</v>
      </c>
      <c r="J43" s="257">
        <f>103.59</f>
        <v>103.59</v>
      </c>
      <c r="K43" s="235"/>
      <c r="L43" s="208">
        <f t="shared" si="12"/>
        <v>267.11</v>
      </c>
      <c r="M43" s="257"/>
      <c r="N43" s="235"/>
      <c r="O43" s="208">
        <f t="shared" si="13"/>
        <v>267.11</v>
      </c>
      <c r="P43" s="292"/>
      <c r="Q43" s="167"/>
    </row>
    <row r="44" spans="1:17" ht="12.75">
      <c r="A44" s="16" t="s">
        <v>29</v>
      </c>
      <c r="B44" s="52"/>
      <c r="C44" s="112"/>
      <c r="D44" s="102">
        <f>148284.67+12646.55+9933653.38+15000+13643.49</f>
        <v>10123228.090000002</v>
      </c>
      <c r="E44" s="73"/>
      <c r="F44" s="190">
        <f t="shared" si="10"/>
        <v>10123228.090000002</v>
      </c>
      <c r="G44" s="74">
        <f>147279.41+797.04+82194.23+20208+36218+21575+1974.38+12750+28283.24+1663.5+600+150+5134.59+328+110</f>
        <v>359265.39</v>
      </c>
      <c r="H44" s="235"/>
      <c r="I44" s="208">
        <f t="shared" si="11"/>
        <v>10482493.480000002</v>
      </c>
      <c r="J44" s="257">
        <f>147089.43+30476.12+268.27+375+19829.14+363.35</f>
        <v>198401.30999999997</v>
      </c>
      <c r="K44" s="235"/>
      <c r="L44" s="208">
        <f t="shared" si="12"/>
        <v>10680894.790000003</v>
      </c>
      <c r="M44" s="257">
        <f>397.98+5175.12+3799.25+153489.32+1271.05+14811.92+758.58</f>
        <v>179703.22</v>
      </c>
      <c r="N44" s="235"/>
      <c r="O44" s="208">
        <f t="shared" si="13"/>
        <v>10860598.010000004</v>
      </c>
      <c r="P44" s="292"/>
      <c r="Q44" s="167">
        <f t="shared" si="1"/>
        <v>10860598.010000004</v>
      </c>
    </row>
    <row r="45" spans="1:17" ht="12.75">
      <c r="A45" s="16" t="s">
        <v>30</v>
      </c>
      <c r="B45" s="52"/>
      <c r="C45" s="112"/>
      <c r="D45" s="102">
        <f>1355855.4+47237.11+5532.56+13300</f>
        <v>1421925.07</v>
      </c>
      <c r="E45" s="73"/>
      <c r="F45" s="190">
        <f t="shared" si="10"/>
        <v>1421925.07</v>
      </c>
      <c r="G45" s="74">
        <f>976.23+102.41+1667.33+5674.87</f>
        <v>8420.84</v>
      </c>
      <c r="H45" s="235"/>
      <c r="I45" s="208">
        <f t="shared" si="11"/>
        <v>1430345.9100000001</v>
      </c>
      <c r="J45" s="257">
        <f>3212.87+24274.87+45.65+279.4+8898.72+5831.74+3783.25</f>
        <v>46326.5</v>
      </c>
      <c r="K45" s="235"/>
      <c r="L45" s="208">
        <f t="shared" si="12"/>
        <v>1476672.4100000001</v>
      </c>
      <c r="M45" s="257">
        <f>712.02+1000+7727.61+3457.85+795.32+12191.02+2668.34</f>
        <v>28552.16</v>
      </c>
      <c r="N45" s="235"/>
      <c r="O45" s="208">
        <f t="shared" si="13"/>
        <v>1505224.57</v>
      </c>
      <c r="P45" s="292"/>
      <c r="Q45" s="167">
        <f t="shared" si="1"/>
        <v>1505224.57</v>
      </c>
    </row>
    <row r="46" spans="1:17" ht="12.75">
      <c r="A46" s="16" t="s">
        <v>31</v>
      </c>
      <c r="B46" s="52"/>
      <c r="C46" s="112"/>
      <c r="D46" s="102">
        <f>81.23+316.82</f>
        <v>398.05</v>
      </c>
      <c r="E46" s="73"/>
      <c r="F46" s="190">
        <f t="shared" si="10"/>
        <v>398.05</v>
      </c>
      <c r="G46" s="74">
        <f>1127.46+6.89+12.28+3.92+13.41+18.16-81.23</f>
        <v>1100.8900000000003</v>
      </c>
      <c r="H46" s="235"/>
      <c r="I46" s="208">
        <f t="shared" si="11"/>
        <v>1498.9400000000003</v>
      </c>
      <c r="J46" s="257">
        <f>22.33+81.23+36.32</f>
        <v>139.88</v>
      </c>
      <c r="K46" s="235"/>
      <c r="L46" s="208">
        <f t="shared" si="12"/>
        <v>1638.8200000000002</v>
      </c>
      <c r="M46" s="257">
        <f>1220.82+10.18+62.23+21.89+1053.39</f>
        <v>2368.51</v>
      </c>
      <c r="N46" s="235"/>
      <c r="O46" s="208">
        <f t="shared" si="13"/>
        <v>4007.3300000000004</v>
      </c>
      <c r="P46" s="292"/>
      <c r="Q46" s="167">
        <f t="shared" si="1"/>
        <v>4007.3300000000004</v>
      </c>
    </row>
    <row r="47" spans="1:17" ht="12.75">
      <c r="A47" s="16" t="s">
        <v>32</v>
      </c>
      <c r="B47" s="52"/>
      <c r="C47" s="112"/>
      <c r="D47" s="102">
        <f>451.07</f>
        <v>451.07</v>
      </c>
      <c r="E47" s="73"/>
      <c r="F47" s="190">
        <f t="shared" si="10"/>
        <v>451.07</v>
      </c>
      <c r="G47" s="74">
        <f>43+41+18.12+51+135+54+45+19+45+109+96+55+123+63</f>
        <v>897.12</v>
      </c>
      <c r="H47" s="235"/>
      <c r="I47" s="208">
        <f t="shared" si="11"/>
        <v>1348.19</v>
      </c>
      <c r="J47" s="257">
        <f>117+2120+90+747.36+14+95</f>
        <v>3183.36</v>
      </c>
      <c r="K47" s="235"/>
      <c r="L47" s="208">
        <f t="shared" si="12"/>
        <v>4531.55</v>
      </c>
      <c r="M47" s="257">
        <f>592.55+242+1630+69</f>
        <v>2533.55</v>
      </c>
      <c r="N47" s="235"/>
      <c r="O47" s="208">
        <f t="shared" si="13"/>
        <v>7065.1</v>
      </c>
      <c r="P47" s="292"/>
      <c r="Q47" s="167">
        <f t="shared" si="1"/>
        <v>7065.1</v>
      </c>
    </row>
    <row r="48" spans="1:17" ht="12.75">
      <c r="A48" s="16" t="s">
        <v>41</v>
      </c>
      <c r="B48" s="52"/>
      <c r="C48" s="112"/>
      <c r="D48" s="102"/>
      <c r="E48" s="73"/>
      <c r="F48" s="190">
        <f t="shared" si="10"/>
        <v>0</v>
      </c>
      <c r="G48" s="74">
        <f>301.15</f>
        <v>301.15</v>
      </c>
      <c r="H48" s="235"/>
      <c r="I48" s="208">
        <f t="shared" si="11"/>
        <v>301.15</v>
      </c>
      <c r="J48" s="257">
        <f>3898.25</f>
        <v>3898.25</v>
      </c>
      <c r="K48" s="235"/>
      <c r="L48" s="208">
        <f t="shared" si="12"/>
        <v>4199.4</v>
      </c>
      <c r="M48" s="257">
        <f>206.51</f>
        <v>206.51</v>
      </c>
      <c r="N48" s="235"/>
      <c r="O48" s="208">
        <f t="shared" si="13"/>
        <v>4405.91</v>
      </c>
      <c r="P48" s="292"/>
      <c r="Q48" s="167"/>
    </row>
    <row r="49" spans="1:17" ht="12.75">
      <c r="A49" s="16" t="s">
        <v>33</v>
      </c>
      <c r="B49" s="52"/>
      <c r="C49" s="112"/>
      <c r="D49" s="102">
        <f>1900+1096+224</f>
        <v>3220</v>
      </c>
      <c r="E49" s="73"/>
      <c r="F49" s="190">
        <f t="shared" si="10"/>
        <v>3220</v>
      </c>
      <c r="G49" s="74">
        <f>3525.83</f>
        <v>3525.83</v>
      </c>
      <c r="H49" s="235"/>
      <c r="I49" s="208">
        <f t="shared" si="11"/>
        <v>6745.83</v>
      </c>
      <c r="J49" s="257"/>
      <c r="K49" s="235"/>
      <c r="L49" s="208">
        <f t="shared" si="12"/>
        <v>6745.83</v>
      </c>
      <c r="M49" s="257"/>
      <c r="N49" s="235"/>
      <c r="O49" s="208">
        <f t="shared" si="13"/>
        <v>6745.83</v>
      </c>
      <c r="P49" s="292"/>
      <c r="Q49" s="167">
        <f t="shared" si="1"/>
        <v>6745.83</v>
      </c>
    </row>
    <row r="50" spans="1:17" ht="12.75">
      <c r="A50" s="16" t="s">
        <v>34</v>
      </c>
      <c r="B50" s="52"/>
      <c r="C50" s="112"/>
      <c r="D50" s="102"/>
      <c r="E50" s="73"/>
      <c r="F50" s="190">
        <f t="shared" si="10"/>
        <v>0</v>
      </c>
      <c r="G50" s="74">
        <f>494.63+206.4</f>
        <v>701.03</v>
      </c>
      <c r="H50" s="235"/>
      <c r="I50" s="208">
        <f t="shared" si="11"/>
        <v>701.03</v>
      </c>
      <c r="J50" s="257">
        <f>345.85</f>
        <v>345.85</v>
      </c>
      <c r="K50" s="235"/>
      <c r="L50" s="208">
        <f t="shared" si="12"/>
        <v>1046.88</v>
      </c>
      <c r="M50" s="257"/>
      <c r="N50" s="235"/>
      <c r="O50" s="208">
        <f t="shared" si="13"/>
        <v>1046.88</v>
      </c>
      <c r="P50" s="292"/>
      <c r="Q50" s="167">
        <f t="shared" si="1"/>
        <v>1046.88</v>
      </c>
    </row>
    <row r="51" spans="1:17" ht="12.75">
      <c r="A51" s="16" t="s">
        <v>131</v>
      </c>
      <c r="B51" s="52"/>
      <c r="C51" s="112"/>
      <c r="D51" s="102"/>
      <c r="E51" s="73"/>
      <c r="F51" s="190">
        <f t="shared" si="10"/>
        <v>0</v>
      </c>
      <c r="G51" s="74"/>
      <c r="H51" s="235"/>
      <c r="I51" s="208">
        <f t="shared" si="11"/>
        <v>0</v>
      </c>
      <c r="J51" s="257">
        <f>211109.66</f>
        <v>211109.66</v>
      </c>
      <c r="K51" s="235"/>
      <c r="L51" s="208">
        <f t="shared" si="12"/>
        <v>211109.66</v>
      </c>
      <c r="M51" s="257"/>
      <c r="N51" s="235"/>
      <c r="O51" s="208">
        <f t="shared" si="13"/>
        <v>211109.66</v>
      </c>
      <c r="P51" s="292"/>
      <c r="Q51" s="167">
        <f t="shared" si="1"/>
        <v>211109.66</v>
      </c>
    </row>
    <row r="52" spans="1:17" ht="12.75">
      <c r="A52" s="16" t="s">
        <v>143</v>
      </c>
      <c r="B52" s="52"/>
      <c r="C52" s="112"/>
      <c r="D52" s="102">
        <f>10748.16</f>
        <v>10748.16</v>
      </c>
      <c r="E52" s="73"/>
      <c r="F52" s="190">
        <f t="shared" si="10"/>
        <v>10748.16</v>
      </c>
      <c r="G52" s="74"/>
      <c r="H52" s="235"/>
      <c r="I52" s="208">
        <f t="shared" si="11"/>
        <v>10748.16</v>
      </c>
      <c r="J52" s="257">
        <f>107.5+3909.52</f>
        <v>4017.02</v>
      </c>
      <c r="K52" s="235"/>
      <c r="L52" s="208">
        <f t="shared" si="12"/>
        <v>14765.18</v>
      </c>
      <c r="M52" s="257"/>
      <c r="N52" s="235"/>
      <c r="O52" s="208">
        <f t="shared" si="13"/>
        <v>14765.18</v>
      </c>
      <c r="P52" s="292"/>
      <c r="Q52" s="167">
        <f t="shared" si="1"/>
        <v>14765.18</v>
      </c>
    </row>
    <row r="53" spans="1:17" ht="12.75">
      <c r="A53" s="16" t="s">
        <v>369</v>
      </c>
      <c r="B53" s="52"/>
      <c r="C53" s="112"/>
      <c r="D53" s="102"/>
      <c r="E53" s="73"/>
      <c r="F53" s="190"/>
      <c r="G53" s="74"/>
      <c r="H53" s="235"/>
      <c r="I53" s="208">
        <f t="shared" si="11"/>
        <v>0</v>
      </c>
      <c r="J53" s="257">
        <f>361.67</f>
        <v>361.67</v>
      </c>
      <c r="K53" s="235"/>
      <c r="L53" s="208">
        <f t="shared" si="12"/>
        <v>361.67</v>
      </c>
      <c r="M53" s="257"/>
      <c r="N53" s="235"/>
      <c r="O53" s="208">
        <f t="shared" si="13"/>
        <v>361.67</v>
      </c>
      <c r="P53" s="292"/>
      <c r="Q53" s="167"/>
    </row>
    <row r="54" spans="1:17" ht="12.75">
      <c r="A54" s="16" t="s">
        <v>35</v>
      </c>
      <c r="B54" s="52"/>
      <c r="C54" s="112"/>
      <c r="D54" s="102">
        <f>55.21+754.79</f>
        <v>810</v>
      </c>
      <c r="E54" s="73"/>
      <c r="F54" s="190">
        <f t="shared" si="10"/>
        <v>810</v>
      </c>
      <c r="G54" s="74">
        <f>871.4+228+308.77</f>
        <v>1408.17</v>
      </c>
      <c r="H54" s="235"/>
      <c r="I54" s="208">
        <f t="shared" si="11"/>
        <v>2218.17</v>
      </c>
      <c r="J54" s="257">
        <f>587.03+1002.11</f>
        <v>1589.1399999999999</v>
      </c>
      <c r="K54" s="235"/>
      <c r="L54" s="208">
        <f t="shared" si="12"/>
        <v>3807.31</v>
      </c>
      <c r="M54" s="257">
        <f>173.07</f>
        <v>173.07</v>
      </c>
      <c r="N54" s="235"/>
      <c r="O54" s="208">
        <f t="shared" si="13"/>
        <v>3980.38</v>
      </c>
      <c r="P54" s="293"/>
      <c r="Q54" s="167">
        <f t="shared" si="1"/>
        <v>3980.38</v>
      </c>
    </row>
    <row r="55" spans="1:17" ht="12.75">
      <c r="A55" s="16" t="s">
        <v>36</v>
      </c>
      <c r="B55" s="52"/>
      <c r="C55" s="112"/>
      <c r="D55" s="102"/>
      <c r="E55" s="73"/>
      <c r="F55" s="190">
        <f t="shared" si="10"/>
        <v>0</v>
      </c>
      <c r="G55" s="74">
        <f>565+510+500</f>
        <v>1575</v>
      </c>
      <c r="H55" s="235"/>
      <c r="I55" s="208">
        <f t="shared" si="11"/>
        <v>1575</v>
      </c>
      <c r="J55" s="260"/>
      <c r="K55" s="235"/>
      <c r="L55" s="208">
        <f t="shared" si="12"/>
        <v>1575</v>
      </c>
      <c r="M55" s="257"/>
      <c r="N55" s="235"/>
      <c r="O55" s="208">
        <f t="shared" si="13"/>
        <v>1575</v>
      </c>
      <c r="P55" s="292"/>
      <c r="Q55" s="167">
        <f t="shared" si="1"/>
        <v>1575</v>
      </c>
    </row>
    <row r="56" spans="1:17" ht="12.75" hidden="1">
      <c r="A56" s="16" t="s">
        <v>184</v>
      </c>
      <c r="B56" s="52"/>
      <c r="C56" s="112"/>
      <c r="D56" s="102"/>
      <c r="E56" s="73"/>
      <c r="F56" s="190">
        <f t="shared" si="10"/>
        <v>0</v>
      </c>
      <c r="G56" s="74"/>
      <c r="H56" s="235"/>
      <c r="I56" s="208">
        <f t="shared" si="11"/>
        <v>0</v>
      </c>
      <c r="J56" s="260"/>
      <c r="K56" s="235"/>
      <c r="L56" s="208">
        <f t="shared" si="12"/>
        <v>0</v>
      </c>
      <c r="M56" s="257"/>
      <c r="N56" s="235"/>
      <c r="O56" s="208">
        <f t="shared" si="13"/>
        <v>0</v>
      </c>
      <c r="P56" s="292"/>
      <c r="Q56" s="167">
        <f t="shared" si="1"/>
        <v>0</v>
      </c>
    </row>
    <row r="57" spans="1:17" ht="12.75">
      <c r="A57" s="16" t="s">
        <v>144</v>
      </c>
      <c r="B57" s="52"/>
      <c r="C57" s="112"/>
      <c r="D57" s="102"/>
      <c r="E57" s="73"/>
      <c r="F57" s="190">
        <f t="shared" si="10"/>
        <v>0</v>
      </c>
      <c r="G57" s="74">
        <f>393.86</f>
        <v>393.86</v>
      </c>
      <c r="H57" s="235"/>
      <c r="I57" s="208">
        <f t="shared" si="11"/>
        <v>393.86</v>
      </c>
      <c r="J57" s="260"/>
      <c r="K57" s="235"/>
      <c r="L57" s="208">
        <f t="shared" si="12"/>
        <v>393.86</v>
      </c>
      <c r="M57" s="257"/>
      <c r="N57" s="235"/>
      <c r="O57" s="208">
        <f t="shared" si="13"/>
        <v>393.86</v>
      </c>
      <c r="P57" s="292"/>
      <c r="Q57" s="167">
        <f t="shared" si="1"/>
        <v>393.86</v>
      </c>
    </row>
    <row r="58" spans="1:17" ht="12.75">
      <c r="A58" s="16" t="s">
        <v>37</v>
      </c>
      <c r="B58" s="52"/>
      <c r="C58" s="112"/>
      <c r="D58" s="102"/>
      <c r="E58" s="73"/>
      <c r="F58" s="190">
        <f t="shared" si="10"/>
        <v>0</v>
      </c>
      <c r="G58" s="74"/>
      <c r="H58" s="235"/>
      <c r="I58" s="208">
        <f t="shared" si="11"/>
        <v>0</v>
      </c>
      <c r="J58" s="257"/>
      <c r="K58" s="235"/>
      <c r="L58" s="208">
        <f t="shared" si="12"/>
        <v>0</v>
      </c>
      <c r="M58" s="257">
        <f>82000+12172.08</f>
        <v>94172.08</v>
      </c>
      <c r="N58" s="235"/>
      <c r="O58" s="208">
        <f t="shared" si="13"/>
        <v>94172.08</v>
      </c>
      <c r="P58" s="292"/>
      <c r="Q58" s="167">
        <f t="shared" si="1"/>
        <v>94172.08</v>
      </c>
    </row>
    <row r="59" spans="1:17" ht="12.75">
      <c r="A59" s="16" t="s">
        <v>38</v>
      </c>
      <c r="B59" s="52"/>
      <c r="C59" s="112"/>
      <c r="D59" s="102"/>
      <c r="E59" s="73"/>
      <c r="F59" s="190">
        <f t="shared" si="10"/>
        <v>0</v>
      </c>
      <c r="G59" s="74"/>
      <c r="H59" s="235"/>
      <c r="I59" s="208">
        <f t="shared" si="11"/>
        <v>0</v>
      </c>
      <c r="J59" s="257">
        <f>2529.29</f>
        <v>2529.29</v>
      </c>
      <c r="K59" s="235"/>
      <c r="L59" s="208">
        <f t="shared" si="12"/>
        <v>2529.29</v>
      </c>
      <c r="M59" s="257"/>
      <c r="N59" s="235"/>
      <c r="O59" s="208">
        <f t="shared" si="13"/>
        <v>2529.29</v>
      </c>
      <c r="P59" s="292"/>
      <c r="Q59" s="167">
        <f t="shared" si="1"/>
        <v>2529.29</v>
      </c>
    </row>
    <row r="60" spans="1:17" ht="12.75">
      <c r="A60" s="16" t="s">
        <v>39</v>
      </c>
      <c r="B60" s="52"/>
      <c r="C60" s="112">
        <v>250</v>
      </c>
      <c r="D60" s="102">
        <f>5.96+863.64</f>
        <v>869.6</v>
      </c>
      <c r="E60" s="73"/>
      <c r="F60" s="190">
        <f t="shared" si="10"/>
        <v>1119.6</v>
      </c>
      <c r="G60" s="74">
        <f>2092.34+6.68+1437.81+224.7</f>
        <v>3761.5299999999997</v>
      </c>
      <c r="H60" s="235"/>
      <c r="I60" s="208">
        <f t="shared" si="11"/>
        <v>4881.129999999999</v>
      </c>
      <c r="J60" s="257">
        <f>8.66+344.06</f>
        <v>352.72</v>
      </c>
      <c r="K60" s="235"/>
      <c r="L60" s="208">
        <f t="shared" si="12"/>
        <v>5233.849999999999</v>
      </c>
      <c r="M60" s="257">
        <f>10.19</f>
        <v>10.19</v>
      </c>
      <c r="N60" s="235"/>
      <c r="O60" s="208">
        <f t="shared" si="13"/>
        <v>5244.039999999999</v>
      </c>
      <c r="P60" s="292"/>
      <c r="Q60" s="167">
        <f t="shared" si="1"/>
        <v>5244.039999999999</v>
      </c>
    </row>
    <row r="61" spans="1:17" ht="12.75">
      <c r="A61" s="16" t="s">
        <v>147</v>
      </c>
      <c r="B61" s="52"/>
      <c r="C61" s="112"/>
      <c r="D61" s="102"/>
      <c r="E61" s="73"/>
      <c r="F61" s="190">
        <f t="shared" si="10"/>
        <v>0</v>
      </c>
      <c r="G61" s="74"/>
      <c r="H61" s="235"/>
      <c r="I61" s="208">
        <f t="shared" si="11"/>
        <v>0</v>
      </c>
      <c r="J61" s="257">
        <f>9911.39+11573.61</f>
        <v>21485</v>
      </c>
      <c r="K61" s="235"/>
      <c r="L61" s="208">
        <f t="shared" si="12"/>
        <v>21485</v>
      </c>
      <c r="M61" s="257">
        <f>44.34</f>
        <v>44.34</v>
      </c>
      <c r="N61" s="235"/>
      <c r="O61" s="208">
        <f t="shared" si="13"/>
        <v>21529.34</v>
      </c>
      <c r="P61" s="292"/>
      <c r="Q61" s="167">
        <f t="shared" si="1"/>
        <v>21529.34</v>
      </c>
    </row>
    <row r="62" spans="1:17" ht="12.75">
      <c r="A62" s="13" t="s">
        <v>40</v>
      </c>
      <c r="B62" s="49"/>
      <c r="C62" s="111">
        <f>SUM(C64:C78)</f>
        <v>0</v>
      </c>
      <c r="D62" s="92">
        <f aca="true" t="shared" si="14" ref="D62:Q62">SUM(D64:D78)</f>
        <v>506339.23</v>
      </c>
      <c r="E62" s="72">
        <f t="shared" si="14"/>
        <v>0</v>
      </c>
      <c r="F62" s="189">
        <f t="shared" si="14"/>
        <v>506339.23</v>
      </c>
      <c r="G62" s="71">
        <f t="shared" si="14"/>
        <v>512615.96</v>
      </c>
      <c r="H62" s="234">
        <f t="shared" si="14"/>
        <v>0</v>
      </c>
      <c r="I62" s="207">
        <f t="shared" si="14"/>
        <v>1018955.1900000001</v>
      </c>
      <c r="J62" s="256">
        <f t="shared" si="14"/>
        <v>238621.34999999998</v>
      </c>
      <c r="K62" s="234">
        <f t="shared" si="14"/>
        <v>0</v>
      </c>
      <c r="L62" s="207">
        <f t="shared" si="14"/>
        <v>1257576.54</v>
      </c>
      <c r="M62" s="256">
        <f t="shared" si="14"/>
        <v>210392.40999999997</v>
      </c>
      <c r="N62" s="234">
        <f t="shared" si="14"/>
        <v>0</v>
      </c>
      <c r="O62" s="207">
        <f t="shared" si="14"/>
        <v>1467968.9500000002</v>
      </c>
      <c r="P62" s="92">
        <f t="shared" si="14"/>
        <v>0</v>
      </c>
      <c r="Q62" s="150">
        <f t="shared" si="14"/>
        <v>1453529.12</v>
      </c>
    </row>
    <row r="63" spans="1:17" ht="12.75">
      <c r="A63" s="18" t="s">
        <v>26</v>
      </c>
      <c r="B63" s="54"/>
      <c r="C63" s="112"/>
      <c r="D63" s="102"/>
      <c r="E63" s="73"/>
      <c r="F63" s="190"/>
      <c r="G63" s="74"/>
      <c r="H63" s="235"/>
      <c r="I63" s="208"/>
      <c r="J63" s="257"/>
      <c r="K63" s="235"/>
      <c r="L63" s="208"/>
      <c r="M63" s="257"/>
      <c r="N63" s="235"/>
      <c r="O63" s="208"/>
      <c r="P63" s="292"/>
      <c r="Q63" s="167"/>
    </row>
    <row r="64" spans="1:17" ht="12.75">
      <c r="A64" s="16" t="s">
        <v>29</v>
      </c>
      <c r="B64" s="52"/>
      <c r="C64" s="112"/>
      <c r="D64" s="102"/>
      <c r="E64" s="73"/>
      <c r="F64" s="190">
        <f aca="true" t="shared" si="15" ref="F64:F78">C64+D64+E64</f>
        <v>0</v>
      </c>
      <c r="G64" s="74">
        <f>216.76</f>
        <v>216.76</v>
      </c>
      <c r="H64" s="235"/>
      <c r="I64" s="208">
        <f>F64+G64+H64</f>
        <v>216.76</v>
      </c>
      <c r="J64" s="257"/>
      <c r="K64" s="235"/>
      <c r="L64" s="208">
        <f>I64+J64+K64</f>
        <v>216.76</v>
      </c>
      <c r="M64" s="257"/>
      <c r="N64" s="235"/>
      <c r="O64" s="208">
        <f>L64+M64+N64</f>
        <v>216.76</v>
      </c>
      <c r="P64" s="292"/>
      <c r="Q64" s="167">
        <f t="shared" si="1"/>
        <v>216.76</v>
      </c>
    </row>
    <row r="65" spans="1:17" ht="12.75">
      <c r="A65" s="20" t="s">
        <v>30</v>
      </c>
      <c r="B65" s="55"/>
      <c r="C65" s="112"/>
      <c r="D65" s="102"/>
      <c r="E65" s="73"/>
      <c r="F65" s="190">
        <f t="shared" si="15"/>
        <v>0</v>
      </c>
      <c r="G65" s="74">
        <f>222.33+636.11+185.45+179.45</f>
        <v>1223.3400000000001</v>
      </c>
      <c r="H65" s="235"/>
      <c r="I65" s="208">
        <f aca="true" t="shared" si="16" ref="I65:I78">F65+G65+H65</f>
        <v>1223.3400000000001</v>
      </c>
      <c r="J65" s="257">
        <f>55.18</f>
        <v>55.18</v>
      </c>
      <c r="K65" s="235"/>
      <c r="L65" s="208">
        <f aca="true" t="shared" si="17" ref="L65:L78">I65+J65+K65</f>
        <v>1278.5200000000002</v>
      </c>
      <c r="M65" s="257"/>
      <c r="N65" s="235"/>
      <c r="O65" s="208">
        <f aca="true" t="shared" si="18" ref="O65:O78">L65+M65+N65</f>
        <v>1278.5200000000002</v>
      </c>
      <c r="P65" s="292"/>
      <c r="Q65" s="167">
        <f t="shared" si="1"/>
        <v>1278.5200000000002</v>
      </c>
    </row>
    <row r="66" spans="1:17" ht="12.75" hidden="1">
      <c r="A66" s="20" t="s">
        <v>28</v>
      </c>
      <c r="B66" s="55"/>
      <c r="C66" s="112"/>
      <c r="D66" s="102"/>
      <c r="E66" s="73"/>
      <c r="F66" s="190">
        <f t="shared" si="15"/>
        <v>0</v>
      </c>
      <c r="G66" s="74"/>
      <c r="H66" s="235"/>
      <c r="I66" s="208">
        <f t="shared" si="16"/>
        <v>0</v>
      </c>
      <c r="J66" s="257"/>
      <c r="K66" s="235"/>
      <c r="L66" s="208">
        <f t="shared" si="17"/>
        <v>0</v>
      </c>
      <c r="M66" s="257"/>
      <c r="N66" s="235"/>
      <c r="O66" s="208">
        <f t="shared" si="18"/>
        <v>0</v>
      </c>
      <c r="P66" s="292"/>
      <c r="Q66" s="167">
        <f t="shared" si="1"/>
        <v>0</v>
      </c>
    </row>
    <row r="67" spans="1:17" ht="12.75">
      <c r="A67" s="20" t="s">
        <v>32</v>
      </c>
      <c r="B67" s="55"/>
      <c r="C67" s="112"/>
      <c r="D67" s="102"/>
      <c r="E67" s="73"/>
      <c r="F67" s="190">
        <f t="shared" si="15"/>
        <v>0</v>
      </c>
      <c r="G67" s="74">
        <f>45+63</f>
        <v>108</v>
      </c>
      <c r="H67" s="235"/>
      <c r="I67" s="208">
        <f t="shared" si="16"/>
        <v>108</v>
      </c>
      <c r="J67" s="257">
        <f>14331.83</f>
        <v>14331.83</v>
      </c>
      <c r="K67" s="235"/>
      <c r="L67" s="208">
        <f t="shared" si="17"/>
        <v>14439.83</v>
      </c>
      <c r="M67" s="257"/>
      <c r="N67" s="235"/>
      <c r="O67" s="208">
        <f t="shared" si="18"/>
        <v>14439.83</v>
      </c>
      <c r="P67" s="292"/>
      <c r="Q67" s="167"/>
    </row>
    <row r="68" spans="1:17" ht="12.75">
      <c r="A68" s="20" t="s">
        <v>41</v>
      </c>
      <c r="B68" s="55"/>
      <c r="C68" s="112"/>
      <c r="D68" s="102"/>
      <c r="E68" s="73"/>
      <c r="F68" s="190">
        <f t="shared" si="15"/>
        <v>0</v>
      </c>
      <c r="G68" s="74">
        <f>13412.83</f>
        <v>13412.83</v>
      </c>
      <c r="H68" s="235"/>
      <c r="I68" s="208">
        <f t="shared" si="16"/>
        <v>13412.83</v>
      </c>
      <c r="J68" s="257"/>
      <c r="K68" s="235"/>
      <c r="L68" s="208">
        <f t="shared" si="17"/>
        <v>13412.83</v>
      </c>
      <c r="M68" s="257">
        <f>171088.75</f>
        <v>171088.75</v>
      </c>
      <c r="N68" s="235"/>
      <c r="O68" s="208">
        <f t="shared" si="18"/>
        <v>184501.58</v>
      </c>
      <c r="P68" s="292"/>
      <c r="Q68" s="167">
        <f t="shared" si="1"/>
        <v>184501.58</v>
      </c>
    </row>
    <row r="69" spans="1:17" ht="12.75">
      <c r="A69" s="16" t="s">
        <v>31</v>
      </c>
      <c r="B69" s="52"/>
      <c r="C69" s="112"/>
      <c r="D69" s="102">
        <f>1620.82+1409.62</f>
        <v>3030.4399999999996</v>
      </c>
      <c r="E69" s="73"/>
      <c r="F69" s="190">
        <f t="shared" si="15"/>
        <v>3030.4399999999996</v>
      </c>
      <c r="G69" s="74">
        <f>18707.82+56521.93+1337.82-1409.62</f>
        <v>75157.95000000001</v>
      </c>
      <c r="H69" s="235"/>
      <c r="I69" s="208">
        <f t="shared" si="16"/>
        <v>78188.39000000001</v>
      </c>
      <c r="J69" s="257">
        <f>19982.75+19379.21+35904.66+71.8+1052.12+200000+47365.51</f>
        <v>323756.05</v>
      </c>
      <c r="K69" s="235"/>
      <c r="L69" s="208">
        <f t="shared" si="17"/>
        <v>401944.44</v>
      </c>
      <c r="M69" s="257">
        <f>2100+932.64+121639.93+111.02</f>
        <v>124783.59</v>
      </c>
      <c r="N69" s="235"/>
      <c r="O69" s="208">
        <f t="shared" si="18"/>
        <v>526728.03</v>
      </c>
      <c r="P69" s="292"/>
      <c r="Q69" s="167">
        <f t="shared" si="1"/>
        <v>526728.03</v>
      </c>
    </row>
    <row r="70" spans="1:17" ht="12.75" hidden="1">
      <c r="A70" s="16" t="s">
        <v>194</v>
      </c>
      <c r="B70" s="52"/>
      <c r="C70" s="112"/>
      <c r="D70" s="102"/>
      <c r="E70" s="73"/>
      <c r="F70" s="190">
        <f t="shared" si="15"/>
        <v>0</v>
      </c>
      <c r="G70" s="74"/>
      <c r="H70" s="235"/>
      <c r="I70" s="208">
        <f t="shared" si="16"/>
        <v>0</v>
      </c>
      <c r="J70" s="257"/>
      <c r="K70" s="235"/>
      <c r="L70" s="208">
        <f t="shared" si="17"/>
        <v>0</v>
      </c>
      <c r="M70" s="257"/>
      <c r="N70" s="235"/>
      <c r="O70" s="208">
        <f t="shared" si="18"/>
        <v>0</v>
      </c>
      <c r="P70" s="292"/>
      <c r="Q70" s="167">
        <f t="shared" si="1"/>
        <v>0</v>
      </c>
    </row>
    <row r="71" spans="1:17" ht="12.75">
      <c r="A71" s="16" t="s">
        <v>143</v>
      </c>
      <c r="B71" s="52"/>
      <c r="C71" s="112"/>
      <c r="D71" s="102">
        <f>143308.79</f>
        <v>143308.79</v>
      </c>
      <c r="E71" s="73"/>
      <c r="F71" s="190">
        <f t="shared" si="15"/>
        <v>143308.79</v>
      </c>
      <c r="G71" s="74"/>
      <c r="H71" s="235"/>
      <c r="I71" s="208">
        <f t="shared" si="16"/>
        <v>143308.79</v>
      </c>
      <c r="J71" s="257">
        <f>2695+52126.88+4156.41</f>
        <v>58978.28999999999</v>
      </c>
      <c r="K71" s="235"/>
      <c r="L71" s="208">
        <f t="shared" si="17"/>
        <v>202287.08000000002</v>
      </c>
      <c r="M71" s="257">
        <f>6029.18+2662.97</f>
        <v>8692.15</v>
      </c>
      <c r="N71" s="235"/>
      <c r="O71" s="208">
        <f t="shared" si="18"/>
        <v>210979.23</v>
      </c>
      <c r="P71" s="292"/>
      <c r="Q71" s="167">
        <f t="shared" si="1"/>
        <v>210979.23</v>
      </c>
    </row>
    <row r="72" spans="1:17" ht="12.75" hidden="1">
      <c r="A72" s="16" t="s">
        <v>144</v>
      </c>
      <c r="B72" s="52"/>
      <c r="C72" s="112"/>
      <c r="D72" s="102"/>
      <c r="E72" s="73"/>
      <c r="F72" s="190">
        <f t="shared" si="15"/>
        <v>0</v>
      </c>
      <c r="G72" s="74"/>
      <c r="H72" s="235"/>
      <c r="I72" s="208">
        <f t="shared" si="16"/>
        <v>0</v>
      </c>
      <c r="J72" s="257"/>
      <c r="K72" s="235"/>
      <c r="L72" s="208">
        <f t="shared" si="17"/>
        <v>0</v>
      </c>
      <c r="M72" s="257"/>
      <c r="N72" s="235"/>
      <c r="O72" s="208">
        <f t="shared" si="18"/>
        <v>0</v>
      </c>
      <c r="P72" s="292"/>
      <c r="Q72" s="167">
        <f t="shared" si="1"/>
        <v>0</v>
      </c>
    </row>
    <row r="73" spans="1:17" ht="12.75">
      <c r="A73" s="16" t="s">
        <v>42</v>
      </c>
      <c r="B73" s="52"/>
      <c r="C73" s="112"/>
      <c r="D73" s="102">
        <f>360000</f>
        <v>360000</v>
      </c>
      <c r="E73" s="73"/>
      <c r="F73" s="190">
        <f t="shared" si="15"/>
        <v>360000</v>
      </c>
      <c r="G73" s="74">
        <f>19500+12172.08+390825</f>
        <v>422497.08</v>
      </c>
      <c r="H73" s="235"/>
      <c r="I73" s="208">
        <f t="shared" si="16"/>
        <v>782497.0800000001</v>
      </c>
      <c r="J73" s="257">
        <f>-158500</f>
        <v>-158500</v>
      </c>
      <c r="K73" s="235"/>
      <c r="L73" s="208">
        <f t="shared" si="17"/>
        <v>623997.0800000001</v>
      </c>
      <c r="M73" s="257">
        <f>-82000-12172.08</f>
        <v>-94172.08</v>
      </c>
      <c r="N73" s="235"/>
      <c r="O73" s="208">
        <f t="shared" si="18"/>
        <v>529825.0000000001</v>
      </c>
      <c r="P73" s="292"/>
      <c r="Q73" s="167">
        <f t="shared" si="1"/>
        <v>529825.0000000001</v>
      </c>
    </row>
    <row r="74" spans="1:17" ht="12.75" hidden="1">
      <c r="A74" s="16" t="s">
        <v>43</v>
      </c>
      <c r="B74" s="52"/>
      <c r="C74" s="112"/>
      <c r="D74" s="102"/>
      <c r="E74" s="73"/>
      <c r="F74" s="190">
        <f t="shared" si="15"/>
        <v>0</v>
      </c>
      <c r="G74" s="74"/>
      <c r="H74" s="235"/>
      <c r="I74" s="208">
        <f t="shared" si="16"/>
        <v>0</v>
      </c>
      <c r="J74" s="257"/>
      <c r="K74" s="235"/>
      <c r="L74" s="208">
        <f t="shared" si="17"/>
        <v>0</v>
      </c>
      <c r="M74" s="257"/>
      <c r="N74" s="235"/>
      <c r="O74" s="208">
        <f t="shared" si="18"/>
        <v>0</v>
      </c>
      <c r="P74" s="292"/>
      <c r="Q74" s="167">
        <f t="shared" si="1"/>
        <v>0</v>
      </c>
    </row>
    <row r="75" spans="1:17" ht="12.75" hidden="1">
      <c r="A75" s="16" t="s">
        <v>44</v>
      </c>
      <c r="B75" s="52"/>
      <c r="C75" s="112"/>
      <c r="D75" s="102"/>
      <c r="E75" s="73"/>
      <c r="F75" s="190">
        <f t="shared" si="15"/>
        <v>0</v>
      </c>
      <c r="G75" s="74"/>
      <c r="H75" s="235"/>
      <c r="I75" s="208">
        <f t="shared" si="16"/>
        <v>0</v>
      </c>
      <c r="J75" s="257"/>
      <c r="K75" s="235"/>
      <c r="L75" s="208">
        <f t="shared" si="17"/>
        <v>0</v>
      </c>
      <c r="M75" s="257"/>
      <c r="N75" s="235"/>
      <c r="O75" s="208">
        <f t="shared" si="18"/>
        <v>0</v>
      </c>
      <c r="P75" s="292"/>
      <c r="Q75" s="167">
        <f t="shared" si="1"/>
        <v>0</v>
      </c>
    </row>
    <row r="76" spans="1:17" ht="12.75" hidden="1">
      <c r="A76" s="16" t="s">
        <v>35</v>
      </c>
      <c r="B76" s="52"/>
      <c r="C76" s="112"/>
      <c r="D76" s="102"/>
      <c r="E76" s="73"/>
      <c r="F76" s="190">
        <f t="shared" si="15"/>
        <v>0</v>
      </c>
      <c r="G76" s="74"/>
      <c r="H76" s="235"/>
      <c r="I76" s="208">
        <f t="shared" si="16"/>
        <v>0</v>
      </c>
      <c r="J76" s="257"/>
      <c r="K76" s="235"/>
      <c r="L76" s="208">
        <f t="shared" si="17"/>
        <v>0</v>
      </c>
      <c r="M76" s="257"/>
      <c r="N76" s="235"/>
      <c r="O76" s="208">
        <f t="shared" si="18"/>
        <v>0</v>
      </c>
      <c r="P76" s="294"/>
      <c r="Q76" s="167">
        <f t="shared" si="1"/>
        <v>0</v>
      </c>
    </row>
    <row r="77" spans="1:17" ht="12.75" hidden="1">
      <c r="A77" s="16" t="s">
        <v>38</v>
      </c>
      <c r="B77" s="52"/>
      <c r="C77" s="112"/>
      <c r="D77" s="102"/>
      <c r="E77" s="73"/>
      <c r="F77" s="190">
        <f t="shared" si="15"/>
        <v>0</v>
      </c>
      <c r="G77" s="74"/>
      <c r="H77" s="235"/>
      <c r="I77" s="208">
        <f t="shared" si="16"/>
        <v>0</v>
      </c>
      <c r="J77" s="257"/>
      <c r="K77" s="235"/>
      <c r="L77" s="208">
        <f t="shared" si="17"/>
        <v>0</v>
      </c>
      <c r="M77" s="257"/>
      <c r="N77" s="235"/>
      <c r="O77" s="208">
        <f t="shared" si="18"/>
        <v>0</v>
      </c>
      <c r="P77" s="294"/>
      <c r="Q77" s="167">
        <f t="shared" si="1"/>
        <v>0</v>
      </c>
    </row>
    <row r="78" spans="1:17" ht="12.75" hidden="1">
      <c r="A78" s="16" t="s">
        <v>147</v>
      </c>
      <c r="B78" s="52"/>
      <c r="C78" s="112"/>
      <c r="D78" s="102"/>
      <c r="E78" s="73"/>
      <c r="F78" s="190">
        <f t="shared" si="15"/>
        <v>0</v>
      </c>
      <c r="G78" s="74"/>
      <c r="H78" s="235"/>
      <c r="I78" s="208">
        <f t="shared" si="16"/>
        <v>0</v>
      </c>
      <c r="J78" s="257"/>
      <c r="K78" s="235"/>
      <c r="L78" s="208">
        <f t="shared" si="17"/>
        <v>0</v>
      </c>
      <c r="M78" s="257"/>
      <c r="N78" s="235"/>
      <c r="O78" s="208">
        <f t="shared" si="18"/>
        <v>0</v>
      </c>
      <c r="P78" s="292"/>
      <c r="Q78" s="167">
        <f t="shared" si="1"/>
        <v>0</v>
      </c>
    </row>
    <row r="79" spans="1:17" ht="16.5" thickBot="1">
      <c r="A79" s="21" t="s">
        <v>45</v>
      </c>
      <c r="B79" s="56"/>
      <c r="C79" s="114">
        <f aca="true" t="shared" si="19" ref="C79:Q79">C11+C17+C39+C62+C31</f>
        <v>5751704.72</v>
      </c>
      <c r="D79" s="104">
        <f t="shared" si="19"/>
        <v>12177604.510000004</v>
      </c>
      <c r="E79" s="78">
        <f t="shared" si="19"/>
        <v>0</v>
      </c>
      <c r="F79" s="192">
        <f t="shared" si="19"/>
        <v>17929309.230000004</v>
      </c>
      <c r="G79" s="77">
        <f t="shared" si="19"/>
        <v>1744344.53</v>
      </c>
      <c r="H79" s="238">
        <f t="shared" si="19"/>
        <v>167128.54</v>
      </c>
      <c r="I79" s="210">
        <f t="shared" si="19"/>
        <v>19840782.3</v>
      </c>
      <c r="J79" s="261">
        <f t="shared" si="19"/>
        <v>1094309.01</v>
      </c>
      <c r="K79" s="238">
        <f t="shared" si="19"/>
        <v>35593.59</v>
      </c>
      <c r="L79" s="210">
        <f t="shared" si="19"/>
        <v>20970684.900000002</v>
      </c>
      <c r="M79" s="261">
        <f t="shared" si="19"/>
        <v>648328.96</v>
      </c>
      <c r="N79" s="238">
        <f t="shared" si="19"/>
        <v>0</v>
      </c>
      <c r="O79" s="210">
        <f t="shared" si="19"/>
        <v>21619013.860000003</v>
      </c>
      <c r="P79" s="104">
        <f t="shared" si="19"/>
        <v>0</v>
      </c>
      <c r="Q79" s="153">
        <f t="shared" si="19"/>
        <v>21498661.030000005</v>
      </c>
    </row>
    <row r="80" spans="1:17" ht="12.75">
      <c r="A80" s="13" t="s">
        <v>46</v>
      </c>
      <c r="B80" s="49"/>
      <c r="C80" s="111"/>
      <c r="D80" s="102"/>
      <c r="E80" s="73"/>
      <c r="F80" s="190"/>
      <c r="G80" s="74"/>
      <c r="H80" s="235"/>
      <c r="I80" s="208"/>
      <c r="J80" s="257"/>
      <c r="K80" s="235"/>
      <c r="L80" s="208"/>
      <c r="M80" s="257"/>
      <c r="N80" s="235"/>
      <c r="O80" s="208"/>
      <c r="P80" s="292"/>
      <c r="Q80" s="167"/>
    </row>
    <row r="81" spans="1:17" ht="12.75">
      <c r="A81" s="13" t="s">
        <v>60</v>
      </c>
      <c r="B81" s="61"/>
      <c r="C81" s="111">
        <f aca="true" t="shared" si="20" ref="C81:Q81">C82+C90</f>
        <v>112277</v>
      </c>
      <c r="D81" s="92">
        <f t="shared" si="20"/>
        <v>46800.56</v>
      </c>
      <c r="E81" s="72">
        <f t="shared" si="20"/>
        <v>0</v>
      </c>
      <c r="F81" s="189">
        <f t="shared" si="20"/>
        <v>159077.56</v>
      </c>
      <c r="G81" s="71">
        <f t="shared" si="20"/>
        <v>9854.32</v>
      </c>
      <c r="H81" s="234">
        <f t="shared" si="20"/>
        <v>28805.33</v>
      </c>
      <c r="I81" s="207">
        <f t="shared" si="20"/>
        <v>197737.21</v>
      </c>
      <c r="J81" s="256">
        <f t="shared" si="20"/>
        <v>8570.67</v>
      </c>
      <c r="K81" s="234">
        <f t="shared" si="20"/>
        <v>0</v>
      </c>
      <c r="L81" s="207">
        <f t="shared" si="20"/>
        <v>206307.88</v>
      </c>
      <c r="M81" s="256">
        <f t="shared" si="20"/>
        <v>16.5</v>
      </c>
      <c r="N81" s="234">
        <f t="shared" si="20"/>
        <v>0</v>
      </c>
      <c r="O81" s="207">
        <f t="shared" si="20"/>
        <v>206324.38</v>
      </c>
      <c r="P81" s="92">
        <f t="shared" si="20"/>
        <v>0</v>
      </c>
      <c r="Q81" s="150">
        <f t="shared" si="20"/>
        <v>205962.71</v>
      </c>
    </row>
    <row r="82" spans="1:17" ht="12.75">
      <c r="A82" s="22" t="s">
        <v>48</v>
      </c>
      <c r="B82" s="61"/>
      <c r="C82" s="115">
        <f>SUM(C84:C89)</f>
        <v>69277</v>
      </c>
      <c r="D82" s="105">
        <f aca="true" t="shared" si="21" ref="D82:Q82">SUM(D84:D89)</f>
        <v>2652.21</v>
      </c>
      <c r="E82" s="80">
        <f t="shared" si="21"/>
        <v>0</v>
      </c>
      <c r="F82" s="193">
        <f t="shared" si="21"/>
        <v>71929.21</v>
      </c>
      <c r="G82" s="79">
        <f t="shared" si="21"/>
        <v>393.86</v>
      </c>
      <c r="H82" s="239">
        <f t="shared" si="21"/>
        <v>5000</v>
      </c>
      <c r="I82" s="211">
        <f t="shared" si="21"/>
        <v>77323.07</v>
      </c>
      <c r="J82" s="262">
        <f t="shared" si="21"/>
        <v>361.67</v>
      </c>
      <c r="K82" s="239">
        <f t="shared" si="21"/>
        <v>0</v>
      </c>
      <c r="L82" s="211">
        <f t="shared" si="21"/>
        <v>77684.74</v>
      </c>
      <c r="M82" s="262">
        <f t="shared" si="21"/>
        <v>16.5</v>
      </c>
      <c r="N82" s="239">
        <f t="shared" si="21"/>
        <v>0</v>
      </c>
      <c r="O82" s="211">
        <f t="shared" si="21"/>
        <v>77701.24</v>
      </c>
      <c r="P82" s="105">
        <f t="shared" si="21"/>
        <v>0</v>
      </c>
      <c r="Q82" s="154">
        <f t="shared" si="21"/>
        <v>77339.57</v>
      </c>
    </row>
    <row r="83" spans="1:17" ht="12.75">
      <c r="A83" s="18" t="s">
        <v>26</v>
      </c>
      <c r="B83" s="57"/>
      <c r="C83" s="112"/>
      <c r="D83" s="102"/>
      <c r="E83" s="73"/>
      <c r="F83" s="189"/>
      <c r="G83" s="74"/>
      <c r="H83" s="235"/>
      <c r="I83" s="207"/>
      <c r="J83" s="257"/>
      <c r="K83" s="235"/>
      <c r="L83" s="207"/>
      <c r="M83" s="257"/>
      <c r="N83" s="235"/>
      <c r="O83" s="207"/>
      <c r="P83" s="292"/>
      <c r="Q83" s="167"/>
    </row>
    <row r="84" spans="1:17" ht="12.75">
      <c r="A84" s="16" t="s">
        <v>50</v>
      </c>
      <c r="B84" s="57"/>
      <c r="C84" s="112">
        <v>7889</v>
      </c>
      <c r="D84" s="102"/>
      <c r="E84" s="73"/>
      <c r="F84" s="190">
        <f aca="true" t="shared" si="22" ref="F84:F89">C84+D84+E84</f>
        <v>7889</v>
      </c>
      <c r="G84" s="133">
        <f>393.86</f>
        <v>393.86</v>
      </c>
      <c r="H84" s="235"/>
      <c r="I84" s="208">
        <f aca="true" t="shared" si="23" ref="I84:I89">F84+G84+H84</f>
        <v>8282.86</v>
      </c>
      <c r="J84" s="257"/>
      <c r="K84" s="235"/>
      <c r="L84" s="208">
        <f aca="true" t="shared" si="24" ref="L84:L89">I84+J84+K84</f>
        <v>8282.86</v>
      </c>
      <c r="M84" s="257">
        <f>76.5-60</f>
        <v>16.5</v>
      </c>
      <c r="N84" s="235"/>
      <c r="O84" s="208">
        <f aca="true" t="shared" si="25" ref="O84:O89">L84+M84+N84</f>
        <v>8299.36</v>
      </c>
      <c r="P84" s="292"/>
      <c r="Q84" s="167">
        <f>O84+P84</f>
        <v>8299.36</v>
      </c>
    </row>
    <row r="85" spans="1:17" ht="12.75" hidden="1">
      <c r="A85" s="16" t="s">
        <v>62</v>
      </c>
      <c r="B85" s="57"/>
      <c r="C85" s="112"/>
      <c r="D85" s="102"/>
      <c r="E85" s="73"/>
      <c r="F85" s="190">
        <f t="shared" si="22"/>
        <v>0</v>
      </c>
      <c r="G85" s="74"/>
      <c r="H85" s="235"/>
      <c r="I85" s="208">
        <f t="shared" si="23"/>
        <v>0</v>
      </c>
      <c r="J85" s="257"/>
      <c r="K85" s="235"/>
      <c r="L85" s="208">
        <f t="shared" si="24"/>
        <v>0</v>
      </c>
      <c r="M85" s="257"/>
      <c r="N85" s="235"/>
      <c r="O85" s="208">
        <f t="shared" si="25"/>
        <v>0</v>
      </c>
      <c r="P85" s="292"/>
      <c r="Q85" s="167">
        <f>O85+P85</f>
        <v>0</v>
      </c>
    </row>
    <row r="86" spans="1:17" ht="12.75">
      <c r="A86" s="20" t="s">
        <v>189</v>
      </c>
      <c r="B86" s="57"/>
      <c r="C86" s="112">
        <v>61388</v>
      </c>
      <c r="D86" s="102"/>
      <c r="E86" s="73"/>
      <c r="F86" s="190">
        <f t="shared" si="22"/>
        <v>61388</v>
      </c>
      <c r="G86" s="74"/>
      <c r="H86" s="235"/>
      <c r="I86" s="208">
        <f t="shared" si="23"/>
        <v>61388</v>
      </c>
      <c r="J86" s="257"/>
      <c r="K86" s="235"/>
      <c r="L86" s="208">
        <f t="shared" si="24"/>
        <v>61388</v>
      </c>
      <c r="M86" s="257"/>
      <c r="N86" s="235"/>
      <c r="O86" s="208">
        <f t="shared" si="25"/>
        <v>61388</v>
      </c>
      <c r="P86" s="292"/>
      <c r="Q86" s="167">
        <f>O86+P86</f>
        <v>61388</v>
      </c>
    </row>
    <row r="87" spans="1:18" ht="12.75">
      <c r="A87" s="96" t="s">
        <v>350</v>
      </c>
      <c r="B87" s="57">
        <v>90002</v>
      </c>
      <c r="C87" s="112"/>
      <c r="D87" s="102"/>
      <c r="E87" s="73"/>
      <c r="F87" s="190">
        <f t="shared" si="22"/>
        <v>0</v>
      </c>
      <c r="G87" s="74"/>
      <c r="H87" s="235"/>
      <c r="I87" s="208">
        <f t="shared" si="23"/>
        <v>0</v>
      </c>
      <c r="J87" s="257">
        <f>361.67</f>
        <v>361.67</v>
      </c>
      <c r="K87" s="235"/>
      <c r="L87" s="208">
        <f t="shared" si="24"/>
        <v>361.67</v>
      </c>
      <c r="M87" s="257"/>
      <c r="N87" s="235"/>
      <c r="O87" s="208">
        <f t="shared" si="25"/>
        <v>361.67</v>
      </c>
      <c r="P87" s="292"/>
      <c r="Q87" s="167"/>
      <c r="R87" s="45"/>
    </row>
    <row r="88" spans="1:17" ht="12.75" hidden="1">
      <c r="A88" s="16" t="s">
        <v>71</v>
      </c>
      <c r="B88" s="57"/>
      <c r="C88" s="112"/>
      <c r="D88" s="102"/>
      <c r="E88" s="73"/>
      <c r="F88" s="190">
        <f t="shared" si="22"/>
        <v>0</v>
      </c>
      <c r="G88" s="74"/>
      <c r="H88" s="235"/>
      <c r="I88" s="208">
        <f t="shared" si="23"/>
        <v>0</v>
      </c>
      <c r="J88" s="257"/>
      <c r="K88" s="235"/>
      <c r="L88" s="208">
        <f t="shared" si="24"/>
        <v>0</v>
      </c>
      <c r="M88" s="257"/>
      <c r="N88" s="235"/>
      <c r="O88" s="208">
        <f t="shared" si="25"/>
        <v>0</v>
      </c>
      <c r="P88" s="292"/>
      <c r="Q88" s="167">
        <f>O88+P88</f>
        <v>0</v>
      </c>
    </row>
    <row r="89" spans="1:17" ht="13.5" thickBot="1">
      <c r="A89" s="299" t="s">
        <v>63</v>
      </c>
      <c r="B89" s="300"/>
      <c r="C89" s="301"/>
      <c r="D89" s="302">
        <f>2652.21</f>
        <v>2652.21</v>
      </c>
      <c r="E89" s="303"/>
      <c r="F89" s="304">
        <f t="shared" si="22"/>
        <v>2652.21</v>
      </c>
      <c r="G89" s="305"/>
      <c r="H89" s="306">
        <f>5000</f>
        <v>5000</v>
      </c>
      <c r="I89" s="307">
        <f t="shared" si="23"/>
        <v>7652.21</v>
      </c>
      <c r="J89" s="308"/>
      <c r="K89" s="306"/>
      <c r="L89" s="307">
        <f t="shared" si="24"/>
        <v>7652.21</v>
      </c>
      <c r="M89" s="308"/>
      <c r="N89" s="306"/>
      <c r="O89" s="307">
        <f t="shared" si="25"/>
        <v>7652.21</v>
      </c>
      <c r="P89" s="292"/>
      <c r="Q89" s="167">
        <f>O89+P89</f>
        <v>7652.21</v>
      </c>
    </row>
    <row r="90" spans="1:17" ht="12.75">
      <c r="A90" s="23" t="s">
        <v>52</v>
      </c>
      <c r="B90" s="61"/>
      <c r="C90" s="116">
        <f>SUM(C92:C98)</f>
        <v>43000</v>
      </c>
      <c r="D90" s="106">
        <f aca="true" t="shared" si="26" ref="D90:Q90">SUM(D92:D98)</f>
        <v>44148.35</v>
      </c>
      <c r="E90" s="83">
        <f t="shared" si="26"/>
        <v>0</v>
      </c>
      <c r="F90" s="194">
        <f t="shared" si="26"/>
        <v>87148.35</v>
      </c>
      <c r="G90" s="82">
        <f t="shared" si="26"/>
        <v>9460.46</v>
      </c>
      <c r="H90" s="240">
        <f t="shared" si="26"/>
        <v>23805.33</v>
      </c>
      <c r="I90" s="212">
        <f t="shared" si="26"/>
        <v>120414.13999999998</v>
      </c>
      <c r="J90" s="263">
        <f t="shared" si="26"/>
        <v>8209</v>
      </c>
      <c r="K90" s="240">
        <f t="shared" si="26"/>
        <v>0</v>
      </c>
      <c r="L90" s="212">
        <f t="shared" si="26"/>
        <v>128623.13999999998</v>
      </c>
      <c r="M90" s="263">
        <f t="shared" si="26"/>
        <v>0</v>
      </c>
      <c r="N90" s="240">
        <f t="shared" si="26"/>
        <v>0</v>
      </c>
      <c r="O90" s="212">
        <f t="shared" si="26"/>
        <v>128623.13999999998</v>
      </c>
      <c r="P90" s="106">
        <f t="shared" si="26"/>
        <v>0</v>
      </c>
      <c r="Q90" s="155">
        <f t="shared" si="26"/>
        <v>128623.13999999998</v>
      </c>
    </row>
    <row r="91" spans="1:17" ht="12.75">
      <c r="A91" s="14" t="s">
        <v>26</v>
      </c>
      <c r="B91" s="57"/>
      <c r="C91" s="113"/>
      <c r="D91" s="103"/>
      <c r="E91" s="76"/>
      <c r="F91" s="191"/>
      <c r="G91" s="75"/>
      <c r="H91" s="237"/>
      <c r="I91" s="209"/>
      <c r="J91" s="259"/>
      <c r="K91" s="237"/>
      <c r="L91" s="209"/>
      <c r="M91" s="259"/>
      <c r="N91" s="237"/>
      <c r="O91" s="209"/>
      <c r="P91" s="292"/>
      <c r="Q91" s="167"/>
    </row>
    <row r="92" spans="1:17" ht="12.75">
      <c r="A92" s="58" t="s">
        <v>261</v>
      </c>
      <c r="B92" s="57"/>
      <c r="C92" s="112"/>
      <c r="D92" s="102">
        <f>1838.82</f>
        <v>1838.82</v>
      </c>
      <c r="E92" s="73"/>
      <c r="F92" s="132">
        <f aca="true" t="shared" si="27" ref="F92:F98">C92+D92+E92</f>
        <v>1838.82</v>
      </c>
      <c r="G92" s="74">
        <f>9460.46</f>
        <v>9460.46</v>
      </c>
      <c r="H92" s="235">
        <f>10751.43</f>
        <v>10751.43</v>
      </c>
      <c r="I92" s="208">
        <f>F92+G92+H92</f>
        <v>22050.71</v>
      </c>
      <c r="J92" s="257">
        <f>8209</f>
        <v>8209</v>
      </c>
      <c r="K92" s="235"/>
      <c r="L92" s="208">
        <f aca="true" t="shared" si="28" ref="L92:L98">I92+J92+K92</f>
        <v>30259.71</v>
      </c>
      <c r="M92" s="257"/>
      <c r="N92" s="235"/>
      <c r="O92" s="208">
        <f>L92+M92+N92</f>
        <v>30259.71</v>
      </c>
      <c r="P92" s="292"/>
      <c r="Q92" s="167">
        <f aca="true" t="shared" si="29" ref="Q92:Q98">O92+P92</f>
        <v>30259.71</v>
      </c>
    </row>
    <row r="93" spans="1:17" ht="12.75">
      <c r="A93" s="20" t="s">
        <v>219</v>
      </c>
      <c r="B93" s="57"/>
      <c r="C93" s="112">
        <v>10000</v>
      </c>
      <c r="D93" s="102">
        <f>19000</f>
        <v>19000</v>
      </c>
      <c r="E93" s="73"/>
      <c r="F93" s="190">
        <f t="shared" si="27"/>
        <v>29000</v>
      </c>
      <c r="G93" s="74"/>
      <c r="H93" s="235"/>
      <c r="I93" s="208">
        <f aca="true" t="shared" si="30" ref="I93:I98">F93+G93+H93</f>
        <v>29000</v>
      </c>
      <c r="J93" s="257"/>
      <c r="K93" s="235"/>
      <c r="L93" s="208">
        <f t="shared" si="28"/>
        <v>29000</v>
      </c>
      <c r="M93" s="257"/>
      <c r="N93" s="235"/>
      <c r="O93" s="208">
        <f aca="true" t="shared" si="31" ref="O93:O98">L93+M93+N93</f>
        <v>29000</v>
      </c>
      <c r="P93" s="292"/>
      <c r="Q93" s="167">
        <f t="shared" si="29"/>
        <v>29000</v>
      </c>
    </row>
    <row r="94" spans="1:17" ht="12.75" hidden="1">
      <c r="A94" s="15" t="s">
        <v>53</v>
      </c>
      <c r="B94" s="57"/>
      <c r="C94" s="112"/>
      <c r="D94" s="102"/>
      <c r="E94" s="73"/>
      <c r="F94" s="190">
        <f t="shared" si="27"/>
        <v>0</v>
      </c>
      <c r="G94" s="74"/>
      <c r="H94" s="235"/>
      <c r="I94" s="208">
        <f t="shared" si="30"/>
        <v>0</v>
      </c>
      <c r="J94" s="257"/>
      <c r="K94" s="235"/>
      <c r="L94" s="208">
        <f t="shared" si="28"/>
        <v>0</v>
      </c>
      <c r="M94" s="257"/>
      <c r="N94" s="235"/>
      <c r="O94" s="208">
        <f t="shared" si="31"/>
        <v>0</v>
      </c>
      <c r="P94" s="292"/>
      <c r="Q94" s="167">
        <f t="shared" si="29"/>
        <v>0</v>
      </c>
    </row>
    <row r="95" spans="1:17" ht="12.75" hidden="1">
      <c r="A95" s="16" t="s">
        <v>188</v>
      </c>
      <c r="B95" s="57"/>
      <c r="C95" s="112"/>
      <c r="D95" s="102"/>
      <c r="E95" s="73"/>
      <c r="F95" s="190">
        <f t="shared" si="27"/>
        <v>0</v>
      </c>
      <c r="G95" s="74"/>
      <c r="H95" s="235"/>
      <c r="I95" s="208">
        <f t="shared" si="30"/>
        <v>0</v>
      </c>
      <c r="J95" s="257"/>
      <c r="K95" s="235"/>
      <c r="L95" s="208">
        <f t="shared" si="28"/>
        <v>0</v>
      </c>
      <c r="M95" s="257"/>
      <c r="N95" s="235"/>
      <c r="O95" s="208">
        <f t="shared" si="31"/>
        <v>0</v>
      </c>
      <c r="P95" s="292"/>
      <c r="Q95" s="167">
        <f t="shared" si="29"/>
        <v>0</v>
      </c>
    </row>
    <row r="96" spans="1:17" ht="12.75" hidden="1">
      <c r="A96" s="16" t="s">
        <v>71</v>
      </c>
      <c r="B96" s="57"/>
      <c r="C96" s="112"/>
      <c r="D96" s="102"/>
      <c r="E96" s="73"/>
      <c r="F96" s="190">
        <f t="shared" si="27"/>
        <v>0</v>
      </c>
      <c r="G96" s="74"/>
      <c r="H96" s="235"/>
      <c r="I96" s="208">
        <f t="shared" si="30"/>
        <v>0</v>
      </c>
      <c r="J96" s="257"/>
      <c r="K96" s="235"/>
      <c r="L96" s="208">
        <f t="shared" si="28"/>
        <v>0</v>
      </c>
      <c r="M96" s="257"/>
      <c r="N96" s="235"/>
      <c r="O96" s="208">
        <f t="shared" si="31"/>
        <v>0</v>
      </c>
      <c r="P96" s="292"/>
      <c r="Q96" s="167">
        <f t="shared" si="29"/>
        <v>0</v>
      </c>
    </row>
    <row r="97" spans="1:17" ht="12.75">
      <c r="A97" s="16" t="s">
        <v>224</v>
      </c>
      <c r="B97" s="57"/>
      <c r="C97" s="112">
        <v>3000</v>
      </c>
      <c r="D97" s="102"/>
      <c r="E97" s="73"/>
      <c r="F97" s="190">
        <f t="shared" si="27"/>
        <v>3000</v>
      </c>
      <c r="G97" s="74"/>
      <c r="H97" s="235"/>
      <c r="I97" s="208">
        <f t="shared" si="30"/>
        <v>3000</v>
      </c>
      <c r="J97" s="257"/>
      <c r="K97" s="235"/>
      <c r="L97" s="208">
        <f t="shared" si="28"/>
        <v>3000</v>
      </c>
      <c r="M97" s="257"/>
      <c r="N97" s="235"/>
      <c r="O97" s="208">
        <f t="shared" si="31"/>
        <v>3000</v>
      </c>
      <c r="P97" s="292"/>
      <c r="Q97" s="167">
        <f t="shared" si="29"/>
        <v>3000</v>
      </c>
    </row>
    <row r="98" spans="1:17" ht="12.75">
      <c r="A98" s="24" t="s">
        <v>63</v>
      </c>
      <c r="B98" s="60"/>
      <c r="C98" s="181">
        <v>30000</v>
      </c>
      <c r="D98" s="172">
        <f>23309.53</f>
        <v>23309.53</v>
      </c>
      <c r="E98" s="81"/>
      <c r="F98" s="195">
        <f t="shared" si="27"/>
        <v>53309.53</v>
      </c>
      <c r="G98" s="226"/>
      <c r="H98" s="241">
        <f>18053.9-5000</f>
        <v>13053.900000000001</v>
      </c>
      <c r="I98" s="213">
        <f t="shared" si="30"/>
        <v>66363.43</v>
      </c>
      <c r="J98" s="264"/>
      <c r="K98" s="241"/>
      <c r="L98" s="213">
        <f t="shared" si="28"/>
        <v>66363.43</v>
      </c>
      <c r="M98" s="264"/>
      <c r="N98" s="241"/>
      <c r="O98" s="213">
        <f t="shared" si="31"/>
        <v>66363.43</v>
      </c>
      <c r="P98" s="295"/>
      <c r="Q98" s="168">
        <f t="shared" si="29"/>
        <v>66363.43</v>
      </c>
    </row>
    <row r="99" spans="1:17" ht="12.75">
      <c r="A99" s="13" t="s">
        <v>285</v>
      </c>
      <c r="B99" s="61"/>
      <c r="C99" s="111">
        <f>C100+C104</f>
        <v>29374.5</v>
      </c>
      <c r="D99" s="92">
        <f aca="true" t="shared" si="32" ref="D99:Q99">D100+D104</f>
        <v>31250.47</v>
      </c>
      <c r="E99" s="72">
        <f t="shared" si="32"/>
        <v>0</v>
      </c>
      <c r="F99" s="189">
        <f t="shared" si="32"/>
        <v>60624.97</v>
      </c>
      <c r="G99" s="71">
        <f t="shared" si="32"/>
        <v>98553.74</v>
      </c>
      <c r="H99" s="234">
        <f t="shared" si="32"/>
        <v>0</v>
      </c>
      <c r="I99" s="207">
        <f t="shared" si="32"/>
        <v>159178.71000000002</v>
      </c>
      <c r="J99" s="256">
        <f t="shared" si="32"/>
        <v>103486.62</v>
      </c>
      <c r="K99" s="234">
        <f t="shared" si="32"/>
        <v>0</v>
      </c>
      <c r="L99" s="207">
        <f t="shared" si="32"/>
        <v>262665.32999999996</v>
      </c>
      <c r="M99" s="256">
        <f t="shared" si="32"/>
        <v>0</v>
      </c>
      <c r="N99" s="234">
        <f t="shared" si="32"/>
        <v>0</v>
      </c>
      <c r="O99" s="207">
        <f t="shared" si="32"/>
        <v>262665.32999999996</v>
      </c>
      <c r="P99" s="92">
        <f t="shared" si="32"/>
        <v>0</v>
      </c>
      <c r="Q99" s="150">
        <f t="shared" si="32"/>
        <v>262060.28999999998</v>
      </c>
    </row>
    <row r="100" spans="1:18" ht="12.75">
      <c r="A100" s="22" t="s">
        <v>48</v>
      </c>
      <c r="B100" s="61"/>
      <c r="C100" s="115">
        <f>SUM(C102:C103)</f>
        <v>29374.5</v>
      </c>
      <c r="D100" s="105">
        <f>SUM(D102:D103)</f>
        <v>10212.91</v>
      </c>
      <c r="E100" s="80">
        <f>SUM(E102:E102)</f>
        <v>0</v>
      </c>
      <c r="F100" s="193">
        <f aca="true" t="shared" si="33" ref="F100:L100">SUM(F102:F103)</f>
        <v>39587.41</v>
      </c>
      <c r="G100" s="79">
        <f t="shared" si="33"/>
        <v>0</v>
      </c>
      <c r="H100" s="239">
        <f t="shared" si="33"/>
        <v>0</v>
      </c>
      <c r="I100" s="211">
        <f t="shared" si="33"/>
        <v>39587.41</v>
      </c>
      <c r="J100" s="262">
        <f t="shared" si="33"/>
        <v>54.5</v>
      </c>
      <c r="K100" s="239">
        <f t="shared" si="33"/>
        <v>0</v>
      </c>
      <c r="L100" s="254">
        <f t="shared" si="33"/>
        <v>39641.91</v>
      </c>
      <c r="M100" s="262">
        <f>SUM(M102:M103)</f>
        <v>0</v>
      </c>
      <c r="N100" s="239">
        <f>SUM(N102:N103)</f>
        <v>0</v>
      </c>
      <c r="O100" s="211">
        <f>SUM(O102:O103)</f>
        <v>39641.91</v>
      </c>
      <c r="P100" s="105">
        <f>SUM(P102:P102)</f>
        <v>0</v>
      </c>
      <c r="Q100" s="154">
        <f>SUM(Q102:Q102)</f>
        <v>39036.87</v>
      </c>
      <c r="R100" s="284"/>
    </row>
    <row r="101" spans="1:17" ht="12.75">
      <c r="A101" s="18" t="s">
        <v>26</v>
      </c>
      <c r="B101" s="57"/>
      <c r="C101" s="112"/>
      <c r="D101" s="102"/>
      <c r="E101" s="73"/>
      <c r="F101" s="190"/>
      <c r="G101" s="74"/>
      <c r="H101" s="235"/>
      <c r="I101" s="208"/>
      <c r="J101" s="257"/>
      <c r="K101" s="235"/>
      <c r="L101" s="208"/>
      <c r="M101" s="257"/>
      <c r="N101" s="235"/>
      <c r="O101" s="208"/>
      <c r="P101" s="292"/>
      <c r="Q101" s="167"/>
    </row>
    <row r="102" spans="1:17" ht="12.75">
      <c r="A102" s="16" t="s">
        <v>50</v>
      </c>
      <c r="B102" s="57"/>
      <c r="C102" s="112">
        <v>29374.5</v>
      </c>
      <c r="D102" s="102">
        <f>9662.37</f>
        <v>9662.37</v>
      </c>
      <c r="E102" s="73"/>
      <c r="F102" s="190">
        <f>C102+D102+E102</f>
        <v>39036.87</v>
      </c>
      <c r="G102" s="74"/>
      <c r="H102" s="235"/>
      <c r="I102" s="208">
        <f>F102+G102+H102</f>
        <v>39036.87</v>
      </c>
      <c r="J102" s="257"/>
      <c r="K102" s="235"/>
      <c r="L102" s="208">
        <f>I102+J102+K102</f>
        <v>39036.87</v>
      </c>
      <c r="M102" s="257"/>
      <c r="N102" s="235"/>
      <c r="O102" s="208">
        <f>L102+M102+N102</f>
        <v>39036.87</v>
      </c>
      <c r="P102" s="292"/>
      <c r="Q102" s="167">
        <f>O102+P102</f>
        <v>39036.87</v>
      </c>
    </row>
    <row r="103" spans="1:17" ht="12.75">
      <c r="A103" s="16" t="s">
        <v>71</v>
      </c>
      <c r="B103" s="57"/>
      <c r="C103" s="112"/>
      <c r="D103" s="102">
        <f>307.63+242.91</f>
        <v>550.54</v>
      </c>
      <c r="E103" s="73"/>
      <c r="F103" s="190">
        <f>C103+D103+E103</f>
        <v>550.54</v>
      </c>
      <c r="G103" s="74"/>
      <c r="H103" s="235"/>
      <c r="I103" s="208">
        <f>F103+G103+H103</f>
        <v>550.54</v>
      </c>
      <c r="J103" s="257">
        <f>54.5</f>
        <v>54.5</v>
      </c>
      <c r="K103" s="235"/>
      <c r="L103" s="208">
        <f>I103+J103+K103</f>
        <v>605.04</v>
      </c>
      <c r="M103" s="257"/>
      <c r="N103" s="235"/>
      <c r="O103" s="208">
        <f>L103+M103+N103</f>
        <v>605.04</v>
      </c>
      <c r="P103" s="292"/>
      <c r="Q103" s="167"/>
    </row>
    <row r="104" spans="1:17" ht="12.75">
      <c r="A104" s="22" t="s">
        <v>52</v>
      </c>
      <c r="B104" s="61"/>
      <c r="C104" s="115">
        <f>C106+C107</f>
        <v>0</v>
      </c>
      <c r="D104" s="105">
        <f>D106+D107</f>
        <v>21037.56</v>
      </c>
      <c r="E104" s="80">
        <f aca="true" t="shared" si="34" ref="E104:Q104">E107</f>
        <v>0</v>
      </c>
      <c r="F104" s="193">
        <f>F106+F107</f>
        <v>21037.56</v>
      </c>
      <c r="G104" s="79">
        <f t="shared" si="34"/>
        <v>98553.74</v>
      </c>
      <c r="H104" s="239">
        <f t="shared" si="34"/>
        <v>0</v>
      </c>
      <c r="I104" s="211">
        <f t="shared" si="34"/>
        <v>119591.3</v>
      </c>
      <c r="J104" s="262">
        <f t="shared" si="34"/>
        <v>103432.12</v>
      </c>
      <c r="K104" s="239">
        <f t="shared" si="34"/>
        <v>0</v>
      </c>
      <c r="L104" s="211">
        <f t="shared" si="34"/>
        <v>223023.41999999998</v>
      </c>
      <c r="M104" s="262">
        <f t="shared" si="34"/>
        <v>0</v>
      </c>
      <c r="N104" s="239">
        <f t="shared" si="34"/>
        <v>0</v>
      </c>
      <c r="O104" s="211">
        <f t="shared" si="34"/>
        <v>223023.41999999998</v>
      </c>
      <c r="P104" s="105">
        <f t="shared" si="34"/>
        <v>0</v>
      </c>
      <c r="Q104" s="154">
        <f t="shared" si="34"/>
        <v>223023.41999999998</v>
      </c>
    </row>
    <row r="105" spans="1:17" ht="12.75">
      <c r="A105" s="18" t="s">
        <v>26</v>
      </c>
      <c r="B105" s="57"/>
      <c r="C105" s="112"/>
      <c r="D105" s="102"/>
      <c r="E105" s="73"/>
      <c r="F105" s="190"/>
      <c r="G105" s="74"/>
      <c r="H105" s="235"/>
      <c r="I105" s="208"/>
      <c r="J105" s="257"/>
      <c r="K105" s="235"/>
      <c r="L105" s="208"/>
      <c r="M105" s="257"/>
      <c r="N105" s="235"/>
      <c r="O105" s="208"/>
      <c r="P105" s="292"/>
      <c r="Q105" s="167"/>
    </row>
    <row r="106" spans="1:17" ht="12.75" hidden="1">
      <c r="A106" s="55" t="s">
        <v>53</v>
      </c>
      <c r="B106" s="57"/>
      <c r="C106" s="112"/>
      <c r="D106" s="102"/>
      <c r="E106" s="73"/>
      <c r="F106" s="190">
        <f>C106+D106+E106</f>
        <v>0</v>
      </c>
      <c r="G106" s="74"/>
      <c r="H106" s="235"/>
      <c r="I106" s="208"/>
      <c r="J106" s="257"/>
      <c r="K106" s="235"/>
      <c r="L106" s="208"/>
      <c r="M106" s="257"/>
      <c r="N106" s="235"/>
      <c r="O106" s="208"/>
      <c r="P106" s="292"/>
      <c r="Q106" s="167"/>
    </row>
    <row r="107" spans="1:17" ht="12.75">
      <c r="A107" s="110" t="s">
        <v>72</v>
      </c>
      <c r="B107" s="60"/>
      <c r="C107" s="181"/>
      <c r="D107" s="172">
        <f>17763.45+3274.11</f>
        <v>21037.56</v>
      </c>
      <c r="E107" s="81"/>
      <c r="F107" s="195">
        <f>C107+D107+E107</f>
        <v>21037.56</v>
      </c>
      <c r="G107" s="226">
        <f>354.05+97499.58+700.11</f>
        <v>98553.74</v>
      </c>
      <c r="H107" s="241"/>
      <c r="I107" s="213">
        <f>F107+G107+H107</f>
        <v>119591.3</v>
      </c>
      <c r="J107" s="264">
        <f>4911.16+706.76+89628.93+8185.27</f>
        <v>103432.12</v>
      </c>
      <c r="K107" s="241"/>
      <c r="L107" s="213">
        <f>I107+J107+K107</f>
        <v>223023.41999999998</v>
      </c>
      <c r="M107" s="264"/>
      <c r="N107" s="241"/>
      <c r="O107" s="213">
        <f>L107+M107+N107</f>
        <v>223023.41999999998</v>
      </c>
      <c r="P107" s="295"/>
      <c r="Q107" s="168">
        <f>O107+P107</f>
        <v>223023.41999999998</v>
      </c>
    </row>
    <row r="108" spans="1:17" ht="12.75">
      <c r="A108" s="17" t="s">
        <v>65</v>
      </c>
      <c r="B108" s="61"/>
      <c r="C108" s="113">
        <f aca="true" t="shared" si="35" ref="C108:Q108">C109+C115</f>
        <v>10901.86</v>
      </c>
      <c r="D108" s="103">
        <f t="shared" si="35"/>
        <v>3798</v>
      </c>
      <c r="E108" s="76">
        <f t="shared" si="35"/>
        <v>0</v>
      </c>
      <c r="F108" s="191">
        <f t="shared" si="35"/>
        <v>14699.86</v>
      </c>
      <c r="G108" s="75">
        <f t="shared" si="35"/>
        <v>797.04</v>
      </c>
      <c r="H108" s="237">
        <f t="shared" si="35"/>
        <v>0</v>
      </c>
      <c r="I108" s="209">
        <f t="shared" si="35"/>
        <v>15496.900000000001</v>
      </c>
      <c r="J108" s="259">
        <f t="shared" si="35"/>
        <v>-109.5</v>
      </c>
      <c r="K108" s="237">
        <f t="shared" si="35"/>
        <v>0</v>
      </c>
      <c r="L108" s="209">
        <f t="shared" si="35"/>
        <v>15387.400000000001</v>
      </c>
      <c r="M108" s="259">
        <f t="shared" si="35"/>
        <v>0</v>
      </c>
      <c r="N108" s="237">
        <f t="shared" si="35"/>
        <v>0</v>
      </c>
      <c r="O108" s="209">
        <f t="shared" si="35"/>
        <v>15387.400000000001</v>
      </c>
      <c r="P108" s="103">
        <f t="shared" si="35"/>
        <v>0</v>
      </c>
      <c r="Q108" s="152">
        <f t="shared" si="35"/>
        <v>15387.400000000001</v>
      </c>
    </row>
    <row r="109" spans="1:17" ht="12.75">
      <c r="A109" s="22" t="s">
        <v>48</v>
      </c>
      <c r="B109" s="61"/>
      <c r="C109" s="115">
        <f aca="true" t="shared" si="36" ref="C109:Q109">SUM(C111:C114)</f>
        <v>10901.86</v>
      </c>
      <c r="D109" s="105">
        <f t="shared" si="36"/>
        <v>3798</v>
      </c>
      <c r="E109" s="80">
        <f t="shared" si="36"/>
        <v>0</v>
      </c>
      <c r="F109" s="193">
        <f t="shared" si="36"/>
        <v>14699.86</v>
      </c>
      <c r="G109" s="79">
        <f t="shared" si="36"/>
        <v>797.04</v>
      </c>
      <c r="H109" s="239">
        <f t="shared" si="36"/>
        <v>0</v>
      </c>
      <c r="I109" s="211">
        <f t="shared" si="36"/>
        <v>15496.900000000001</v>
      </c>
      <c r="J109" s="262">
        <f t="shared" si="36"/>
        <v>-109.5</v>
      </c>
      <c r="K109" s="239">
        <f t="shared" si="36"/>
        <v>0</v>
      </c>
      <c r="L109" s="211">
        <f t="shared" si="36"/>
        <v>15387.400000000001</v>
      </c>
      <c r="M109" s="262">
        <f t="shared" si="36"/>
        <v>0</v>
      </c>
      <c r="N109" s="239">
        <f t="shared" si="36"/>
        <v>0</v>
      </c>
      <c r="O109" s="211">
        <f t="shared" si="36"/>
        <v>15387.400000000001</v>
      </c>
      <c r="P109" s="105">
        <f t="shared" si="36"/>
        <v>0</v>
      </c>
      <c r="Q109" s="154">
        <f t="shared" si="36"/>
        <v>15387.400000000001</v>
      </c>
    </row>
    <row r="110" spans="1:17" ht="12.75">
      <c r="A110" s="18" t="s">
        <v>26</v>
      </c>
      <c r="B110" s="57"/>
      <c r="C110" s="112"/>
      <c r="D110" s="102"/>
      <c r="E110" s="73"/>
      <c r="F110" s="189"/>
      <c r="G110" s="74"/>
      <c r="H110" s="235"/>
      <c r="I110" s="207"/>
      <c r="J110" s="257"/>
      <c r="K110" s="235"/>
      <c r="L110" s="207"/>
      <c r="M110" s="257"/>
      <c r="N110" s="235"/>
      <c r="O110" s="207"/>
      <c r="P110" s="292"/>
      <c r="Q110" s="167"/>
    </row>
    <row r="111" spans="1:17" ht="12.75">
      <c r="A111" s="16" t="s">
        <v>50</v>
      </c>
      <c r="B111" s="57"/>
      <c r="C111" s="112">
        <v>10901.86</v>
      </c>
      <c r="D111" s="102">
        <f>-348+4146</f>
        <v>3798</v>
      </c>
      <c r="E111" s="73"/>
      <c r="F111" s="190">
        <f>C111+D111+E111</f>
        <v>14699.86</v>
      </c>
      <c r="G111" s="74"/>
      <c r="H111" s="235"/>
      <c r="I111" s="208">
        <f>SUM(F111:H111)</f>
        <v>14699.86</v>
      </c>
      <c r="J111" s="257">
        <f>-109.5</f>
        <v>-109.5</v>
      </c>
      <c r="K111" s="235"/>
      <c r="L111" s="208">
        <f>I111+J111+K111</f>
        <v>14590.36</v>
      </c>
      <c r="M111" s="257"/>
      <c r="N111" s="235"/>
      <c r="O111" s="208">
        <f>L111+M111+N111</f>
        <v>14590.36</v>
      </c>
      <c r="P111" s="292"/>
      <c r="Q111" s="167">
        <f>O111+P111</f>
        <v>14590.36</v>
      </c>
    </row>
    <row r="112" spans="1:17" ht="12.75">
      <c r="A112" s="26" t="s">
        <v>66</v>
      </c>
      <c r="B112" s="60">
        <v>33166</v>
      </c>
      <c r="C112" s="181"/>
      <c r="D112" s="172"/>
      <c r="E112" s="81"/>
      <c r="F112" s="195">
        <f>C112+D112+E112</f>
        <v>0</v>
      </c>
      <c r="G112" s="226">
        <f>797.04</f>
        <v>797.04</v>
      </c>
      <c r="H112" s="241"/>
      <c r="I112" s="213">
        <f>SUM(F112:H112)</f>
        <v>797.04</v>
      </c>
      <c r="J112" s="264"/>
      <c r="K112" s="241"/>
      <c r="L112" s="213">
        <f>I112+J112+K112</f>
        <v>797.04</v>
      </c>
      <c r="M112" s="264"/>
      <c r="N112" s="241"/>
      <c r="O112" s="213">
        <f>L112+M112+N112</f>
        <v>797.04</v>
      </c>
      <c r="P112" s="292"/>
      <c r="Q112" s="167">
        <f>O112+P112</f>
        <v>797.04</v>
      </c>
    </row>
    <row r="113" spans="1:17" ht="12.75" hidden="1">
      <c r="A113" s="20" t="s">
        <v>250</v>
      </c>
      <c r="B113" s="57">
        <v>33064</v>
      </c>
      <c r="C113" s="112"/>
      <c r="D113" s="102"/>
      <c r="E113" s="73"/>
      <c r="F113" s="190">
        <f>C113+D113+E113</f>
        <v>0</v>
      </c>
      <c r="G113" s="74"/>
      <c r="H113" s="235"/>
      <c r="I113" s="208">
        <f>SUM(F113:H113)</f>
        <v>0</v>
      </c>
      <c r="J113" s="257"/>
      <c r="K113" s="235"/>
      <c r="L113" s="208">
        <f>I113+J113+K113</f>
        <v>0</v>
      </c>
      <c r="M113" s="257"/>
      <c r="N113" s="235"/>
      <c r="O113" s="208">
        <f>L113+M113+N113</f>
        <v>0</v>
      </c>
      <c r="P113" s="292"/>
      <c r="Q113" s="167">
        <f>O113+P113</f>
        <v>0</v>
      </c>
    </row>
    <row r="114" spans="1:17" ht="12.75" hidden="1">
      <c r="A114" s="20" t="s">
        <v>62</v>
      </c>
      <c r="B114" s="57"/>
      <c r="C114" s="112"/>
      <c r="D114" s="102"/>
      <c r="E114" s="73"/>
      <c r="F114" s="190">
        <f>C114+D114+E114</f>
        <v>0</v>
      </c>
      <c r="G114" s="74"/>
      <c r="H114" s="235"/>
      <c r="I114" s="208">
        <f>SUM(F114:H114)</f>
        <v>0</v>
      </c>
      <c r="J114" s="257"/>
      <c r="K114" s="235"/>
      <c r="L114" s="208">
        <f>I114+J114+K114</f>
        <v>0</v>
      </c>
      <c r="M114" s="257"/>
      <c r="N114" s="235"/>
      <c r="O114" s="208">
        <f>L114+M114+N114</f>
        <v>0</v>
      </c>
      <c r="P114" s="292"/>
      <c r="Q114" s="167">
        <f>O114+P114</f>
        <v>0</v>
      </c>
    </row>
    <row r="115" spans="1:17" ht="12.75" hidden="1">
      <c r="A115" s="22" t="s">
        <v>52</v>
      </c>
      <c r="B115" s="61"/>
      <c r="C115" s="115">
        <f>C117</f>
        <v>0</v>
      </c>
      <c r="D115" s="105">
        <f aca="true" t="shared" si="37" ref="D115:Q115">D117</f>
        <v>0</v>
      </c>
      <c r="E115" s="80">
        <f t="shared" si="37"/>
        <v>0</v>
      </c>
      <c r="F115" s="193">
        <f t="shared" si="37"/>
        <v>0</v>
      </c>
      <c r="G115" s="79">
        <f t="shared" si="37"/>
        <v>0</v>
      </c>
      <c r="H115" s="239">
        <f t="shared" si="37"/>
        <v>0</v>
      </c>
      <c r="I115" s="211">
        <f t="shared" si="37"/>
        <v>0</v>
      </c>
      <c r="J115" s="262">
        <f t="shared" si="37"/>
        <v>0</v>
      </c>
      <c r="K115" s="239">
        <f t="shared" si="37"/>
        <v>0</v>
      </c>
      <c r="L115" s="211">
        <f t="shared" si="37"/>
        <v>0</v>
      </c>
      <c r="M115" s="262">
        <f t="shared" si="37"/>
        <v>0</v>
      </c>
      <c r="N115" s="239">
        <f t="shared" si="37"/>
        <v>0</v>
      </c>
      <c r="O115" s="211">
        <f t="shared" si="37"/>
        <v>0</v>
      </c>
      <c r="P115" s="105">
        <f t="shared" si="37"/>
        <v>0</v>
      </c>
      <c r="Q115" s="154">
        <f t="shared" si="37"/>
        <v>0</v>
      </c>
    </row>
    <row r="116" spans="1:17" ht="12.75" hidden="1">
      <c r="A116" s="18" t="s">
        <v>26</v>
      </c>
      <c r="B116" s="57"/>
      <c r="C116" s="112"/>
      <c r="D116" s="102"/>
      <c r="E116" s="73"/>
      <c r="F116" s="189"/>
      <c r="G116" s="74"/>
      <c r="H116" s="235"/>
      <c r="I116" s="207"/>
      <c r="J116" s="257"/>
      <c r="K116" s="235"/>
      <c r="L116" s="207"/>
      <c r="M116" s="257"/>
      <c r="N116" s="235"/>
      <c r="O116" s="207"/>
      <c r="P116" s="292"/>
      <c r="Q116" s="167"/>
    </row>
    <row r="117" spans="1:17" ht="12.75" hidden="1">
      <c r="A117" s="19" t="s">
        <v>153</v>
      </c>
      <c r="B117" s="60"/>
      <c r="C117" s="181"/>
      <c r="D117" s="172"/>
      <c r="E117" s="81"/>
      <c r="F117" s="195">
        <f>C117+D117+E117</f>
        <v>0</v>
      </c>
      <c r="G117" s="226"/>
      <c r="H117" s="241"/>
      <c r="I117" s="213">
        <f>SUM(F117:H117)</f>
        <v>0</v>
      </c>
      <c r="J117" s="264"/>
      <c r="K117" s="241"/>
      <c r="L117" s="213">
        <f>I117+J117+K117</f>
        <v>0</v>
      </c>
      <c r="M117" s="264"/>
      <c r="N117" s="241"/>
      <c r="O117" s="213">
        <f>L117+M117+N117</f>
        <v>0</v>
      </c>
      <c r="P117" s="295"/>
      <c r="Q117" s="168">
        <f>O117+P117</f>
        <v>0</v>
      </c>
    </row>
    <row r="118" spans="1:17" ht="12.75">
      <c r="A118" s="13" t="s">
        <v>67</v>
      </c>
      <c r="B118" s="61"/>
      <c r="C118" s="111">
        <f>C119+C131</f>
        <v>1735440</v>
      </c>
      <c r="D118" s="92">
        <f aca="true" t="shared" si="38" ref="D118:Q118">D119+D131</f>
        <v>33583.46</v>
      </c>
      <c r="E118" s="72">
        <f t="shared" si="38"/>
        <v>0</v>
      </c>
      <c r="F118" s="189">
        <f t="shared" si="38"/>
        <v>1769023.46</v>
      </c>
      <c r="G118" s="71">
        <f t="shared" si="38"/>
        <v>337447.68000000005</v>
      </c>
      <c r="H118" s="234">
        <f t="shared" si="38"/>
        <v>0</v>
      </c>
      <c r="I118" s="207">
        <f t="shared" si="38"/>
        <v>2106471.14</v>
      </c>
      <c r="J118" s="256">
        <f t="shared" si="38"/>
        <v>233149.63999999998</v>
      </c>
      <c r="K118" s="234">
        <f t="shared" si="38"/>
        <v>0</v>
      </c>
      <c r="L118" s="207">
        <f t="shared" si="38"/>
        <v>2339620.78</v>
      </c>
      <c r="M118" s="256">
        <f t="shared" si="38"/>
        <v>2504.7700000000004</v>
      </c>
      <c r="N118" s="234">
        <f t="shared" si="38"/>
        <v>0</v>
      </c>
      <c r="O118" s="207">
        <f t="shared" si="38"/>
        <v>2342125.55</v>
      </c>
      <c r="P118" s="92">
        <f t="shared" si="38"/>
        <v>0</v>
      </c>
      <c r="Q118" s="150">
        <f t="shared" si="38"/>
        <v>2342125.55</v>
      </c>
    </row>
    <row r="119" spans="1:17" ht="12.75">
      <c r="A119" s="22" t="s">
        <v>48</v>
      </c>
      <c r="B119" s="61"/>
      <c r="C119" s="115">
        <f>SUM(C122:C130)</f>
        <v>1725440</v>
      </c>
      <c r="D119" s="105">
        <f aca="true" t="shared" si="39" ref="D119:Q119">SUM(D122:D130)</f>
        <v>41583.46</v>
      </c>
      <c r="E119" s="80">
        <f t="shared" si="39"/>
        <v>0</v>
      </c>
      <c r="F119" s="193">
        <f t="shared" si="39"/>
        <v>1767023.46</v>
      </c>
      <c r="G119" s="79">
        <f t="shared" si="39"/>
        <v>337447.68000000005</v>
      </c>
      <c r="H119" s="239">
        <f t="shared" si="39"/>
        <v>0</v>
      </c>
      <c r="I119" s="211">
        <f t="shared" si="39"/>
        <v>2104471.14</v>
      </c>
      <c r="J119" s="262">
        <f t="shared" si="39"/>
        <v>233149.63999999998</v>
      </c>
      <c r="K119" s="239">
        <f t="shared" si="39"/>
        <v>0</v>
      </c>
      <c r="L119" s="211">
        <f t="shared" si="39"/>
        <v>2337620.78</v>
      </c>
      <c r="M119" s="262">
        <f t="shared" si="39"/>
        <v>2504.7700000000004</v>
      </c>
      <c r="N119" s="239">
        <f t="shared" si="39"/>
        <v>0</v>
      </c>
      <c r="O119" s="211">
        <f t="shared" si="39"/>
        <v>2340125.55</v>
      </c>
      <c r="P119" s="105">
        <f t="shared" si="39"/>
        <v>0</v>
      </c>
      <c r="Q119" s="154">
        <f t="shared" si="39"/>
        <v>2340125.55</v>
      </c>
    </row>
    <row r="120" spans="1:17" ht="12.75">
      <c r="A120" s="18" t="s">
        <v>26</v>
      </c>
      <c r="B120" s="57"/>
      <c r="C120" s="112"/>
      <c r="D120" s="102"/>
      <c r="E120" s="73"/>
      <c r="F120" s="189"/>
      <c r="G120" s="74"/>
      <c r="H120" s="235"/>
      <c r="I120" s="207"/>
      <c r="J120" s="257"/>
      <c r="K120" s="235"/>
      <c r="L120" s="207"/>
      <c r="M120" s="257"/>
      <c r="N120" s="235"/>
      <c r="O120" s="207"/>
      <c r="P120" s="292"/>
      <c r="Q120" s="167"/>
    </row>
    <row r="121" spans="1:17" ht="12.75">
      <c r="A121" s="20" t="s">
        <v>269</v>
      </c>
      <c r="B121" s="57"/>
      <c r="C121" s="112">
        <f>C122+C123</f>
        <v>1127000</v>
      </c>
      <c r="D121" s="102">
        <f aca="true" t="shared" si="40" ref="D121:Q121">D122+D123</f>
        <v>29104.66</v>
      </c>
      <c r="E121" s="73">
        <f t="shared" si="40"/>
        <v>0</v>
      </c>
      <c r="F121" s="190">
        <f t="shared" si="40"/>
        <v>1156104.66</v>
      </c>
      <c r="G121" s="74">
        <f t="shared" si="40"/>
        <v>30843.400000000005</v>
      </c>
      <c r="H121" s="235">
        <f t="shared" si="40"/>
        <v>0</v>
      </c>
      <c r="I121" s="208">
        <f t="shared" si="40"/>
        <v>1186948.06</v>
      </c>
      <c r="J121" s="257">
        <f t="shared" si="40"/>
        <v>6236.93</v>
      </c>
      <c r="K121" s="235">
        <f t="shared" si="40"/>
        <v>0</v>
      </c>
      <c r="L121" s="208">
        <f t="shared" si="40"/>
        <v>1193184.9899999998</v>
      </c>
      <c r="M121" s="257">
        <f t="shared" si="40"/>
        <v>1381.6000000000001</v>
      </c>
      <c r="N121" s="235">
        <f t="shared" si="40"/>
        <v>0</v>
      </c>
      <c r="O121" s="208">
        <f t="shared" si="40"/>
        <v>1194566.5899999999</v>
      </c>
      <c r="P121" s="102">
        <f t="shared" si="40"/>
        <v>0</v>
      </c>
      <c r="Q121" s="151">
        <f t="shared" si="40"/>
        <v>1194566.5899999999</v>
      </c>
    </row>
    <row r="122" spans="1:17" ht="12.75">
      <c r="A122" s="20" t="s">
        <v>270</v>
      </c>
      <c r="B122" s="57"/>
      <c r="C122" s="112">
        <v>566000</v>
      </c>
      <c r="D122" s="142">
        <f>22080.22+36.94+5.96+155.2+863.64-4000</f>
        <v>19141.96</v>
      </c>
      <c r="E122" s="73"/>
      <c r="F122" s="190">
        <f aca="true" t="shared" si="41" ref="F122:F130">C122+D122+E122</f>
        <v>585141.96</v>
      </c>
      <c r="G122" s="74">
        <f>-3052.45+13.4+2092.34+6.68</f>
        <v>-940.0299999999996</v>
      </c>
      <c r="H122" s="242"/>
      <c r="I122" s="208">
        <f aca="true" t="shared" si="42" ref="I122:I130">F122+G122+H122</f>
        <v>584201.9299999999</v>
      </c>
      <c r="J122" s="257">
        <f>8.66+344.06-16000-10500+31</f>
        <v>-26116.28</v>
      </c>
      <c r="K122" s="235"/>
      <c r="L122" s="208">
        <f aca="true" t="shared" si="43" ref="L122:L130">I122+J122+K122</f>
        <v>558085.6499999999</v>
      </c>
      <c r="M122" s="257">
        <f>10.19+165+44.34</f>
        <v>219.53</v>
      </c>
      <c r="N122" s="235"/>
      <c r="O122" s="208">
        <f aca="true" t="shared" si="44" ref="O122:O130">L122+M122+N122</f>
        <v>558305.1799999999</v>
      </c>
      <c r="P122" s="292"/>
      <c r="Q122" s="167">
        <f aca="true" t="shared" si="45" ref="Q122:Q130">O122+P122</f>
        <v>558305.1799999999</v>
      </c>
    </row>
    <row r="123" spans="1:17" ht="12.75">
      <c r="A123" s="16" t="s">
        <v>271</v>
      </c>
      <c r="B123" s="57"/>
      <c r="C123" s="112">
        <v>561000</v>
      </c>
      <c r="D123" s="102">
        <f>1450.16+8512.54</f>
        <v>9962.7</v>
      </c>
      <c r="E123" s="73"/>
      <c r="F123" s="190">
        <f t="shared" si="41"/>
        <v>570962.7</v>
      </c>
      <c r="G123" s="74">
        <f>2467.47+27550.46+1437.81+102.99+224.7</f>
        <v>31783.430000000004</v>
      </c>
      <c r="H123" s="242"/>
      <c r="I123" s="208">
        <f t="shared" si="42"/>
        <v>602746.13</v>
      </c>
      <c r="J123" s="257">
        <f>2847.56-2479.35+9911.39+11573.61+10500</f>
        <v>32353.21</v>
      </c>
      <c r="K123" s="235"/>
      <c r="L123" s="208">
        <f t="shared" si="43"/>
        <v>635099.34</v>
      </c>
      <c r="M123" s="257">
        <f>1026.68+135.39</f>
        <v>1162.0700000000002</v>
      </c>
      <c r="N123" s="235"/>
      <c r="O123" s="208">
        <f t="shared" si="44"/>
        <v>636261.4099999999</v>
      </c>
      <c r="P123" s="292"/>
      <c r="Q123" s="167">
        <f t="shared" si="45"/>
        <v>636261.4099999999</v>
      </c>
    </row>
    <row r="124" spans="1:17" ht="12.75">
      <c r="A124" s="20" t="s">
        <v>68</v>
      </c>
      <c r="B124" s="57"/>
      <c r="C124" s="112">
        <v>28840</v>
      </c>
      <c r="D124" s="102"/>
      <c r="E124" s="73"/>
      <c r="F124" s="190">
        <f t="shared" si="41"/>
        <v>28840</v>
      </c>
      <c r="G124" s="74">
        <f>3000</f>
        <v>3000</v>
      </c>
      <c r="H124" s="235"/>
      <c r="I124" s="208">
        <f t="shared" si="42"/>
        <v>31840</v>
      </c>
      <c r="J124" s="257"/>
      <c r="K124" s="235"/>
      <c r="L124" s="208">
        <f t="shared" si="43"/>
        <v>31840</v>
      </c>
      <c r="M124" s="257">
        <f>-5000</f>
        <v>-5000</v>
      </c>
      <c r="N124" s="235"/>
      <c r="O124" s="208">
        <f t="shared" si="44"/>
        <v>26840</v>
      </c>
      <c r="P124" s="292"/>
      <c r="Q124" s="167">
        <f t="shared" si="45"/>
        <v>26840</v>
      </c>
    </row>
    <row r="125" spans="1:17" ht="12.75" hidden="1">
      <c r="A125" s="16" t="s">
        <v>69</v>
      </c>
      <c r="B125" s="57"/>
      <c r="C125" s="112"/>
      <c r="D125" s="102"/>
      <c r="E125" s="73"/>
      <c r="F125" s="190">
        <f t="shared" si="41"/>
        <v>0</v>
      </c>
      <c r="G125" s="74"/>
      <c r="H125" s="235"/>
      <c r="I125" s="208">
        <f t="shared" si="42"/>
        <v>0</v>
      </c>
      <c r="J125" s="257"/>
      <c r="K125" s="235"/>
      <c r="L125" s="208">
        <f t="shared" si="43"/>
        <v>0</v>
      </c>
      <c r="M125" s="257"/>
      <c r="N125" s="235"/>
      <c r="O125" s="208">
        <f t="shared" si="44"/>
        <v>0</v>
      </c>
      <c r="P125" s="292"/>
      <c r="Q125" s="167">
        <f t="shared" si="45"/>
        <v>0</v>
      </c>
    </row>
    <row r="126" spans="1:17" ht="12.75">
      <c r="A126" s="16" t="s">
        <v>62</v>
      </c>
      <c r="B126" s="57"/>
      <c r="C126" s="112"/>
      <c r="D126" s="102"/>
      <c r="E126" s="73"/>
      <c r="F126" s="190">
        <f t="shared" si="41"/>
        <v>0</v>
      </c>
      <c r="G126" s="74">
        <f>3052.45</f>
        <v>3052.45</v>
      </c>
      <c r="H126" s="235"/>
      <c r="I126" s="208">
        <f t="shared" si="42"/>
        <v>3052.45</v>
      </c>
      <c r="J126" s="257"/>
      <c r="K126" s="235"/>
      <c r="L126" s="208">
        <f t="shared" si="43"/>
        <v>3052.45</v>
      </c>
      <c r="M126" s="257"/>
      <c r="N126" s="235"/>
      <c r="O126" s="208">
        <f t="shared" si="44"/>
        <v>3052.45</v>
      </c>
      <c r="P126" s="292"/>
      <c r="Q126" s="167">
        <f t="shared" si="45"/>
        <v>3052.45</v>
      </c>
    </row>
    <row r="127" spans="1:17" ht="12.75" hidden="1">
      <c r="A127" s="16" t="s">
        <v>70</v>
      </c>
      <c r="B127" s="57">
        <v>91252</v>
      </c>
      <c r="C127" s="112"/>
      <c r="D127" s="102"/>
      <c r="E127" s="73"/>
      <c r="F127" s="190">
        <f t="shared" si="41"/>
        <v>0</v>
      </c>
      <c r="G127" s="74"/>
      <c r="H127" s="235"/>
      <c r="I127" s="208">
        <f t="shared" si="42"/>
        <v>0</v>
      </c>
      <c r="J127" s="257"/>
      <c r="K127" s="235"/>
      <c r="L127" s="208">
        <f t="shared" si="43"/>
        <v>0</v>
      </c>
      <c r="M127" s="257"/>
      <c r="N127" s="235"/>
      <c r="O127" s="208">
        <f t="shared" si="44"/>
        <v>0</v>
      </c>
      <c r="P127" s="292"/>
      <c r="Q127" s="167">
        <f t="shared" si="45"/>
        <v>0</v>
      </c>
    </row>
    <row r="128" spans="1:17" ht="12.75">
      <c r="A128" s="16" t="s">
        <v>132</v>
      </c>
      <c r="B128" s="57">
        <v>27355</v>
      </c>
      <c r="C128" s="112"/>
      <c r="D128" s="102"/>
      <c r="E128" s="73"/>
      <c r="F128" s="190">
        <f t="shared" si="41"/>
        <v>0</v>
      </c>
      <c r="G128" s="74"/>
      <c r="H128" s="235"/>
      <c r="I128" s="208">
        <f t="shared" si="42"/>
        <v>0</v>
      </c>
      <c r="J128" s="257">
        <f>211109.66</f>
        <v>211109.66</v>
      </c>
      <c r="K128" s="235"/>
      <c r="L128" s="208">
        <f t="shared" si="43"/>
        <v>211109.66</v>
      </c>
      <c r="M128" s="257"/>
      <c r="N128" s="235"/>
      <c r="O128" s="208">
        <f t="shared" si="44"/>
        <v>211109.66</v>
      </c>
      <c r="P128" s="292"/>
      <c r="Q128" s="167">
        <f t="shared" si="45"/>
        <v>211109.66</v>
      </c>
    </row>
    <row r="129" spans="1:17" ht="12.75">
      <c r="A129" s="16" t="s">
        <v>50</v>
      </c>
      <c r="B129" s="57"/>
      <c r="C129" s="112">
        <v>569600</v>
      </c>
      <c r="D129" s="102">
        <f>478.8+8000+4000</f>
        <v>12478.8</v>
      </c>
      <c r="E129" s="73"/>
      <c r="F129" s="190">
        <f t="shared" si="41"/>
        <v>582078.8</v>
      </c>
      <c r="G129" s="74">
        <f>300000+547.3+4.53</f>
        <v>300551.83</v>
      </c>
      <c r="H129" s="235"/>
      <c r="I129" s="208">
        <f t="shared" si="42"/>
        <v>882630.6300000001</v>
      </c>
      <c r="J129" s="257">
        <f>249.3+1.5+16000-447.75</f>
        <v>15803.05</v>
      </c>
      <c r="K129" s="235"/>
      <c r="L129" s="208">
        <f t="shared" si="43"/>
        <v>898433.6800000002</v>
      </c>
      <c r="M129" s="257">
        <f>1123.17+5000</f>
        <v>6123.17</v>
      </c>
      <c r="N129" s="235"/>
      <c r="O129" s="208">
        <f t="shared" si="44"/>
        <v>904556.8500000002</v>
      </c>
      <c r="P129" s="292"/>
      <c r="Q129" s="167">
        <f t="shared" si="45"/>
        <v>904556.8500000002</v>
      </c>
    </row>
    <row r="130" spans="1:17" ht="12" customHeight="1" hidden="1">
      <c r="A130" s="16" t="s">
        <v>71</v>
      </c>
      <c r="B130" s="57"/>
      <c r="C130" s="112"/>
      <c r="D130" s="102"/>
      <c r="E130" s="73"/>
      <c r="F130" s="190">
        <f t="shared" si="41"/>
        <v>0</v>
      </c>
      <c r="G130" s="74"/>
      <c r="H130" s="235"/>
      <c r="I130" s="208">
        <f t="shared" si="42"/>
        <v>0</v>
      </c>
      <c r="J130" s="257"/>
      <c r="K130" s="235"/>
      <c r="L130" s="208">
        <f t="shared" si="43"/>
        <v>0</v>
      </c>
      <c r="M130" s="257"/>
      <c r="N130" s="235"/>
      <c r="O130" s="208">
        <f t="shared" si="44"/>
        <v>0</v>
      </c>
      <c r="P130" s="292"/>
      <c r="Q130" s="167">
        <f t="shared" si="45"/>
        <v>0</v>
      </c>
    </row>
    <row r="131" spans="1:17" ht="12.75">
      <c r="A131" s="23" t="s">
        <v>52</v>
      </c>
      <c r="B131" s="61"/>
      <c r="C131" s="116">
        <f>SUM(C133:C135)</f>
        <v>10000</v>
      </c>
      <c r="D131" s="106">
        <f aca="true" t="shared" si="46" ref="D131:Q131">SUM(D133:D135)</f>
        <v>-8000</v>
      </c>
      <c r="E131" s="83">
        <f t="shared" si="46"/>
        <v>0</v>
      </c>
      <c r="F131" s="194">
        <f t="shared" si="46"/>
        <v>2000</v>
      </c>
      <c r="G131" s="82">
        <f t="shared" si="46"/>
        <v>0</v>
      </c>
      <c r="H131" s="240">
        <f t="shared" si="46"/>
        <v>0</v>
      </c>
      <c r="I131" s="212">
        <f t="shared" si="46"/>
        <v>2000</v>
      </c>
      <c r="J131" s="263">
        <f t="shared" si="46"/>
        <v>0</v>
      </c>
      <c r="K131" s="240">
        <f t="shared" si="46"/>
        <v>0</v>
      </c>
      <c r="L131" s="212">
        <f t="shared" si="46"/>
        <v>2000</v>
      </c>
      <c r="M131" s="263">
        <f t="shared" si="46"/>
        <v>0</v>
      </c>
      <c r="N131" s="240">
        <f t="shared" si="46"/>
        <v>0</v>
      </c>
      <c r="O131" s="212">
        <f t="shared" si="46"/>
        <v>2000</v>
      </c>
      <c r="P131" s="106">
        <f t="shared" si="46"/>
        <v>0</v>
      </c>
      <c r="Q131" s="155">
        <f t="shared" si="46"/>
        <v>2000</v>
      </c>
    </row>
    <row r="132" spans="1:17" ht="12.75">
      <c r="A132" s="14" t="s">
        <v>26</v>
      </c>
      <c r="B132" s="57"/>
      <c r="C132" s="113"/>
      <c r="D132" s="103"/>
      <c r="E132" s="76"/>
      <c r="F132" s="191"/>
      <c r="G132" s="75"/>
      <c r="H132" s="237"/>
      <c r="I132" s="209"/>
      <c r="J132" s="259"/>
      <c r="K132" s="237"/>
      <c r="L132" s="209"/>
      <c r="M132" s="259"/>
      <c r="N132" s="237"/>
      <c r="O132" s="209"/>
      <c r="P132" s="292"/>
      <c r="Q132" s="167"/>
    </row>
    <row r="133" spans="1:17" ht="12.75" hidden="1">
      <c r="A133" s="15" t="s">
        <v>53</v>
      </c>
      <c r="B133" s="57"/>
      <c r="C133" s="112"/>
      <c r="D133" s="102"/>
      <c r="E133" s="73"/>
      <c r="F133" s="190">
        <f>C133+D133+E133</f>
        <v>0</v>
      </c>
      <c r="G133" s="74"/>
      <c r="H133" s="235"/>
      <c r="I133" s="208">
        <f>F133+G133+H133</f>
        <v>0</v>
      </c>
      <c r="J133" s="257"/>
      <c r="K133" s="235"/>
      <c r="L133" s="208">
        <f>I133+J133+K133</f>
        <v>0</v>
      </c>
      <c r="M133" s="257"/>
      <c r="N133" s="235"/>
      <c r="O133" s="208">
        <f>L133+M133+N133</f>
        <v>0</v>
      </c>
      <c r="P133" s="292"/>
      <c r="Q133" s="167">
        <f>O133+P133</f>
        <v>0</v>
      </c>
    </row>
    <row r="134" spans="1:17" ht="12.75">
      <c r="A134" s="19" t="s">
        <v>79</v>
      </c>
      <c r="B134" s="60"/>
      <c r="C134" s="181">
        <v>10000</v>
      </c>
      <c r="D134" s="172">
        <f>-8000</f>
        <v>-8000</v>
      </c>
      <c r="E134" s="81"/>
      <c r="F134" s="195">
        <f>C134+D134+E134</f>
        <v>2000</v>
      </c>
      <c r="G134" s="226"/>
      <c r="H134" s="241"/>
      <c r="I134" s="213">
        <f>F134+G134+H134</f>
        <v>2000</v>
      </c>
      <c r="J134" s="264"/>
      <c r="K134" s="241"/>
      <c r="L134" s="213">
        <f>I134+J134+K134</f>
        <v>2000</v>
      </c>
      <c r="M134" s="264"/>
      <c r="N134" s="241"/>
      <c r="O134" s="213">
        <f>L134+M134+N134</f>
        <v>2000</v>
      </c>
      <c r="P134" s="292"/>
      <c r="Q134" s="167">
        <f>O134+P134</f>
        <v>2000</v>
      </c>
    </row>
    <row r="135" spans="1:17" ht="12.75" hidden="1">
      <c r="A135" s="19" t="s">
        <v>72</v>
      </c>
      <c r="B135" s="60"/>
      <c r="C135" s="181"/>
      <c r="D135" s="172"/>
      <c r="E135" s="81"/>
      <c r="F135" s="195">
        <f>C135+D135+E135</f>
        <v>0</v>
      </c>
      <c r="G135" s="226"/>
      <c r="H135" s="241"/>
      <c r="I135" s="213">
        <f>F135+G135+H135</f>
        <v>0</v>
      </c>
      <c r="J135" s="264"/>
      <c r="K135" s="241"/>
      <c r="L135" s="213">
        <f>I135+J135+K135</f>
        <v>0</v>
      </c>
      <c r="M135" s="264"/>
      <c r="N135" s="241"/>
      <c r="O135" s="213">
        <f>L135+M135+N135</f>
        <v>0</v>
      </c>
      <c r="P135" s="295"/>
      <c r="Q135" s="168">
        <f>O135+P135</f>
        <v>0</v>
      </c>
    </row>
    <row r="136" spans="1:17" ht="12.75">
      <c r="A136" s="17" t="s">
        <v>73</v>
      </c>
      <c r="B136" s="61"/>
      <c r="C136" s="113">
        <f>C137+C142</f>
        <v>73560</v>
      </c>
      <c r="D136" s="103">
        <f aca="true" t="shared" si="47" ref="D136:Q136">D137+D142</f>
        <v>22334.679999999997</v>
      </c>
      <c r="E136" s="76">
        <f t="shared" si="47"/>
        <v>0</v>
      </c>
      <c r="F136" s="191">
        <f t="shared" si="47"/>
        <v>95894.68000000001</v>
      </c>
      <c r="G136" s="75">
        <f t="shared" si="47"/>
        <v>16854.59</v>
      </c>
      <c r="H136" s="237">
        <f t="shared" si="47"/>
        <v>0</v>
      </c>
      <c r="I136" s="209">
        <f t="shared" si="47"/>
        <v>112749.27</v>
      </c>
      <c r="J136" s="259">
        <f t="shared" si="47"/>
        <v>3600</v>
      </c>
      <c r="K136" s="237">
        <f t="shared" si="47"/>
        <v>0</v>
      </c>
      <c r="L136" s="209">
        <f t="shared" si="47"/>
        <v>116349.27</v>
      </c>
      <c r="M136" s="259">
        <f t="shared" si="47"/>
        <v>1425.68</v>
      </c>
      <c r="N136" s="237">
        <f t="shared" si="47"/>
        <v>0</v>
      </c>
      <c r="O136" s="209">
        <f t="shared" si="47"/>
        <v>117774.95</v>
      </c>
      <c r="P136" s="103">
        <f t="shared" si="47"/>
        <v>0</v>
      </c>
      <c r="Q136" s="152">
        <f t="shared" si="47"/>
        <v>113690.2</v>
      </c>
    </row>
    <row r="137" spans="1:17" ht="12.75">
      <c r="A137" s="22" t="s">
        <v>48</v>
      </c>
      <c r="B137" s="61"/>
      <c r="C137" s="115">
        <f>SUM(C139:C141)</f>
        <v>55060</v>
      </c>
      <c r="D137" s="105">
        <f aca="true" t="shared" si="48" ref="D137:Q137">SUM(D139:D141)</f>
        <v>13812.289999999997</v>
      </c>
      <c r="E137" s="80">
        <f t="shared" si="48"/>
        <v>0</v>
      </c>
      <c r="F137" s="193">
        <f t="shared" si="48"/>
        <v>68872.29000000001</v>
      </c>
      <c r="G137" s="79">
        <f t="shared" si="48"/>
        <v>1180</v>
      </c>
      <c r="H137" s="239">
        <f t="shared" si="48"/>
        <v>0</v>
      </c>
      <c r="I137" s="211">
        <f t="shared" si="48"/>
        <v>70052.29000000001</v>
      </c>
      <c r="J137" s="262">
        <f t="shared" si="48"/>
        <v>0</v>
      </c>
      <c r="K137" s="239">
        <f t="shared" si="48"/>
        <v>0</v>
      </c>
      <c r="L137" s="211">
        <f t="shared" si="48"/>
        <v>70052.29000000001</v>
      </c>
      <c r="M137" s="262">
        <f t="shared" si="48"/>
        <v>1425.68</v>
      </c>
      <c r="N137" s="239">
        <f t="shared" si="48"/>
        <v>0</v>
      </c>
      <c r="O137" s="211">
        <f t="shared" si="48"/>
        <v>71477.97</v>
      </c>
      <c r="P137" s="105">
        <f t="shared" si="48"/>
        <v>0</v>
      </c>
      <c r="Q137" s="154">
        <f t="shared" si="48"/>
        <v>71477.97</v>
      </c>
    </row>
    <row r="138" spans="1:17" ht="12.75">
      <c r="A138" s="18" t="s">
        <v>26</v>
      </c>
      <c r="B138" s="57"/>
      <c r="C138" s="112"/>
      <c r="D138" s="102"/>
      <c r="E138" s="73"/>
      <c r="F138" s="189"/>
      <c r="G138" s="74"/>
      <c r="H138" s="235"/>
      <c r="I138" s="207"/>
      <c r="J138" s="257"/>
      <c r="K138" s="235"/>
      <c r="L138" s="207"/>
      <c r="M138" s="257"/>
      <c r="N138" s="235"/>
      <c r="O138" s="207"/>
      <c r="P138" s="292"/>
      <c r="Q138" s="167"/>
    </row>
    <row r="139" spans="1:17" ht="12.75">
      <c r="A139" s="16" t="s">
        <v>50</v>
      </c>
      <c r="B139" s="57"/>
      <c r="C139" s="112">
        <v>29060</v>
      </c>
      <c r="D139" s="102">
        <f>17353.01-5000+534.21</f>
        <v>12887.219999999998</v>
      </c>
      <c r="E139" s="73"/>
      <c r="F139" s="190">
        <f>C139+D139+E139</f>
        <v>41947.22</v>
      </c>
      <c r="G139" s="74">
        <f>500+680</f>
        <v>1180</v>
      </c>
      <c r="H139" s="235"/>
      <c r="I139" s="208">
        <f>F139+G139+H139</f>
        <v>43127.22</v>
      </c>
      <c r="J139" s="257"/>
      <c r="K139" s="235"/>
      <c r="L139" s="208">
        <f>I139+J139+K139</f>
        <v>43127.22</v>
      </c>
      <c r="M139" s="257"/>
      <c r="N139" s="235"/>
      <c r="O139" s="208">
        <f>L139+M139+N139</f>
        <v>43127.22</v>
      </c>
      <c r="P139" s="292"/>
      <c r="Q139" s="167">
        <f>O139+P139</f>
        <v>43127.22</v>
      </c>
    </row>
    <row r="140" spans="1:17" ht="12.75" hidden="1">
      <c r="A140" s="16" t="s">
        <v>72</v>
      </c>
      <c r="B140" s="57"/>
      <c r="C140" s="112"/>
      <c r="D140" s="102"/>
      <c r="E140" s="73"/>
      <c r="F140" s="190">
        <f>C140+D140+E140</f>
        <v>0</v>
      </c>
      <c r="G140" s="74"/>
      <c r="H140" s="235"/>
      <c r="I140" s="208">
        <f>F140+G140+H140</f>
        <v>0</v>
      </c>
      <c r="J140" s="257"/>
      <c r="K140" s="235"/>
      <c r="L140" s="208">
        <f>I140+J140+K140</f>
        <v>0</v>
      </c>
      <c r="M140" s="257"/>
      <c r="N140" s="235"/>
      <c r="O140" s="208">
        <f>L140+M140+N140</f>
        <v>0</v>
      </c>
      <c r="P140" s="292"/>
      <c r="Q140" s="167">
        <f>O140+P140</f>
        <v>0</v>
      </c>
    </row>
    <row r="141" spans="1:17" ht="12.75">
      <c r="A141" s="16" t="s">
        <v>74</v>
      </c>
      <c r="B141" s="57"/>
      <c r="C141" s="112">
        <v>26000</v>
      </c>
      <c r="D141" s="102">
        <f>925.07</f>
        <v>925.07</v>
      </c>
      <c r="E141" s="73"/>
      <c r="F141" s="190">
        <f>C141+D141+E141</f>
        <v>26925.07</v>
      </c>
      <c r="G141" s="74"/>
      <c r="H141" s="235"/>
      <c r="I141" s="208">
        <f>F141+G141+H141</f>
        <v>26925.07</v>
      </c>
      <c r="J141" s="257"/>
      <c r="K141" s="235"/>
      <c r="L141" s="208">
        <f>I141+J141+K141</f>
        <v>26925.07</v>
      </c>
      <c r="M141" s="257">
        <f>1425.68</f>
        <v>1425.68</v>
      </c>
      <c r="N141" s="235"/>
      <c r="O141" s="208">
        <f>L141+M141+N141</f>
        <v>28350.75</v>
      </c>
      <c r="P141" s="292"/>
      <c r="Q141" s="167">
        <f>O141+P141</f>
        <v>28350.75</v>
      </c>
    </row>
    <row r="142" spans="1:17" ht="12.75">
      <c r="A142" s="23" t="s">
        <v>52</v>
      </c>
      <c r="B142" s="61"/>
      <c r="C142" s="116">
        <f aca="true" t="shared" si="49" ref="C142:Q142">SUM(C144:C147)</f>
        <v>18500</v>
      </c>
      <c r="D142" s="106">
        <f t="shared" si="49"/>
        <v>8522.39</v>
      </c>
      <c r="E142" s="83">
        <f t="shared" si="49"/>
        <v>0</v>
      </c>
      <c r="F142" s="194">
        <f t="shared" si="49"/>
        <v>27022.39</v>
      </c>
      <c r="G142" s="82">
        <f t="shared" si="49"/>
        <v>15674.59</v>
      </c>
      <c r="H142" s="240">
        <f t="shared" si="49"/>
        <v>0</v>
      </c>
      <c r="I142" s="212">
        <f t="shared" si="49"/>
        <v>42696.979999999996</v>
      </c>
      <c r="J142" s="263">
        <f t="shared" si="49"/>
        <v>3600</v>
      </c>
      <c r="K142" s="240">
        <f t="shared" si="49"/>
        <v>0</v>
      </c>
      <c r="L142" s="212">
        <f t="shared" si="49"/>
        <v>46296.979999999996</v>
      </c>
      <c r="M142" s="263">
        <f t="shared" si="49"/>
        <v>0</v>
      </c>
      <c r="N142" s="240">
        <f t="shared" si="49"/>
        <v>0</v>
      </c>
      <c r="O142" s="212">
        <f t="shared" si="49"/>
        <v>46296.979999999996</v>
      </c>
      <c r="P142" s="106">
        <f t="shared" si="49"/>
        <v>0</v>
      </c>
      <c r="Q142" s="155">
        <f t="shared" si="49"/>
        <v>42212.229999999996</v>
      </c>
    </row>
    <row r="143" spans="1:17" ht="12.75">
      <c r="A143" s="14" t="s">
        <v>26</v>
      </c>
      <c r="B143" s="57"/>
      <c r="C143" s="113"/>
      <c r="D143" s="103"/>
      <c r="E143" s="76"/>
      <c r="F143" s="191"/>
      <c r="G143" s="75"/>
      <c r="H143" s="237"/>
      <c r="I143" s="209"/>
      <c r="J143" s="259"/>
      <c r="K143" s="237"/>
      <c r="L143" s="209"/>
      <c r="M143" s="259"/>
      <c r="N143" s="237"/>
      <c r="O143" s="209"/>
      <c r="P143" s="292"/>
      <c r="Q143" s="167"/>
    </row>
    <row r="144" spans="1:17" ht="12.75" hidden="1">
      <c r="A144" s="16" t="s">
        <v>151</v>
      </c>
      <c r="B144" s="57">
        <v>98861</v>
      </c>
      <c r="C144" s="112"/>
      <c r="D144" s="102"/>
      <c r="E144" s="73"/>
      <c r="F144" s="190">
        <f>C144+D144+E144</f>
        <v>0</v>
      </c>
      <c r="G144" s="75"/>
      <c r="H144" s="237"/>
      <c r="I144" s="208">
        <f>F144+G144+H144</f>
        <v>0</v>
      </c>
      <c r="J144" s="259"/>
      <c r="K144" s="237"/>
      <c r="L144" s="208">
        <f>I144+J144+K144</f>
        <v>0</v>
      </c>
      <c r="M144" s="259"/>
      <c r="N144" s="237"/>
      <c r="O144" s="208">
        <f>L144+M144+N144</f>
        <v>0</v>
      </c>
      <c r="P144" s="292"/>
      <c r="Q144" s="167">
        <f>O144+P144</f>
        <v>0</v>
      </c>
    </row>
    <row r="145" spans="1:17" ht="12.75" hidden="1">
      <c r="A145" s="16" t="s">
        <v>195</v>
      </c>
      <c r="B145" s="57">
        <v>7938</v>
      </c>
      <c r="C145" s="112"/>
      <c r="D145" s="102"/>
      <c r="E145" s="73"/>
      <c r="F145" s="190">
        <f>C145+D145+E145</f>
        <v>0</v>
      </c>
      <c r="G145" s="75"/>
      <c r="H145" s="237"/>
      <c r="I145" s="208">
        <f>F145+G145+H145</f>
        <v>0</v>
      </c>
      <c r="J145" s="259"/>
      <c r="K145" s="237"/>
      <c r="L145" s="208">
        <f>I145+J145+K145</f>
        <v>0</v>
      </c>
      <c r="M145" s="259"/>
      <c r="N145" s="237"/>
      <c r="O145" s="208">
        <f>L145+M145+N145</f>
        <v>0</v>
      </c>
      <c r="P145" s="292"/>
      <c r="Q145" s="167">
        <f>O145+P145</f>
        <v>0</v>
      </c>
    </row>
    <row r="146" spans="1:17" ht="12.75">
      <c r="A146" s="16" t="s">
        <v>333</v>
      </c>
      <c r="B146" s="57"/>
      <c r="C146" s="112"/>
      <c r="D146" s="102">
        <f>4084.75</f>
        <v>4084.75</v>
      </c>
      <c r="E146" s="73"/>
      <c r="F146" s="190">
        <f>C146+D146+E146</f>
        <v>4084.75</v>
      </c>
      <c r="G146" s="75"/>
      <c r="H146" s="237"/>
      <c r="I146" s="208">
        <f>F146+G146+H146</f>
        <v>4084.75</v>
      </c>
      <c r="J146" s="259"/>
      <c r="K146" s="237"/>
      <c r="L146" s="208">
        <f>I146+J146+K146</f>
        <v>4084.75</v>
      </c>
      <c r="M146" s="259"/>
      <c r="N146" s="237"/>
      <c r="O146" s="208">
        <f>L146+M146+N146</f>
        <v>4084.75</v>
      </c>
      <c r="P146" s="292"/>
      <c r="Q146" s="167"/>
    </row>
    <row r="147" spans="1:17" ht="12.75">
      <c r="A147" s="26" t="s">
        <v>53</v>
      </c>
      <c r="B147" s="60"/>
      <c r="C147" s="181">
        <v>18500</v>
      </c>
      <c r="D147" s="172">
        <f>13937.64-9500</f>
        <v>4437.639999999999</v>
      </c>
      <c r="E147" s="81"/>
      <c r="F147" s="195">
        <f>C147+D147+E147</f>
        <v>22937.64</v>
      </c>
      <c r="G147" s="226">
        <f>5200+10474.59</f>
        <v>15674.59</v>
      </c>
      <c r="H147" s="241"/>
      <c r="I147" s="213">
        <f>F147+G147+H147</f>
        <v>38612.229999999996</v>
      </c>
      <c r="J147" s="264">
        <f>3600</f>
        <v>3600</v>
      </c>
      <c r="K147" s="241"/>
      <c r="L147" s="213">
        <f>I147+J147+K147</f>
        <v>42212.229999999996</v>
      </c>
      <c r="M147" s="264"/>
      <c r="N147" s="241"/>
      <c r="O147" s="213">
        <f>L147+M147+N147</f>
        <v>42212.229999999996</v>
      </c>
      <c r="P147" s="295"/>
      <c r="Q147" s="168">
        <f>O147+P147</f>
        <v>42212.229999999996</v>
      </c>
    </row>
    <row r="148" spans="1:17" ht="12.75">
      <c r="A148" s="13" t="s">
        <v>239</v>
      </c>
      <c r="B148" s="61"/>
      <c r="C148" s="111">
        <f aca="true" t="shared" si="50" ref="C148:Q148">C149+C169</f>
        <v>8062.6900000000005</v>
      </c>
      <c r="D148" s="92">
        <f t="shared" si="50"/>
        <v>235701.95</v>
      </c>
      <c r="E148" s="72">
        <f t="shared" si="50"/>
        <v>0</v>
      </c>
      <c r="F148" s="189">
        <f t="shared" si="50"/>
        <v>243764.64</v>
      </c>
      <c r="G148" s="71">
        <f t="shared" si="50"/>
        <v>17001.65</v>
      </c>
      <c r="H148" s="234">
        <f t="shared" si="50"/>
        <v>0</v>
      </c>
      <c r="I148" s="207">
        <f t="shared" si="50"/>
        <v>260766.29</v>
      </c>
      <c r="J148" s="256">
        <f t="shared" si="50"/>
        <v>69793.08</v>
      </c>
      <c r="K148" s="234">
        <f t="shared" si="50"/>
        <v>0</v>
      </c>
      <c r="L148" s="207">
        <f t="shared" si="50"/>
        <v>330559.37</v>
      </c>
      <c r="M148" s="256">
        <f t="shared" si="50"/>
        <v>12003.670000000002</v>
      </c>
      <c r="N148" s="234">
        <f t="shared" si="50"/>
        <v>0</v>
      </c>
      <c r="O148" s="207">
        <f t="shared" si="50"/>
        <v>342563.04000000004</v>
      </c>
      <c r="P148" s="92">
        <f t="shared" si="50"/>
        <v>0</v>
      </c>
      <c r="Q148" s="150">
        <f t="shared" si="50"/>
        <v>60663.51</v>
      </c>
    </row>
    <row r="149" spans="1:17" ht="12.75">
      <c r="A149" s="22" t="s">
        <v>48</v>
      </c>
      <c r="B149" s="61"/>
      <c r="C149" s="115">
        <f aca="true" t="shared" si="51" ref="C149:Q149">SUM(C151:C168)</f>
        <v>8062.6900000000005</v>
      </c>
      <c r="D149" s="105">
        <f t="shared" si="51"/>
        <v>26719.200000000004</v>
      </c>
      <c r="E149" s="80">
        <f t="shared" si="51"/>
        <v>0</v>
      </c>
      <c r="F149" s="193">
        <f t="shared" si="51"/>
        <v>34781.89</v>
      </c>
      <c r="G149" s="79">
        <f t="shared" si="51"/>
        <v>14554.15</v>
      </c>
      <c r="H149" s="239">
        <f t="shared" si="51"/>
        <v>0</v>
      </c>
      <c r="I149" s="211">
        <f t="shared" si="51"/>
        <v>49336.04</v>
      </c>
      <c r="J149" s="262">
        <f t="shared" si="51"/>
        <v>14843.7</v>
      </c>
      <c r="K149" s="239">
        <f t="shared" si="51"/>
        <v>0</v>
      </c>
      <c r="L149" s="211">
        <f t="shared" si="51"/>
        <v>64179.74</v>
      </c>
      <c r="M149" s="262">
        <f t="shared" si="51"/>
        <v>12003.670000000002</v>
      </c>
      <c r="N149" s="239">
        <f t="shared" si="51"/>
        <v>0</v>
      </c>
      <c r="O149" s="211">
        <f t="shared" si="51"/>
        <v>76183.41</v>
      </c>
      <c r="P149" s="105">
        <f t="shared" si="51"/>
        <v>0</v>
      </c>
      <c r="Q149" s="154">
        <f t="shared" si="51"/>
        <v>45567</v>
      </c>
    </row>
    <row r="150" spans="1:17" ht="12.75">
      <c r="A150" s="14" t="s">
        <v>26</v>
      </c>
      <c r="B150" s="57"/>
      <c r="C150" s="113"/>
      <c r="D150" s="103"/>
      <c r="E150" s="76"/>
      <c r="F150" s="191"/>
      <c r="G150" s="75"/>
      <c r="H150" s="237"/>
      <c r="I150" s="209"/>
      <c r="J150" s="259"/>
      <c r="K150" s="237"/>
      <c r="L150" s="209"/>
      <c r="M150" s="259"/>
      <c r="N150" s="237"/>
      <c r="O150" s="209"/>
      <c r="P150" s="292"/>
      <c r="Q150" s="167"/>
    </row>
    <row r="151" spans="1:17" ht="12.75">
      <c r="A151" s="16" t="s">
        <v>50</v>
      </c>
      <c r="B151" s="57"/>
      <c r="C151" s="112">
        <v>3162.69</v>
      </c>
      <c r="D151" s="142">
        <f>575.3+368.8+500+100</f>
        <v>1544.1</v>
      </c>
      <c r="E151" s="73"/>
      <c r="F151" s="190">
        <f aca="true" t="shared" si="52" ref="F151:F168">C151+D151+E151</f>
        <v>4706.79</v>
      </c>
      <c r="G151" s="74">
        <f>500+300</f>
        <v>800</v>
      </c>
      <c r="H151" s="235"/>
      <c r="I151" s="208">
        <f>F151+G151+H151</f>
        <v>5506.79</v>
      </c>
      <c r="J151" s="260"/>
      <c r="K151" s="235"/>
      <c r="L151" s="208">
        <f>I151+J151+K151</f>
        <v>5506.79</v>
      </c>
      <c r="M151" s="260"/>
      <c r="N151" s="235"/>
      <c r="O151" s="208">
        <f>L151+M151+N151</f>
        <v>5506.79</v>
      </c>
      <c r="P151" s="292"/>
      <c r="Q151" s="167">
        <f>O151+P151</f>
        <v>5506.79</v>
      </c>
    </row>
    <row r="152" spans="1:17" ht="12.75">
      <c r="A152" s="58" t="s">
        <v>315</v>
      </c>
      <c r="B152" s="57">
        <v>2046</v>
      </c>
      <c r="C152" s="112"/>
      <c r="D152" s="102">
        <f>2510.73</f>
        <v>2510.73</v>
      </c>
      <c r="E152" s="73"/>
      <c r="F152" s="190">
        <f t="shared" si="52"/>
        <v>2510.73</v>
      </c>
      <c r="G152" s="74"/>
      <c r="H152" s="235"/>
      <c r="I152" s="208">
        <f aca="true" t="shared" si="53" ref="I152:I168">F152+G152+H152</f>
        <v>2510.73</v>
      </c>
      <c r="J152" s="257"/>
      <c r="K152" s="235"/>
      <c r="L152" s="208">
        <f aca="true" t="shared" si="54" ref="L152:L165">I152+J152+K152</f>
        <v>2510.73</v>
      </c>
      <c r="M152" s="257"/>
      <c r="N152" s="235"/>
      <c r="O152" s="208">
        <f aca="true" t="shared" si="55" ref="O152:O168">L152+M152+N152</f>
        <v>2510.73</v>
      </c>
      <c r="P152" s="292"/>
      <c r="Q152" s="167">
        <f aca="true" t="shared" si="56" ref="Q152:Q168">O152+P152</f>
        <v>2510.73</v>
      </c>
    </row>
    <row r="153" spans="1:17" ht="12.75">
      <c r="A153" s="58" t="s">
        <v>336</v>
      </c>
      <c r="B153" s="57"/>
      <c r="C153" s="112"/>
      <c r="D153" s="102"/>
      <c r="E153" s="73"/>
      <c r="F153" s="190">
        <f t="shared" si="52"/>
        <v>0</v>
      </c>
      <c r="G153" s="74">
        <f>12750</f>
        <v>12750</v>
      </c>
      <c r="H153" s="235"/>
      <c r="I153" s="208">
        <f t="shared" si="53"/>
        <v>12750</v>
      </c>
      <c r="J153" s="257"/>
      <c r="K153" s="235"/>
      <c r="L153" s="208">
        <f t="shared" si="54"/>
        <v>12750</v>
      </c>
      <c r="M153" s="257"/>
      <c r="N153" s="235"/>
      <c r="O153" s="208">
        <f t="shared" si="55"/>
        <v>12750</v>
      </c>
      <c r="P153" s="292"/>
      <c r="Q153" s="167"/>
    </row>
    <row r="154" spans="1:17" ht="12.75">
      <c r="A154" s="58" t="s">
        <v>316</v>
      </c>
      <c r="B154" s="57">
        <v>2016</v>
      </c>
      <c r="C154" s="112"/>
      <c r="D154" s="102">
        <f>459.09</f>
        <v>459.09</v>
      </c>
      <c r="E154" s="73"/>
      <c r="F154" s="190">
        <f t="shared" si="52"/>
        <v>459.09</v>
      </c>
      <c r="G154" s="74"/>
      <c r="H154" s="235"/>
      <c r="I154" s="208">
        <f t="shared" si="53"/>
        <v>459.09</v>
      </c>
      <c r="J154" s="257">
        <f>5.78-109.92</f>
        <v>-104.14</v>
      </c>
      <c r="K154" s="235"/>
      <c r="L154" s="208">
        <f t="shared" si="54"/>
        <v>354.95</v>
      </c>
      <c r="M154" s="257"/>
      <c r="N154" s="235"/>
      <c r="O154" s="208">
        <f t="shared" si="55"/>
        <v>354.95</v>
      </c>
      <c r="P154" s="292"/>
      <c r="Q154" s="167">
        <f t="shared" si="56"/>
        <v>354.95</v>
      </c>
    </row>
    <row r="155" spans="1:17" ht="12.75" hidden="1">
      <c r="A155" s="58" t="s">
        <v>277</v>
      </c>
      <c r="B155" s="57"/>
      <c r="C155" s="112"/>
      <c r="D155" s="102"/>
      <c r="E155" s="73"/>
      <c r="F155" s="190">
        <f t="shared" si="52"/>
        <v>0</v>
      </c>
      <c r="G155" s="74"/>
      <c r="H155" s="235"/>
      <c r="I155" s="208">
        <f t="shared" si="53"/>
        <v>0</v>
      </c>
      <c r="J155" s="257"/>
      <c r="K155" s="235"/>
      <c r="L155" s="208">
        <f t="shared" si="54"/>
        <v>0</v>
      </c>
      <c r="M155" s="257"/>
      <c r="N155" s="235"/>
      <c r="O155" s="208">
        <f t="shared" si="55"/>
        <v>0</v>
      </c>
      <c r="P155" s="292"/>
      <c r="Q155" s="167">
        <f t="shared" si="56"/>
        <v>0</v>
      </c>
    </row>
    <row r="156" spans="1:17" ht="12.75">
      <c r="A156" s="58" t="s">
        <v>378</v>
      </c>
      <c r="B156" s="57"/>
      <c r="C156" s="112"/>
      <c r="D156" s="102"/>
      <c r="E156" s="73"/>
      <c r="F156" s="190"/>
      <c r="G156" s="74"/>
      <c r="H156" s="235"/>
      <c r="I156" s="208"/>
      <c r="J156" s="257"/>
      <c r="K156" s="235"/>
      <c r="L156" s="208">
        <f t="shared" si="54"/>
        <v>0</v>
      </c>
      <c r="M156" s="257">
        <f>2668.34</f>
        <v>2668.34</v>
      </c>
      <c r="N156" s="235"/>
      <c r="O156" s="208">
        <f t="shared" si="55"/>
        <v>2668.34</v>
      </c>
      <c r="P156" s="292"/>
      <c r="Q156" s="167"/>
    </row>
    <row r="157" spans="1:17" ht="12.75" hidden="1">
      <c r="A157" s="25" t="s">
        <v>317</v>
      </c>
      <c r="B157" s="57">
        <v>2064</v>
      </c>
      <c r="C157" s="112"/>
      <c r="D157" s="102"/>
      <c r="E157" s="73"/>
      <c r="F157" s="190">
        <f t="shared" si="52"/>
        <v>0</v>
      </c>
      <c r="G157" s="74"/>
      <c r="H157" s="235"/>
      <c r="I157" s="208">
        <f t="shared" si="53"/>
        <v>0</v>
      </c>
      <c r="J157" s="257"/>
      <c r="K157" s="235"/>
      <c r="L157" s="208">
        <f t="shared" si="54"/>
        <v>0</v>
      </c>
      <c r="M157" s="257"/>
      <c r="N157" s="235"/>
      <c r="O157" s="208">
        <f t="shared" si="55"/>
        <v>0</v>
      </c>
      <c r="P157" s="292"/>
      <c r="Q157" s="167">
        <f t="shared" si="56"/>
        <v>0</v>
      </c>
    </row>
    <row r="158" spans="1:17" ht="12.75">
      <c r="A158" s="25" t="s">
        <v>318</v>
      </c>
      <c r="B158" s="57">
        <v>2079</v>
      </c>
      <c r="C158" s="112"/>
      <c r="D158" s="102">
        <f>73.55</f>
        <v>73.55</v>
      </c>
      <c r="E158" s="73"/>
      <c r="F158" s="190">
        <f t="shared" si="52"/>
        <v>73.55</v>
      </c>
      <c r="G158" s="74">
        <f>26.72</f>
        <v>26.72</v>
      </c>
      <c r="H158" s="235"/>
      <c r="I158" s="208">
        <f t="shared" si="53"/>
        <v>100.27</v>
      </c>
      <c r="J158" s="257">
        <f>15.26</f>
        <v>15.26</v>
      </c>
      <c r="K158" s="235"/>
      <c r="L158" s="208">
        <f t="shared" si="54"/>
        <v>115.53</v>
      </c>
      <c r="M158" s="257">
        <f>4.48</f>
        <v>4.48</v>
      </c>
      <c r="N158" s="235"/>
      <c r="O158" s="208">
        <f t="shared" si="55"/>
        <v>120.01</v>
      </c>
      <c r="P158" s="292"/>
      <c r="Q158" s="167">
        <f t="shared" si="56"/>
        <v>120.01</v>
      </c>
    </row>
    <row r="159" spans="1:17" ht="12.75">
      <c r="A159" s="58" t="s">
        <v>265</v>
      </c>
      <c r="B159" s="57">
        <v>2079</v>
      </c>
      <c r="C159" s="112"/>
      <c r="D159" s="102"/>
      <c r="E159" s="73"/>
      <c r="F159" s="190">
        <f t="shared" si="52"/>
        <v>0</v>
      </c>
      <c r="G159" s="74"/>
      <c r="H159" s="235"/>
      <c r="I159" s="208">
        <f t="shared" si="53"/>
        <v>0</v>
      </c>
      <c r="J159" s="257">
        <f>107.5</f>
        <v>107.5</v>
      </c>
      <c r="K159" s="235"/>
      <c r="L159" s="208">
        <f t="shared" si="54"/>
        <v>107.5</v>
      </c>
      <c r="M159" s="257"/>
      <c r="N159" s="235"/>
      <c r="O159" s="208">
        <f t="shared" si="55"/>
        <v>107.5</v>
      </c>
      <c r="P159" s="292"/>
      <c r="Q159" s="167">
        <f t="shared" si="56"/>
        <v>107.5</v>
      </c>
    </row>
    <row r="160" spans="1:17" ht="12.75">
      <c r="A160" s="25" t="s">
        <v>331</v>
      </c>
      <c r="B160" s="57"/>
      <c r="C160" s="112"/>
      <c r="D160" s="102">
        <f>2601.16</f>
        <v>2601.16</v>
      </c>
      <c r="E160" s="73"/>
      <c r="F160" s="190">
        <f t="shared" si="52"/>
        <v>2601.16</v>
      </c>
      <c r="G160" s="74">
        <f>1055.98</f>
        <v>1055.98</v>
      </c>
      <c r="H160" s="235"/>
      <c r="I160" s="208">
        <f t="shared" si="53"/>
        <v>3657.14</v>
      </c>
      <c r="J160" s="257">
        <f>433.66</f>
        <v>433.66</v>
      </c>
      <c r="K160" s="235"/>
      <c r="L160" s="208">
        <f t="shared" si="54"/>
        <v>4090.7999999999997</v>
      </c>
      <c r="M160" s="257">
        <f>246.27</f>
        <v>246.27</v>
      </c>
      <c r="N160" s="235"/>
      <c r="O160" s="208">
        <f t="shared" si="55"/>
        <v>4337.07</v>
      </c>
      <c r="P160" s="292"/>
      <c r="Q160" s="167"/>
    </row>
    <row r="161" spans="1:17" ht="12.75">
      <c r="A161" s="58" t="s">
        <v>306</v>
      </c>
      <c r="B161" s="57"/>
      <c r="C161" s="112"/>
      <c r="D161" s="102">
        <f>10748.16</f>
        <v>10748.16</v>
      </c>
      <c r="E161" s="73"/>
      <c r="F161" s="190">
        <f t="shared" si="52"/>
        <v>10748.16</v>
      </c>
      <c r="G161" s="74"/>
      <c r="H161" s="235"/>
      <c r="I161" s="208">
        <f t="shared" si="53"/>
        <v>10748.16</v>
      </c>
      <c r="J161" s="257">
        <f>3909.52</f>
        <v>3909.52</v>
      </c>
      <c r="K161" s="235"/>
      <c r="L161" s="208">
        <f t="shared" si="54"/>
        <v>14657.68</v>
      </c>
      <c r="M161" s="257">
        <f>-3909.52</f>
        <v>-3909.52</v>
      </c>
      <c r="N161" s="235"/>
      <c r="O161" s="208">
        <f t="shared" si="55"/>
        <v>10748.16</v>
      </c>
      <c r="P161" s="292"/>
      <c r="Q161" s="167"/>
    </row>
    <row r="162" spans="1:17" ht="12.75">
      <c r="A162" s="25" t="s">
        <v>376</v>
      </c>
      <c r="B162" s="57"/>
      <c r="C162" s="112"/>
      <c r="D162" s="102"/>
      <c r="E162" s="73"/>
      <c r="F162" s="190"/>
      <c r="G162" s="74"/>
      <c r="H162" s="235"/>
      <c r="I162" s="208"/>
      <c r="J162" s="257"/>
      <c r="K162" s="235"/>
      <c r="L162" s="208">
        <f t="shared" si="54"/>
        <v>0</v>
      </c>
      <c r="M162" s="257">
        <f>112.84</f>
        <v>112.84</v>
      </c>
      <c r="N162" s="235"/>
      <c r="O162" s="208">
        <f t="shared" si="55"/>
        <v>112.84</v>
      </c>
      <c r="P162" s="292"/>
      <c r="Q162" s="167"/>
    </row>
    <row r="163" spans="1:17" ht="12.75">
      <c r="A163" s="58" t="s">
        <v>372</v>
      </c>
      <c r="B163" s="57">
        <v>2067</v>
      </c>
      <c r="C163" s="112"/>
      <c r="D163" s="102"/>
      <c r="E163" s="73"/>
      <c r="F163" s="190">
        <f t="shared" si="52"/>
        <v>0</v>
      </c>
      <c r="G163" s="74"/>
      <c r="H163" s="235"/>
      <c r="I163" s="208">
        <f t="shared" si="53"/>
        <v>0</v>
      </c>
      <c r="J163" s="257"/>
      <c r="K163" s="235"/>
      <c r="L163" s="208">
        <f t="shared" si="54"/>
        <v>0</v>
      </c>
      <c r="M163" s="257">
        <f>3909.52</f>
        <v>3909.52</v>
      </c>
      <c r="N163" s="235"/>
      <c r="O163" s="208">
        <f t="shared" si="55"/>
        <v>3909.52</v>
      </c>
      <c r="P163" s="292"/>
      <c r="Q163" s="167">
        <f t="shared" si="56"/>
        <v>3909.52</v>
      </c>
    </row>
    <row r="164" spans="1:17" ht="12.75" hidden="1">
      <c r="A164" s="58" t="s">
        <v>266</v>
      </c>
      <c r="B164" s="57">
        <v>2074</v>
      </c>
      <c r="C164" s="112"/>
      <c r="D164" s="102"/>
      <c r="E164" s="73"/>
      <c r="F164" s="190">
        <f t="shared" si="52"/>
        <v>0</v>
      </c>
      <c r="G164" s="74"/>
      <c r="H164" s="235"/>
      <c r="I164" s="208">
        <f t="shared" si="53"/>
        <v>0</v>
      </c>
      <c r="J164" s="257"/>
      <c r="K164" s="235"/>
      <c r="L164" s="208">
        <f t="shared" si="54"/>
        <v>0</v>
      </c>
      <c r="M164" s="257"/>
      <c r="N164" s="235"/>
      <c r="O164" s="208">
        <f t="shared" si="55"/>
        <v>0</v>
      </c>
      <c r="P164" s="292"/>
      <c r="Q164" s="167">
        <f t="shared" si="56"/>
        <v>0</v>
      </c>
    </row>
    <row r="165" spans="1:17" ht="12.75">
      <c r="A165" s="25" t="s">
        <v>319</v>
      </c>
      <c r="B165" s="57"/>
      <c r="C165" s="112"/>
      <c r="D165" s="102">
        <f>347.99</f>
        <v>347.99</v>
      </c>
      <c r="E165" s="73"/>
      <c r="F165" s="190">
        <f t="shared" si="52"/>
        <v>347.99</v>
      </c>
      <c r="G165" s="74"/>
      <c r="H165" s="235"/>
      <c r="I165" s="208">
        <f t="shared" si="53"/>
        <v>347.99</v>
      </c>
      <c r="J165" s="257"/>
      <c r="K165" s="235"/>
      <c r="L165" s="208">
        <f t="shared" si="54"/>
        <v>347.99</v>
      </c>
      <c r="M165" s="257">
        <f>1312.83</f>
        <v>1312.83</v>
      </c>
      <c r="N165" s="235"/>
      <c r="O165" s="208">
        <f t="shared" si="55"/>
        <v>1660.82</v>
      </c>
      <c r="P165" s="292"/>
      <c r="Q165" s="167">
        <f t="shared" si="56"/>
        <v>1660.82</v>
      </c>
    </row>
    <row r="166" spans="1:17" ht="12.75">
      <c r="A166" s="58" t="s">
        <v>361</v>
      </c>
      <c r="B166" s="57"/>
      <c r="C166" s="112"/>
      <c r="D166" s="102"/>
      <c r="E166" s="73"/>
      <c r="F166" s="190">
        <f t="shared" si="52"/>
        <v>0</v>
      </c>
      <c r="G166" s="74"/>
      <c r="H166" s="235"/>
      <c r="I166" s="208">
        <f t="shared" si="53"/>
        <v>0</v>
      </c>
      <c r="J166" s="257">
        <f>3212.87</f>
        <v>3212.87</v>
      </c>
      <c r="K166" s="235"/>
      <c r="L166" s="208">
        <f>I166+J166+K166</f>
        <v>3212.87</v>
      </c>
      <c r="M166" s="257"/>
      <c r="N166" s="235"/>
      <c r="O166" s="208">
        <f t="shared" si="55"/>
        <v>3212.87</v>
      </c>
      <c r="P166" s="292"/>
      <c r="Q166" s="167">
        <f t="shared" si="56"/>
        <v>3212.87</v>
      </c>
    </row>
    <row r="167" spans="1:17" ht="12.75" hidden="1">
      <c r="A167" s="58" t="s">
        <v>320</v>
      </c>
      <c r="B167" s="57">
        <v>2058</v>
      </c>
      <c r="C167" s="112"/>
      <c r="D167" s="102"/>
      <c r="E167" s="73"/>
      <c r="F167" s="190">
        <f t="shared" si="52"/>
        <v>0</v>
      </c>
      <c r="G167" s="74"/>
      <c r="H167" s="235"/>
      <c r="I167" s="208">
        <f t="shared" si="53"/>
        <v>0</v>
      </c>
      <c r="J167" s="257"/>
      <c r="K167" s="235"/>
      <c r="L167" s="208">
        <f>I167+J167+K167</f>
        <v>0</v>
      </c>
      <c r="M167" s="257"/>
      <c r="N167" s="235"/>
      <c r="O167" s="208">
        <f t="shared" si="55"/>
        <v>0</v>
      </c>
      <c r="P167" s="292"/>
      <c r="Q167" s="167">
        <f t="shared" si="56"/>
        <v>0</v>
      </c>
    </row>
    <row r="168" spans="1:17" ht="12.75">
      <c r="A168" s="16" t="s">
        <v>72</v>
      </c>
      <c r="B168" s="57"/>
      <c r="C168" s="112">
        <v>4900</v>
      </c>
      <c r="D168" s="102">
        <f>1200+4000+544.23+686.81+1193.04+637.66+1072.68+100-500-500</f>
        <v>8434.42</v>
      </c>
      <c r="E168" s="73"/>
      <c r="F168" s="190">
        <f t="shared" si="52"/>
        <v>13334.42</v>
      </c>
      <c r="G168" s="74">
        <f>18.16+308.77-572.68+167.2</f>
        <v>-78.54999999999995</v>
      </c>
      <c r="H168" s="235"/>
      <c r="I168" s="208">
        <f t="shared" si="53"/>
        <v>13255.87</v>
      </c>
      <c r="J168" s="257">
        <f>2000+69.03+5000+200</f>
        <v>7269.030000000001</v>
      </c>
      <c r="K168" s="235"/>
      <c r="L168" s="208">
        <f>I168+J168+K168</f>
        <v>20524.9</v>
      </c>
      <c r="M168" s="257">
        <f>10.18+173.07+2000+375+17.36+5000+83.3</f>
        <v>7658.910000000001</v>
      </c>
      <c r="N168" s="235"/>
      <c r="O168" s="208">
        <f t="shared" si="55"/>
        <v>28183.81</v>
      </c>
      <c r="P168" s="292"/>
      <c r="Q168" s="167">
        <f t="shared" si="56"/>
        <v>28183.81</v>
      </c>
    </row>
    <row r="169" spans="1:17" ht="12.75">
      <c r="A169" s="23" t="s">
        <v>52</v>
      </c>
      <c r="B169" s="61"/>
      <c r="C169" s="116">
        <f aca="true" t="shared" si="57" ref="C169:Q169">SUM(C171:C179)</f>
        <v>0</v>
      </c>
      <c r="D169" s="106">
        <f t="shared" si="57"/>
        <v>208982.75</v>
      </c>
      <c r="E169" s="83">
        <f t="shared" si="57"/>
        <v>0</v>
      </c>
      <c r="F169" s="194">
        <f t="shared" si="57"/>
        <v>208982.75</v>
      </c>
      <c r="G169" s="82">
        <f t="shared" si="57"/>
        <v>2447.5</v>
      </c>
      <c r="H169" s="240">
        <f t="shared" si="57"/>
        <v>0</v>
      </c>
      <c r="I169" s="212">
        <f t="shared" si="57"/>
        <v>211430.25</v>
      </c>
      <c r="J169" s="263">
        <f t="shared" si="57"/>
        <v>54949.38</v>
      </c>
      <c r="K169" s="240">
        <f t="shared" si="57"/>
        <v>0</v>
      </c>
      <c r="L169" s="212">
        <f t="shared" si="57"/>
        <v>266379.63</v>
      </c>
      <c r="M169" s="263">
        <f t="shared" si="57"/>
        <v>0</v>
      </c>
      <c r="N169" s="240">
        <f t="shared" si="57"/>
        <v>0</v>
      </c>
      <c r="O169" s="212">
        <f t="shared" si="57"/>
        <v>266379.63</v>
      </c>
      <c r="P169" s="106">
        <f t="shared" si="57"/>
        <v>0</v>
      </c>
      <c r="Q169" s="155">
        <f t="shared" si="57"/>
        <v>15096.51</v>
      </c>
    </row>
    <row r="170" spans="1:17" ht="12.75">
      <c r="A170" s="25" t="s">
        <v>26</v>
      </c>
      <c r="B170" s="57"/>
      <c r="C170" s="112"/>
      <c r="D170" s="102"/>
      <c r="E170" s="73"/>
      <c r="F170" s="190"/>
      <c r="G170" s="74"/>
      <c r="H170" s="235"/>
      <c r="I170" s="208"/>
      <c r="J170" s="257"/>
      <c r="K170" s="235"/>
      <c r="L170" s="208"/>
      <c r="M170" s="257"/>
      <c r="N170" s="235"/>
      <c r="O170" s="208"/>
      <c r="P170" s="292"/>
      <c r="Q170" s="167"/>
    </row>
    <row r="171" spans="1:17" ht="12.75">
      <c r="A171" s="25" t="s">
        <v>318</v>
      </c>
      <c r="B171" s="57">
        <v>2079</v>
      </c>
      <c r="C171" s="112"/>
      <c r="D171" s="102">
        <f>1145.26+247.5</f>
        <v>1392.76</v>
      </c>
      <c r="E171" s="73"/>
      <c r="F171" s="190">
        <f aca="true" t="shared" si="58" ref="F171:F179">C171+D171+E171</f>
        <v>1392.76</v>
      </c>
      <c r="G171" s="74"/>
      <c r="H171" s="235"/>
      <c r="I171" s="208">
        <f aca="true" t="shared" si="59" ref="I171:I179">F171+G171+H171</f>
        <v>1392.76</v>
      </c>
      <c r="J171" s="257"/>
      <c r="K171" s="235"/>
      <c r="L171" s="208">
        <f aca="true" t="shared" si="60" ref="L171:L179">I171+J171+K171</f>
        <v>1392.76</v>
      </c>
      <c r="M171" s="257"/>
      <c r="N171" s="235"/>
      <c r="O171" s="208">
        <f aca="true" t="shared" si="61" ref="O171:O179">L171+M171+N171</f>
        <v>1392.76</v>
      </c>
      <c r="P171" s="292"/>
      <c r="Q171" s="167">
        <f>O171+P171</f>
        <v>1392.76</v>
      </c>
    </row>
    <row r="172" spans="1:17" ht="12.75">
      <c r="A172" s="58" t="s">
        <v>265</v>
      </c>
      <c r="B172" s="57">
        <v>2079</v>
      </c>
      <c r="C172" s="112"/>
      <c r="D172" s="102"/>
      <c r="E172" s="73"/>
      <c r="F172" s="190">
        <f t="shared" si="58"/>
        <v>0</v>
      </c>
      <c r="G172" s="74"/>
      <c r="H172" s="235"/>
      <c r="I172" s="208">
        <f t="shared" si="59"/>
        <v>0</v>
      </c>
      <c r="J172" s="257">
        <f>2695</f>
        <v>2695</v>
      </c>
      <c r="K172" s="235"/>
      <c r="L172" s="208">
        <f t="shared" si="60"/>
        <v>2695</v>
      </c>
      <c r="M172" s="257"/>
      <c r="N172" s="235"/>
      <c r="O172" s="208">
        <f t="shared" si="61"/>
        <v>2695</v>
      </c>
      <c r="P172" s="292"/>
      <c r="Q172" s="167">
        <f>O172+P172</f>
        <v>2695</v>
      </c>
    </row>
    <row r="173" spans="1:17" ht="12.75">
      <c r="A173" s="25" t="s">
        <v>331</v>
      </c>
      <c r="B173" s="57"/>
      <c r="C173" s="112"/>
      <c r="D173" s="102">
        <f>55847.45</f>
        <v>55847.45</v>
      </c>
      <c r="E173" s="73"/>
      <c r="F173" s="190">
        <f t="shared" si="58"/>
        <v>55847.45</v>
      </c>
      <c r="G173" s="74"/>
      <c r="H173" s="235"/>
      <c r="I173" s="208">
        <f t="shared" si="59"/>
        <v>55847.45</v>
      </c>
      <c r="J173" s="257"/>
      <c r="K173" s="235"/>
      <c r="L173" s="208">
        <f t="shared" si="60"/>
        <v>55847.45</v>
      </c>
      <c r="M173" s="257"/>
      <c r="N173" s="235"/>
      <c r="O173" s="208">
        <f t="shared" si="61"/>
        <v>55847.45</v>
      </c>
      <c r="P173" s="292"/>
      <c r="Q173" s="167"/>
    </row>
    <row r="174" spans="1:17" ht="12.75">
      <c r="A174" s="58" t="s">
        <v>306</v>
      </c>
      <c r="B174" s="57"/>
      <c r="C174" s="112"/>
      <c r="D174" s="102">
        <f>143308.79</f>
        <v>143308.79</v>
      </c>
      <c r="E174" s="73"/>
      <c r="F174" s="190">
        <f t="shared" si="58"/>
        <v>143308.79</v>
      </c>
      <c r="G174" s="74"/>
      <c r="H174" s="235"/>
      <c r="I174" s="208">
        <f t="shared" si="59"/>
        <v>143308.79</v>
      </c>
      <c r="J174" s="257">
        <f>52126.88</f>
        <v>52126.88</v>
      </c>
      <c r="K174" s="235"/>
      <c r="L174" s="208">
        <f t="shared" si="60"/>
        <v>195435.67</v>
      </c>
      <c r="M174" s="257">
        <f>-52126.88</f>
        <v>-52126.88</v>
      </c>
      <c r="N174" s="235"/>
      <c r="O174" s="208">
        <f t="shared" si="61"/>
        <v>143308.79</v>
      </c>
      <c r="P174" s="292"/>
      <c r="Q174" s="167"/>
    </row>
    <row r="175" spans="1:17" ht="12.75">
      <c r="A175" s="58" t="s">
        <v>372</v>
      </c>
      <c r="B175" s="57"/>
      <c r="C175" s="112"/>
      <c r="D175" s="102"/>
      <c r="E175" s="73"/>
      <c r="F175" s="190">
        <f t="shared" si="58"/>
        <v>0</v>
      </c>
      <c r="G175" s="74"/>
      <c r="H175" s="235"/>
      <c r="I175" s="208">
        <f t="shared" si="59"/>
        <v>0</v>
      </c>
      <c r="J175" s="257"/>
      <c r="K175" s="235"/>
      <c r="L175" s="208">
        <f t="shared" si="60"/>
        <v>0</v>
      </c>
      <c r="M175" s="257">
        <f>52126.88</f>
        <v>52126.88</v>
      </c>
      <c r="N175" s="235"/>
      <c r="O175" s="208">
        <f t="shared" si="61"/>
        <v>52126.88</v>
      </c>
      <c r="P175" s="292"/>
      <c r="Q175" s="167"/>
    </row>
    <row r="176" spans="1:17" ht="12.75">
      <c r="A176" s="58" t="s">
        <v>321</v>
      </c>
      <c r="B176" s="57"/>
      <c r="C176" s="112"/>
      <c r="D176" s="102">
        <f>8433.75</f>
        <v>8433.75</v>
      </c>
      <c r="E176" s="73"/>
      <c r="F176" s="190">
        <f t="shared" si="58"/>
        <v>8433.75</v>
      </c>
      <c r="G176" s="74">
        <f>247.5</f>
        <v>247.5</v>
      </c>
      <c r="H176" s="235"/>
      <c r="I176" s="208">
        <f t="shared" si="59"/>
        <v>8681.25</v>
      </c>
      <c r="J176" s="257">
        <f>127.5</f>
        <v>127.5</v>
      </c>
      <c r="K176" s="235"/>
      <c r="L176" s="208">
        <f t="shared" si="60"/>
        <v>8808.75</v>
      </c>
      <c r="M176" s="257"/>
      <c r="N176" s="235"/>
      <c r="O176" s="208">
        <f t="shared" si="61"/>
        <v>8808.75</v>
      </c>
      <c r="P176" s="292"/>
      <c r="Q176" s="167">
        <f>O176+P176</f>
        <v>8808.75</v>
      </c>
    </row>
    <row r="177" spans="1:17" ht="12.75" hidden="1">
      <c r="A177" s="16" t="s">
        <v>64</v>
      </c>
      <c r="B177" s="57"/>
      <c r="C177" s="112"/>
      <c r="D177" s="102"/>
      <c r="E177" s="73"/>
      <c r="F177" s="190">
        <f t="shared" si="58"/>
        <v>0</v>
      </c>
      <c r="G177" s="74"/>
      <c r="H177" s="235"/>
      <c r="I177" s="208">
        <f t="shared" si="59"/>
        <v>0</v>
      </c>
      <c r="J177" s="257"/>
      <c r="K177" s="235"/>
      <c r="L177" s="208">
        <f t="shared" si="60"/>
        <v>0</v>
      </c>
      <c r="M177" s="257"/>
      <c r="N177" s="235"/>
      <c r="O177" s="208">
        <f t="shared" si="61"/>
        <v>0</v>
      </c>
      <c r="P177" s="292"/>
      <c r="Q177" s="167">
        <f>O177+P177</f>
        <v>0</v>
      </c>
    </row>
    <row r="178" spans="1:17" ht="12.75">
      <c r="A178" s="19" t="s">
        <v>53</v>
      </c>
      <c r="B178" s="60"/>
      <c r="C178" s="181"/>
      <c r="D178" s="172"/>
      <c r="E178" s="81"/>
      <c r="F178" s="195">
        <f t="shared" si="58"/>
        <v>0</v>
      </c>
      <c r="G178" s="226">
        <f>2200</f>
        <v>2200</v>
      </c>
      <c r="H178" s="241"/>
      <c r="I178" s="213">
        <f t="shared" si="59"/>
        <v>2200</v>
      </c>
      <c r="J178" s="264"/>
      <c r="K178" s="241"/>
      <c r="L178" s="213">
        <f t="shared" si="60"/>
        <v>2200</v>
      </c>
      <c r="M178" s="264"/>
      <c r="N178" s="241"/>
      <c r="O178" s="213">
        <f t="shared" si="61"/>
        <v>2200</v>
      </c>
      <c r="P178" s="292"/>
      <c r="Q178" s="167">
        <f aca="true" t="shared" si="62" ref="Q178:Q236">O178+P178</f>
        <v>2200</v>
      </c>
    </row>
    <row r="179" spans="1:17" ht="12.75" hidden="1">
      <c r="A179" s="19" t="s">
        <v>72</v>
      </c>
      <c r="B179" s="60"/>
      <c r="C179" s="181"/>
      <c r="D179" s="172">
        <f>100-100</f>
        <v>0</v>
      </c>
      <c r="E179" s="81"/>
      <c r="F179" s="195">
        <f t="shared" si="58"/>
        <v>0</v>
      </c>
      <c r="G179" s="226"/>
      <c r="H179" s="241"/>
      <c r="I179" s="213">
        <f t="shared" si="59"/>
        <v>0</v>
      </c>
      <c r="J179" s="264"/>
      <c r="K179" s="241"/>
      <c r="L179" s="213">
        <f t="shared" si="60"/>
        <v>0</v>
      </c>
      <c r="M179" s="264"/>
      <c r="N179" s="241"/>
      <c r="O179" s="213">
        <f t="shared" si="61"/>
        <v>0</v>
      </c>
      <c r="P179" s="295"/>
      <c r="Q179" s="168">
        <f t="shared" si="62"/>
        <v>0</v>
      </c>
    </row>
    <row r="180" spans="1:17" ht="12.75">
      <c r="A180" s="13" t="s">
        <v>76</v>
      </c>
      <c r="B180" s="61"/>
      <c r="C180" s="111">
        <f aca="true" t="shared" si="63" ref="C180:Q180">C181+C227</f>
        <v>441953.44000000006</v>
      </c>
      <c r="D180" s="92">
        <f t="shared" si="63"/>
        <v>10383187.219999999</v>
      </c>
      <c r="E180" s="72">
        <f t="shared" si="63"/>
        <v>0</v>
      </c>
      <c r="F180" s="189">
        <f t="shared" si="63"/>
        <v>10825140.66</v>
      </c>
      <c r="G180" s="71">
        <f t="shared" si="63"/>
        <v>356381.69</v>
      </c>
      <c r="H180" s="234">
        <f t="shared" si="63"/>
        <v>0</v>
      </c>
      <c r="I180" s="207">
        <f t="shared" si="63"/>
        <v>11181522.349999998</v>
      </c>
      <c r="J180" s="256">
        <f t="shared" si="63"/>
        <v>230272.31999999998</v>
      </c>
      <c r="K180" s="234">
        <f t="shared" si="63"/>
        <v>0</v>
      </c>
      <c r="L180" s="207">
        <f t="shared" si="63"/>
        <v>11411794.67</v>
      </c>
      <c r="M180" s="256">
        <f t="shared" si="63"/>
        <v>181876.78999999998</v>
      </c>
      <c r="N180" s="234">
        <f t="shared" si="63"/>
        <v>0</v>
      </c>
      <c r="O180" s="207">
        <f t="shared" si="63"/>
        <v>11593671.46</v>
      </c>
      <c r="P180" s="92">
        <f t="shared" si="63"/>
        <v>0</v>
      </c>
      <c r="Q180" s="150">
        <f t="shared" si="63"/>
        <v>11441979.409999998</v>
      </c>
    </row>
    <row r="181" spans="1:17" ht="12.75">
      <c r="A181" s="22" t="s">
        <v>48</v>
      </c>
      <c r="B181" s="61"/>
      <c r="C181" s="115">
        <f aca="true" t="shared" si="64" ref="C181:Q181">SUM(C183:C226)</f>
        <v>441213.44000000006</v>
      </c>
      <c r="D181" s="105">
        <f t="shared" si="64"/>
        <v>10375559.62</v>
      </c>
      <c r="E181" s="80">
        <f t="shared" si="64"/>
        <v>0</v>
      </c>
      <c r="F181" s="193">
        <f t="shared" si="64"/>
        <v>10816773.06</v>
      </c>
      <c r="G181" s="79">
        <f t="shared" si="64"/>
        <v>343933.93</v>
      </c>
      <c r="H181" s="239">
        <f t="shared" si="64"/>
        <v>0</v>
      </c>
      <c r="I181" s="211">
        <f t="shared" si="64"/>
        <v>11160706.989999998</v>
      </c>
      <c r="J181" s="262">
        <f t="shared" si="64"/>
        <v>230284.77999999997</v>
      </c>
      <c r="K181" s="239">
        <f t="shared" si="64"/>
        <v>0</v>
      </c>
      <c r="L181" s="211">
        <f t="shared" si="64"/>
        <v>11390991.77</v>
      </c>
      <c r="M181" s="262">
        <f t="shared" si="64"/>
        <v>175828.72999999998</v>
      </c>
      <c r="N181" s="239">
        <f t="shared" si="64"/>
        <v>0</v>
      </c>
      <c r="O181" s="211">
        <f t="shared" si="64"/>
        <v>11566820.5</v>
      </c>
      <c r="P181" s="105">
        <f t="shared" si="64"/>
        <v>0</v>
      </c>
      <c r="Q181" s="154">
        <f t="shared" si="64"/>
        <v>11415345.209999999</v>
      </c>
    </row>
    <row r="182" spans="1:17" ht="12.75">
      <c r="A182" s="14" t="s">
        <v>26</v>
      </c>
      <c r="B182" s="57"/>
      <c r="C182" s="112"/>
      <c r="D182" s="102"/>
      <c r="E182" s="73"/>
      <c r="F182" s="190"/>
      <c r="G182" s="74"/>
      <c r="H182" s="235"/>
      <c r="I182" s="208"/>
      <c r="J182" s="257"/>
      <c r="K182" s="235"/>
      <c r="L182" s="208"/>
      <c r="M182" s="257"/>
      <c r="N182" s="235"/>
      <c r="O182" s="208"/>
      <c r="P182" s="292"/>
      <c r="Q182" s="167"/>
    </row>
    <row r="183" spans="1:17" ht="12.75">
      <c r="A183" s="20" t="s">
        <v>68</v>
      </c>
      <c r="B183" s="57"/>
      <c r="C183" s="112">
        <v>378098.03</v>
      </c>
      <c r="D183" s="102">
        <f>8337+164.5+119488+17408.32+2000+8857.8</f>
        <v>156255.62</v>
      </c>
      <c r="E183" s="73"/>
      <c r="F183" s="190">
        <f aca="true" t="shared" si="65" ref="F183:F226">C183+D183+E183</f>
        <v>534353.65</v>
      </c>
      <c r="G183" s="74">
        <f>6500+3515.1+44134.6+12</f>
        <v>54161.7</v>
      </c>
      <c r="H183" s="235"/>
      <c r="I183" s="208">
        <f>F183+G183+H183</f>
        <v>588515.35</v>
      </c>
      <c r="J183" s="257">
        <f>9867.55+2328.9</f>
        <v>12196.449999999999</v>
      </c>
      <c r="K183" s="235"/>
      <c r="L183" s="208">
        <f>I183+J183+K183</f>
        <v>600711.7999999999</v>
      </c>
      <c r="M183" s="257">
        <f>7944.75-1134.95</f>
        <v>6809.8</v>
      </c>
      <c r="N183" s="235"/>
      <c r="O183" s="208">
        <f>L183+M183+N183</f>
        <v>607521.6</v>
      </c>
      <c r="P183" s="292"/>
      <c r="Q183" s="167">
        <f t="shared" si="62"/>
        <v>607521.6</v>
      </c>
    </row>
    <row r="184" spans="1:17" ht="12.75">
      <c r="A184" s="20" t="s">
        <v>258</v>
      </c>
      <c r="B184" s="57">
        <v>33353</v>
      </c>
      <c r="C184" s="112"/>
      <c r="D184" s="102">
        <f>9933653.38</f>
        <v>9933653.38</v>
      </c>
      <c r="E184" s="73"/>
      <c r="F184" s="190">
        <f t="shared" si="65"/>
        <v>9933653.38</v>
      </c>
      <c r="G184" s="74">
        <f>5134.59</f>
        <v>5134.59</v>
      </c>
      <c r="H184" s="235"/>
      <c r="I184" s="208">
        <f aca="true" t="shared" si="66" ref="I184:I224">F184+G184+H184</f>
        <v>9938787.97</v>
      </c>
      <c r="J184" s="257">
        <f>363.35</f>
        <v>363.35</v>
      </c>
      <c r="K184" s="235"/>
      <c r="L184" s="208">
        <f aca="true" t="shared" si="67" ref="L184:L225">I184+J184+K184</f>
        <v>9939151.32</v>
      </c>
      <c r="M184" s="257">
        <f>14811.92</f>
        <v>14811.92</v>
      </c>
      <c r="N184" s="235"/>
      <c r="O184" s="208">
        <f aca="true" t="shared" si="68" ref="O184:O226">L184+M184+N184</f>
        <v>9953963.24</v>
      </c>
      <c r="P184" s="292"/>
      <c r="Q184" s="167">
        <f t="shared" si="62"/>
        <v>9953963.24</v>
      </c>
    </row>
    <row r="185" spans="1:17" ht="13.5" thickBot="1">
      <c r="A185" s="309" t="s">
        <v>303</v>
      </c>
      <c r="B185" s="300">
        <v>33155</v>
      </c>
      <c r="C185" s="301"/>
      <c r="D185" s="310">
        <f>148284.67</f>
        <v>148284.67</v>
      </c>
      <c r="E185" s="303"/>
      <c r="F185" s="304">
        <f t="shared" si="65"/>
        <v>148284.67</v>
      </c>
      <c r="G185" s="305">
        <f>147279.41</f>
        <v>147279.41</v>
      </c>
      <c r="H185" s="306"/>
      <c r="I185" s="307">
        <f t="shared" si="66"/>
        <v>295564.08</v>
      </c>
      <c r="J185" s="308">
        <f>147089.43</f>
        <v>147089.43</v>
      </c>
      <c r="K185" s="306"/>
      <c r="L185" s="307">
        <f t="shared" si="67"/>
        <v>442653.51</v>
      </c>
      <c r="M185" s="308">
        <f>153489.32</f>
        <v>153489.32</v>
      </c>
      <c r="N185" s="306"/>
      <c r="O185" s="307">
        <f t="shared" si="68"/>
        <v>596142.8300000001</v>
      </c>
      <c r="P185" s="292"/>
      <c r="Q185" s="167">
        <f t="shared" si="62"/>
        <v>596142.8300000001</v>
      </c>
    </row>
    <row r="186" spans="1:17" ht="12.75">
      <c r="A186" s="20" t="s">
        <v>77</v>
      </c>
      <c r="B186" s="57">
        <v>33122</v>
      </c>
      <c r="C186" s="112"/>
      <c r="D186" s="102"/>
      <c r="E186" s="73"/>
      <c r="F186" s="190">
        <f t="shared" si="65"/>
        <v>0</v>
      </c>
      <c r="G186" s="74">
        <f>328+110</f>
        <v>438</v>
      </c>
      <c r="H186" s="235"/>
      <c r="I186" s="208">
        <f t="shared" si="66"/>
        <v>438</v>
      </c>
      <c r="J186" s="257"/>
      <c r="K186" s="235"/>
      <c r="L186" s="208">
        <f t="shared" si="67"/>
        <v>438</v>
      </c>
      <c r="M186" s="257"/>
      <c r="N186" s="235"/>
      <c r="O186" s="208">
        <f t="shared" si="68"/>
        <v>438</v>
      </c>
      <c r="P186" s="292"/>
      <c r="Q186" s="167">
        <f t="shared" si="62"/>
        <v>438</v>
      </c>
    </row>
    <row r="187" spans="1:17" ht="12.75" hidden="1">
      <c r="A187" s="20" t="s">
        <v>130</v>
      </c>
      <c r="B187" s="57"/>
      <c r="C187" s="112"/>
      <c r="D187" s="102"/>
      <c r="E187" s="73"/>
      <c r="F187" s="190">
        <f t="shared" si="65"/>
        <v>0</v>
      </c>
      <c r="G187" s="74"/>
      <c r="H187" s="235"/>
      <c r="I187" s="208">
        <f t="shared" si="66"/>
        <v>0</v>
      </c>
      <c r="J187" s="257"/>
      <c r="K187" s="235"/>
      <c r="L187" s="208">
        <f t="shared" si="67"/>
        <v>0</v>
      </c>
      <c r="M187" s="257"/>
      <c r="N187" s="235"/>
      <c r="O187" s="208">
        <f t="shared" si="68"/>
        <v>0</v>
      </c>
      <c r="P187" s="292"/>
      <c r="Q187" s="167">
        <f t="shared" si="62"/>
        <v>0</v>
      </c>
    </row>
    <row r="188" spans="1:17" ht="12.75" hidden="1">
      <c r="A188" s="36" t="s">
        <v>179</v>
      </c>
      <c r="B188" s="57">
        <v>33052</v>
      </c>
      <c r="C188" s="112"/>
      <c r="D188" s="102"/>
      <c r="E188" s="73"/>
      <c r="F188" s="190">
        <f t="shared" si="65"/>
        <v>0</v>
      </c>
      <c r="G188" s="74"/>
      <c r="H188" s="235"/>
      <c r="I188" s="208">
        <f t="shared" si="66"/>
        <v>0</v>
      </c>
      <c r="J188" s="257"/>
      <c r="K188" s="235"/>
      <c r="L188" s="208">
        <f t="shared" si="67"/>
        <v>0</v>
      </c>
      <c r="M188" s="257"/>
      <c r="N188" s="235"/>
      <c r="O188" s="208">
        <f t="shared" si="68"/>
        <v>0</v>
      </c>
      <c r="P188" s="292"/>
      <c r="Q188" s="167">
        <f t="shared" si="62"/>
        <v>0</v>
      </c>
    </row>
    <row r="189" spans="1:17" ht="12.75" hidden="1">
      <c r="A189" s="36" t="s">
        <v>247</v>
      </c>
      <c r="B189" s="57">
        <v>33076</v>
      </c>
      <c r="C189" s="112"/>
      <c r="D189" s="102"/>
      <c r="E189" s="73"/>
      <c r="F189" s="190">
        <f t="shared" si="65"/>
        <v>0</v>
      </c>
      <c r="G189" s="74"/>
      <c r="H189" s="235"/>
      <c r="I189" s="208">
        <f t="shared" si="66"/>
        <v>0</v>
      </c>
      <c r="J189" s="257"/>
      <c r="K189" s="235"/>
      <c r="L189" s="208">
        <f t="shared" si="67"/>
        <v>0</v>
      </c>
      <c r="M189" s="257"/>
      <c r="N189" s="235"/>
      <c r="O189" s="208">
        <f t="shared" si="68"/>
        <v>0</v>
      </c>
      <c r="P189" s="292"/>
      <c r="Q189" s="167">
        <f t="shared" si="62"/>
        <v>0</v>
      </c>
    </row>
    <row r="190" spans="1:17" ht="12.75" hidden="1">
      <c r="A190" s="36" t="s">
        <v>208</v>
      </c>
      <c r="B190" s="57">
        <v>33069</v>
      </c>
      <c r="C190" s="112"/>
      <c r="D190" s="102"/>
      <c r="E190" s="73"/>
      <c r="F190" s="190">
        <f t="shared" si="65"/>
        <v>0</v>
      </c>
      <c r="G190" s="74"/>
      <c r="H190" s="235"/>
      <c r="I190" s="208">
        <f t="shared" si="66"/>
        <v>0</v>
      </c>
      <c r="J190" s="257"/>
      <c r="K190" s="235"/>
      <c r="L190" s="208">
        <f t="shared" si="67"/>
        <v>0</v>
      </c>
      <c r="M190" s="257"/>
      <c r="N190" s="235"/>
      <c r="O190" s="208">
        <f t="shared" si="68"/>
        <v>0</v>
      </c>
      <c r="P190" s="292"/>
      <c r="Q190" s="167">
        <f t="shared" si="62"/>
        <v>0</v>
      </c>
    </row>
    <row r="191" spans="1:17" ht="12.75" hidden="1">
      <c r="A191" s="36" t="s">
        <v>238</v>
      </c>
      <c r="B191" s="57">
        <v>33070</v>
      </c>
      <c r="C191" s="112"/>
      <c r="D191" s="102"/>
      <c r="E191" s="73"/>
      <c r="F191" s="190">
        <f t="shared" si="65"/>
        <v>0</v>
      </c>
      <c r="G191" s="74"/>
      <c r="H191" s="235"/>
      <c r="I191" s="208">
        <f t="shared" si="66"/>
        <v>0</v>
      </c>
      <c r="J191" s="257"/>
      <c r="K191" s="235"/>
      <c r="L191" s="208">
        <f t="shared" si="67"/>
        <v>0</v>
      </c>
      <c r="M191" s="257"/>
      <c r="N191" s="235"/>
      <c r="O191" s="208">
        <f t="shared" si="68"/>
        <v>0</v>
      </c>
      <c r="P191" s="292"/>
      <c r="Q191" s="167">
        <f t="shared" si="62"/>
        <v>0</v>
      </c>
    </row>
    <row r="192" spans="1:17" ht="12.75" hidden="1">
      <c r="A192" s="20" t="s">
        <v>231</v>
      </c>
      <c r="B192" s="57">
        <v>33071</v>
      </c>
      <c r="C192" s="112"/>
      <c r="D192" s="102"/>
      <c r="E192" s="73"/>
      <c r="F192" s="190">
        <f t="shared" si="65"/>
        <v>0</v>
      </c>
      <c r="G192" s="74"/>
      <c r="H192" s="235"/>
      <c r="I192" s="208">
        <f t="shared" si="66"/>
        <v>0</v>
      </c>
      <c r="J192" s="257"/>
      <c r="K192" s="235"/>
      <c r="L192" s="208">
        <f t="shared" si="67"/>
        <v>0</v>
      </c>
      <c r="M192" s="257"/>
      <c r="N192" s="235"/>
      <c r="O192" s="208">
        <f t="shared" si="68"/>
        <v>0</v>
      </c>
      <c r="P192" s="292"/>
      <c r="Q192" s="167">
        <f t="shared" si="62"/>
        <v>0</v>
      </c>
    </row>
    <row r="193" spans="1:17" ht="12.75" hidden="1">
      <c r="A193" s="20" t="s">
        <v>180</v>
      </c>
      <c r="B193" s="57">
        <v>33050</v>
      </c>
      <c r="C193" s="112"/>
      <c r="D193" s="102"/>
      <c r="E193" s="73"/>
      <c r="F193" s="190">
        <f t="shared" si="65"/>
        <v>0</v>
      </c>
      <c r="G193" s="74"/>
      <c r="H193" s="235"/>
      <c r="I193" s="208">
        <f t="shared" si="66"/>
        <v>0</v>
      </c>
      <c r="J193" s="257"/>
      <c r="K193" s="235"/>
      <c r="L193" s="208">
        <f t="shared" si="67"/>
        <v>0</v>
      </c>
      <c r="M193" s="257"/>
      <c r="N193" s="235"/>
      <c r="O193" s="208">
        <f t="shared" si="68"/>
        <v>0</v>
      </c>
      <c r="P193" s="292"/>
      <c r="Q193" s="167">
        <f t="shared" si="62"/>
        <v>0</v>
      </c>
    </row>
    <row r="194" spans="1:17" ht="12.75" hidden="1">
      <c r="A194" s="20" t="s">
        <v>141</v>
      </c>
      <c r="B194" s="57">
        <v>33435</v>
      </c>
      <c r="C194" s="112"/>
      <c r="D194" s="102"/>
      <c r="E194" s="73"/>
      <c r="F194" s="190">
        <f t="shared" si="65"/>
        <v>0</v>
      </c>
      <c r="G194" s="74"/>
      <c r="H194" s="235"/>
      <c r="I194" s="208">
        <f t="shared" si="66"/>
        <v>0</v>
      </c>
      <c r="J194" s="257"/>
      <c r="K194" s="235"/>
      <c r="L194" s="208">
        <f t="shared" si="67"/>
        <v>0</v>
      </c>
      <c r="M194" s="257"/>
      <c r="N194" s="235"/>
      <c r="O194" s="208">
        <f t="shared" si="68"/>
        <v>0</v>
      </c>
      <c r="P194" s="292"/>
      <c r="Q194" s="167">
        <f t="shared" si="62"/>
        <v>0</v>
      </c>
    </row>
    <row r="195" spans="1:17" ht="12.75" hidden="1">
      <c r="A195" s="20" t="s">
        <v>196</v>
      </c>
      <c r="B195" s="57">
        <v>33049</v>
      </c>
      <c r="C195" s="112"/>
      <c r="D195" s="102"/>
      <c r="E195" s="73"/>
      <c r="F195" s="190">
        <f t="shared" si="65"/>
        <v>0</v>
      </c>
      <c r="G195" s="74"/>
      <c r="H195" s="235"/>
      <c r="I195" s="208">
        <f t="shared" si="66"/>
        <v>0</v>
      </c>
      <c r="J195" s="257"/>
      <c r="K195" s="235"/>
      <c r="L195" s="208">
        <f t="shared" si="67"/>
        <v>0</v>
      </c>
      <c r="M195" s="257"/>
      <c r="N195" s="235"/>
      <c r="O195" s="208">
        <f t="shared" si="68"/>
        <v>0</v>
      </c>
      <c r="P195" s="292"/>
      <c r="Q195" s="167">
        <f t="shared" si="62"/>
        <v>0</v>
      </c>
    </row>
    <row r="196" spans="1:17" ht="12.75" hidden="1">
      <c r="A196" s="20" t="s">
        <v>181</v>
      </c>
      <c r="B196" s="57">
        <v>33044</v>
      </c>
      <c r="C196" s="112"/>
      <c r="D196" s="102"/>
      <c r="E196" s="73"/>
      <c r="F196" s="190">
        <f t="shared" si="65"/>
        <v>0</v>
      </c>
      <c r="G196" s="74"/>
      <c r="H196" s="235"/>
      <c r="I196" s="208">
        <f t="shared" si="66"/>
        <v>0</v>
      </c>
      <c r="J196" s="257"/>
      <c r="K196" s="235"/>
      <c r="L196" s="208">
        <f t="shared" si="67"/>
        <v>0</v>
      </c>
      <c r="M196" s="257"/>
      <c r="N196" s="235"/>
      <c r="O196" s="208">
        <f t="shared" si="68"/>
        <v>0</v>
      </c>
      <c r="P196" s="292"/>
      <c r="Q196" s="167">
        <f t="shared" si="62"/>
        <v>0</v>
      </c>
    </row>
    <row r="197" spans="1:17" ht="12.75" hidden="1">
      <c r="A197" s="20" t="s">
        <v>185</v>
      </c>
      <c r="B197" s="57">
        <v>33024</v>
      </c>
      <c r="C197" s="112"/>
      <c r="D197" s="102"/>
      <c r="E197" s="73"/>
      <c r="F197" s="190">
        <f t="shared" si="65"/>
        <v>0</v>
      </c>
      <c r="G197" s="74"/>
      <c r="H197" s="235"/>
      <c r="I197" s="208">
        <f t="shared" si="66"/>
        <v>0</v>
      </c>
      <c r="J197" s="257"/>
      <c r="K197" s="235"/>
      <c r="L197" s="208">
        <f t="shared" si="67"/>
        <v>0</v>
      </c>
      <c r="M197" s="257"/>
      <c r="N197" s="235"/>
      <c r="O197" s="208">
        <f t="shared" si="68"/>
        <v>0</v>
      </c>
      <c r="P197" s="292"/>
      <c r="Q197" s="167">
        <f t="shared" si="62"/>
        <v>0</v>
      </c>
    </row>
    <row r="198" spans="1:17" ht="12.75" hidden="1">
      <c r="A198" s="36" t="s">
        <v>146</v>
      </c>
      <c r="B198" s="57">
        <v>33018</v>
      </c>
      <c r="C198" s="112"/>
      <c r="D198" s="102"/>
      <c r="E198" s="73"/>
      <c r="F198" s="190">
        <f t="shared" si="65"/>
        <v>0</v>
      </c>
      <c r="G198" s="74"/>
      <c r="H198" s="235"/>
      <c r="I198" s="208">
        <f t="shared" si="66"/>
        <v>0</v>
      </c>
      <c r="J198" s="257"/>
      <c r="K198" s="235"/>
      <c r="L198" s="208">
        <f t="shared" si="67"/>
        <v>0</v>
      </c>
      <c r="M198" s="257"/>
      <c r="N198" s="235"/>
      <c r="O198" s="208">
        <f t="shared" si="68"/>
        <v>0</v>
      </c>
      <c r="P198" s="292"/>
      <c r="Q198" s="167">
        <f t="shared" si="62"/>
        <v>0</v>
      </c>
    </row>
    <row r="199" spans="1:17" ht="12.75">
      <c r="A199" s="20" t="s">
        <v>334</v>
      </c>
      <c r="B199" s="57">
        <v>33352</v>
      </c>
      <c r="C199" s="112"/>
      <c r="D199" s="102">
        <f>13643.49</f>
        <v>13643.49</v>
      </c>
      <c r="E199" s="73"/>
      <c r="F199" s="132">
        <f t="shared" si="65"/>
        <v>13643.49</v>
      </c>
      <c r="G199" s="74"/>
      <c r="H199" s="235"/>
      <c r="I199" s="208">
        <f t="shared" si="66"/>
        <v>13643.49</v>
      </c>
      <c r="J199" s="257"/>
      <c r="K199" s="235"/>
      <c r="L199" s="208">
        <f t="shared" si="67"/>
        <v>13643.49</v>
      </c>
      <c r="M199" s="257">
        <f>5175.12</f>
        <v>5175.12</v>
      </c>
      <c r="N199" s="235"/>
      <c r="O199" s="208">
        <f t="shared" si="68"/>
        <v>18818.61</v>
      </c>
      <c r="P199" s="292"/>
      <c r="Q199" s="167">
        <f t="shared" si="62"/>
        <v>18818.61</v>
      </c>
    </row>
    <row r="200" spans="1:17" ht="12.75" hidden="1">
      <c r="A200" s="36" t="s">
        <v>164</v>
      </c>
      <c r="B200" s="57">
        <v>33160</v>
      </c>
      <c r="C200" s="112"/>
      <c r="D200" s="102"/>
      <c r="E200" s="73"/>
      <c r="F200" s="190">
        <f t="shared" si="65"/>
        <v>0</v>
      </c>
      <c r="G200" s="74"/>
      <c r="H200" s="235"/>
      <c r="I200" s="208">
        <f t="shared" si="66"/>
        <v>0</v>
      </c>
      <c r="J200" s="257"/>
      <c r="K200" s="235"/>
      <c r="L200" s="208">
        <f t="shared" si="67"/>
        <v>0</v>
      </c>
      <c r="M200" s="257"/>
      <c r="N200" s="235"/>
      <c r="O200" s="208">
        <f t="shared" si="68"/>
        <v>0</v>
      </c>
      <c r="P200" s="292"/>
      <c r="Q200" s="167">
        <f t="shared" si="62"/>
        <v>0</v>
      </c>
    </row>
    <row r="201" spans="1:17" ht="12.75" hidden="1">
      <c r="A201" s="20" t="s">
        <v>134</v>
      </c>
      <c r="B201" s="57"/>
      <c r="C201" s="112"/>
      <c r="D201" s="102"/>
      <c r="E201" s="73"/>
      <c r="F201" s="190">
        <f t="shared" si="65"/>
        <v>0</v>
      </c>
      <c r="G201" s="74"/>
      <c r="H201" s="235"/>
      <c r="I201" s="208">
        <f t="shared" si="66"/>
        <v>0</v>
      </c>
      <c r="J201" s="257"/>
      <c r="K201" s="235"/>
      <c r="L201" s="208">
        <f t="shared" si="67"/>
        <v>0</v>
      </c>
      <c r="M201" s="257"/>
      <c r="N201" s="235"/>
      <c r="O201" s="208">
        <f t="shared" si="68"/>
        <v>0</v>
      </c>
      <c r="P201" s="292"/>
      <c r="Q201" s="167">
        <f t="shared" si="62"/>
        <v>0</v>
      </c>
    </row>
    <row r="202" spans="1:17" ht="12.75" hidden="1">
      <c r="A202" s="36" t="s">
        <v>337</v>
      </c>
      <c r="B202" s="57">
        <v>33087</v>
      </c>
      <c r="C202" s="112"/>
      <c r="D202" s="102"/>
      <c r="E202" s="73"/>
      <c r="F202" s="190">
        <f t="shared" si="65"/>
        <v>0</v>
      </c>
      <c r="G202" s="74"/>
      <c r="H202" s="235"/>
      <c r="I202" s="208">
        <f t="shared" si="66"/>
        <v>0</v>
      </c>
      <c r="J202" s="257"/>
      <c r="K202" s="235"/>
      <c r="L202" s="208">
        <f t="shared" si="67"/>
        <v>0</v>
      </c>
      <c r="M202" s="257"/>
      <c r="N202" s="235"/>
      <c r="O202" s="208">
        <f t="shared" si="68"/>
        <v>0</v>
      </c>
      <c r="P202" s="292"/>
      <c r="Q202" s="167">
        <f t="shared" si="62"/>
        <v>0</v>
      </c>
    </row>
    <row r="203" spans="1:17" ht="12.75">
      <c r="A203" s="36" t="s">
        <v>338</v>
      </c>
      <c r="B203" s="57">
        <v>33087</v>
      </c>
      <c r="C203" s="112"/>
      <c r="D203" s="102"/>
      <c r="E203" s="73"/>
      <c r="F203" s="190">
        <f t="shared" si="65"/>
        <v>0</v>
      </c>
      <c r="G203" s="74">
        <f>36218</f>
        <v>36218</v>
      </c>
      <c r="H203" s="235"/>
      <c r="I203" s="208">
        <f t="shared" si="66"/>
        <v>36218</v>
      </c>
      <c r="J203" s="257"/>
      <c r="K203" s="235"/>
      <c r="L203" s="208">
        <f t="shared" si="67"/>
        <v>36218</v>
      </c>
      <c r="M203" s="257"/>
      <c r="N203" s="235"/>
      <c r="O203" s="208">
        <f t="shared" si="68"/>
        <v>36218</v>
      </c>
      <c r="P203" s="292"/>
      <c r="Q203" s="167"/>
    </row>
    <row r="204" spans="1:17" ht="12.75">
      <c r="A204" s="36" t="s">
        <v>295</v>
      </c>
      <c r="B204" s="57">
        <v>33086</v>
      </c>
      <c r="C204" s="112"/>
      <c r="D204" s="102"/>
      <c r="E204" s="73"/>
      <c r="F204" s="190">
        <f t="shared" si="65"/>
        <v>0</v>
      </c>
      <c r="G204" s="74">
        <f>20208</f>
        <v>20208</v>
      </c>
      <c r="H204" s="235"/>
      <c r="I204" s="208">
        <f t="shared" si="66"/>
        <v>20208</v>
      </c>
      <c r="J204" s="257"/>
      <c r="K204" s="235"/>
      <c r="L204" s="208">
        <f t="shared" si="67"/>
        <v>20208</v>
      </c>
      <c r="M204" s="257"/>
      <c r="N204" s="235"/>
      <c r="O204" s="208">
        <f t="shared" si="68"/>
        <v>20208</v>
      </c>
      <c r="P204" s="292"/>
      <c r="Q204" s="167"/>
    </row>
    <row r="205" spans="1:17" ht="12.75">
      <c r="A205" s="36" t="s">
        <v>339</v>
      </c>
      <c r="B205" s="57">
        <v>33088</v>
      </c>
      <c r="C205" s="112"/>
      <c r="D205" s="102"/>
      <c r="E205" s="73"/>
      <c r="F205" s="190">
        <f t="shared" si="65"/>
        <v>0</v>
      </c>
      <c r="G205" s="74">
        <f>21575</f>
        <v>21575</v>
      </c>
      <c r="H205" s="235"/>
      <c r="I205" s="208">
        <f t="shared" si="66"/>
        <v>21575</v>
      </c>
      <c r="J205" s="257"/>
      <c r="K205" s="235"/>
      <c r="L205" s="208">
        <f t="shared" si="67"/>
        <v>21575</v>
      </c>
      <c r="M205" s="257"/>
      <c r="N205" s="235"/>
      <c r="O205" s="208">
        <f t="shared" si="68"/>
        <v>21575</v>
      </c>
      <c r="P205" s="292"/>
      <c r="Q205" s="167"/>
    </row>
    <row r="206" spans="1:17" ht="12.75">
      <c r="A206" s="36" t="s">
        <v>356</v>
      </c>
      <c r="B206" s="57">
        <v>33093</v>
      </c>
      <c r="C206" s="112"/>
      <c r="D206" s="102"/>
      <c r="E206" s="73"/>
      <c r="F206" s="190">
        <f t="shared" si="65"/>
        <v>0</v>
      </c>
      <c r="G206" s="74">
        <f>600+150</f>
        <v>750</v>
      </c>
      <c r="H206" s="235"/>
      <c r="I206" s="208">
        <f t="shared" si="66"/>
        <v>750</v>
      </c>
      <c r="J206" s="257">
        <f>375</f>
        <v>375</v>
      </c>
      <c r="K206" s="235"/>
      <c r="L206" s="208">
        <f t="shared" si="67"/>
        <v>1125</v>
      </c>
      <c r="M206" s="257"/>
      <c r="N206" s="235"/>
      <c r="O206" s="208">
        <f t="shared" si="68"/>
        <v>1125</v>
      </c>
      <c r="P206" s="292"/>
      <c r="Q206" s="167"/>
    </row>
    <row r="207" spans="1:17" ht="12.75">
      <c r="A207" s="278" t="s">
        <v>360</v>
      </c>
      <c r="B207" s="57">
        <v>33160</v>
      </c>
      <c r="C207" s="112"/>
      <c r="D207" s="102"/>
      <c r="E207" s="73"/>
      <c r="F207" s="190"/>
      <c r="G207" s="74"/>
      <c r="H207" s="235"/>
      <c r="I207" s="208">
        <f t="shared" si="66"/>
        <v>0</v>
      </c>
      <c r="J207" s="257">
        <f>268.27</f>
        <v>268.27</v>
      </c>
      <c r="K207" s="235"/>
      <c r="L207" s="208">
        <f t="shared" si="67"/>
        <v>268.27</v>
      </c>
      <c r="M207" s="257"/>
      <c r="N207" s="235"/>
      <c r="O207" s="208">
        <f t="shared" si="68"/>
        <v>268.27</v>
      </c>
      <c r="P207" s="292"/>
      <c r="Q207" s="167"/>
    </row>
    <row r="208" spans="1:17" ht="12.75">
      <c r="A208" s="287" t="s">
        <v>377</v>
      </c>
      <c r="B208" s="57">
        <v>33351</v>
      </c>
      <c r="C208" s="112"/>
      <c r="D208" s="102"/>
      <c r="E208" s="73"/>
      <c r="F208" s="190"/>
      <c r="G208" s="74"/>
      <c r="H208" s="235"/>
      <c r="I208" s="208"/>
      <c r="J208" s="257"/>
      <c r="K208" s="235"/>
      <c r="L208" s="208">
        <f t="shared" si="67"/>
        <v>0</v>
      </c>
      <c r="M208" s="257">
        <f>1271.05</f>
        <v>1271.05</v>
      </c>
      <c r="N208" s="235"/>
      <c r="O208" s="208">
        <f t="shared" si="68"/>
        <v>1271.05</v>
      </c>
      <c r="P208" s="292"/>
      <c r="Q208" s="167"/>
    </row>
    <row r="209" spans="1:17" ht="12.75" hidden="1">
      <c r="A209" s="36" t="s">
        <v>133</v>
      </c>
      <c r="B209" s="57"/>
      <c r="C209" s="112"/>
      <c r="D209" s="102"/>
      <c r="E209" s="73"/>
      <c r="F209" s="190">
        <f t="shared" si="65"/>
        <v>0</v>
      </c>
      <c r="G209" s="74"/>
      <c r="H209" s="235"/>
      <c r="I209" s="208">
        <f t="shared" si="66"/>
        <v>0</v>
      </c>
      <c r="J209" s="257"/>
      <c r="K209" s="235"/>
      <c r="L209" s="208">
        <f t="shared" si="67"/>
        <v>0</v>
      </c>
      <c r="M209" s="257"/>
      <c r="N209" s="235"/>
      <c r="O209" s="208">
        <f t="shared" si="68"/>
        <v>0</v>
      </c>
      <c r="P209" s="292"/>
      <c r="Q209" s="167">
        <f t="shared" si="62"/>
        <v>0</v>
      </c>
    </row>
    <row r="210" spans="1:17" ht="12.75" hidden="1">
      <c r="A210" s="20" t="s">
        <v>78</v>
      </c>
      <c r="B210" s="57">
        <v>33025</v>
      </c>
      <c r="C210" s="112"/>
      <c r="D210" s="102"/>
      <c r="E210" s="73"/>
      <c r="F210" s="190">
        <f t="shared" si="65"/>
        <v>0</v>
      </c>
      <c r="G210" s="74"/>
      <c r="H210" s="235"/>
      <c r="I210" s="208">
        <f t="shared" si="66"/>
        <v>0</v>
      </c>
      <c r="J210" s="257"/>
      <c r="K210" s="235"/>
      <c r="L210" s="208">
        <f t="shared" si="67"/>
        <v>0</v>
      </c>
      <c r="M210" s="257"/>
      <c r="N210" s="235"/>
      <c r="O210" s="208">
        <f t="shared" si="68"/>
        <v>0</v>
      </c>
      <c r="P210" s="292"/>
      <c r="Q210" s="167">
        <f t="shared" si="62"/>
        <v>0</v>
      </c>
    </row>
    <row r="211" spans="1:17" ht="12.75" hidden="1">
      <c r="A211" s="20" t="s">
        <v>154</v>
      </c>
      <c r="B211" s="57">
        <v>33038</v>
      </c>
      <c r="C211" s="112"/>
      <c r="D211" s="102"/>
      <c r="E211" s="73"/>
      <c r="F211" s="190">
        <f t="shared" si="65"/>
        <v>0</v>
      </c>
      <c r="G211" s="74"/>
      <c r="H211" s="235"/>
      <c r="I211" s="208">
        <f t="shared" si="66"/>
        <v>0</v>
      </c>
      <c r="J211" s="257"/>
      <c r="K211" s="235"/>
      <c r="L211" s="208">
        <f t="shared" si="67"/>
        <v>0</v>
      </c>
      <c r="M211" s="257"/>
      <c r="N211" s="235"/>
      <c r="O211" s="208">
        <f t="shared" si="68"/>
        <v>0</v>
      </c>
      <c r="P211" s="292"/>
      <c r="Q211" s="167">
        <f t="shared" si="62"/>
        <v>0</v>
      </c>
    </row>
    <row r="212" spans="1:17" ht="12.75">
      <c r="A212" s="20" t="s">
        <v>335</v>
      </c>
      <c r="B212" s="57" t="s">
        <v>373</v>
      </c>
      <c r="C212" s="112"/>
      <c r="D212" s="102">
        <f>12646.55</f>
        <v>12646.55</v>
      </c>
      <c r="E212" s="73"/>
      <c r="F212" s="190">
        <f t="shared" si="65"/>
        <v>12646.55</v>
      </c>
      <c r="G212" s="74">
        <f>82194.23+1663.5</f>
        <v>83857.73</v>
      </c>
      <c r="H212" s="235"/>
      <c r="I212" s="208">
        <f t="shared" si="66"/>
        <v>96504.28</v>
      </c>
      <c r="J212" s="257">
        <f>30476.12</f>
        <v>30476.12</v>
      </c>
      <c r="K212" s="235"/>
      <c r="L212" s="208">
        <f t="shared" si="67"/>
        <v>126980.4</v>
      </c>
      <c r="M212" s="257">
        <f>397.98+3799.25</f>
        <v>4197.23</v>
      </c>
      <c r="N212" s="235"/>
      <c r="O212" s="208">
        <f t="shared" si="68"/>
        <v>131177.63</v>
      </c>
      <c r="P212" s="292"/>
      <c r="Q212" s="167">
        <f t="shared" si="62"/>
        <v>131177.63</v>
      </c>
    </row>
    <row r="213" spans="1:17" ht="12.75">
      <c r="A213" s="20" t="s">
        <v>330</v>
      </c>
      <c r="B213" s="57">
        <v>33167</v>
      </c>
      <c r="C213" s="112"/>
      <c r="D213" s="102">
        <f>15000</f>
        <v>15000</v>
      </c>
      <c r="E213" s="73"/>
      <c r="F213" s="190">
        <f t="shared" si="65"/>
        <v>15000</v>
      </c>
      <c r="G213" s="74"/>
      <c r="H213" s="235"/>
      <c r="I213" s="208">
        <f t="shared" si="66"/>
        <v>15000</v>
      </c>
      <c r="J213" s="257">
        <f>-10005.73</f>
        <v>-10005.73</v>
      </c>
      <c r="K213" s="235"/>
      <c r="L213" s="208">
        <f t="shared" si="67"/>
        <v>4994.27</v>
      </c>
      <c r="M213" s="257"/>
      <c r="N213" s="235"/>
      <c r="O213" s="208">
        <f t="shared" si="68"/>
        <v>4994.27</v>
      </c>
      <c r="P213" s="292"/>
      <c r="Q213" s="167"/>
    </row>
    <row r="214" spans="1:17" ht="12.75">
      <c r="A214" s="20" t="s">
        <v>346</v>
      </c>
      <c r="B214" s="57">
        <v>13305</v>
      </c>
      <c r="C214" s="112"/>
      <c r="D214" s="102"/>
      <c r="E214" s="73"/>
      <c r="F214" s="190">
        <f t="shared" si="65"/>
        <v>0</v>
      </c>
      <c r="G214" s="74">
        <f>5674.87</f>
        <v>5674.87</v>
      </c>
      <c r="H214" s="235"/>
      <c r="I214" s="208">
        <f t="shared" si="66"/>
        <v>5674.87</v>
      </c>
      <c r="J214" s="257">
        <f>3783.25</f>
        <v>3783.25</v>
      </c>
      <c r="K214" s="235"/>
      <c r="L214" s="208">
        <f t="shared" si="67"/>
        <v>9458.119999999999</v>
      </c>
      <c r="M214" s="257"/>
      <c r="N214" s="235"/>
      <c r="O214" s="208">
        <f t="shared" si="68"/>
        <v>9458.119999999999</v>
      </c>
      <c r="P214" s="292"/>
      <c r="Q214" s="167"/>
    </row>
    <row r="215" spans="1:17" ht="12.75">
      <c r="A215" s="20" t="s">
        <v>341</v>
      </c>
      <c r="B215" s="228" t="s">
        <v>342</v>
      </c>
      <c r="C215" s="112"/>
      <c r="D215" s="102"/>
      <c r="E215" s="73"/>
      <c r="F215" s="190">
        <f t="shared" si="65"/>
        <v>0</v>
      </c>
      <c r="G215" s="74">
        <f>153.78+871.4</f>
        <v>1025.18</v>
      </c>
      <c r="H215" s="235"/>
      <c r="I215" s="208">
        <f t="shared" si="66"/>
        <v>1025.18</v>
      </c>
      <c r="J215" s="257"/>
      <c r="K215" s="235"/>
      <c r="L215" s="208">
        <f t="shared" si="67"/>
        <v>1025.18</v>
      </c>
      <c r="M215" s="257"/>
      <c r="N215" s="235"/>
      <c r="O215" s="208">
        <f t="shared" si="68"/>
        <v>1025.18</v>
      </c>
      <c r="P215" s="292"/>
      <c r="Q215" s="167"/>
    </row>
    <row r="216" spans="1:17" ht="12.75" hidden="1">
      <c r="A216" s="20" t="s">
        <v>242</v>
      </c>
      <c r="B216" s="279" t="s">
        <v>243</v>
      </c>
      <c r="C216" s="112"/>
      <c r="D216" s="102"/>
      <c r="E216" s="73"/>
      <c r="F216" s="190">
        <f t="shared" si="65"/>
        <v>0</v>
      </c>
      <c r="G216" s="74"/>
      <c r="H216" s="235"/>
      <c r="I216" s="208">
        <f t="shared" si="66"/>
        <v>0</v>
      </c>
      <c r="J216" s="257"/>
      <c r="K216" s="235"/>
      <c r="L216" s="208">
        <f t="shared" si="67"/>
        <v>0</v>
      </c>
      <c r="M216" s="257"/>
      <c r="N216" s="235"/>
      <c r="O216" s="208">
        <f t="shared" si="68"/>
        <v>0</v>
      </c>
      <c r="P216" s="292"/>
      <c r="Q216" s="167">
        <f t="shared" si="62"/>
        <v>0</v>
      </c>
    </row>
    <row r="217" spans="1:17" ht="12.75" hidden="1">
      <c r="A217" s="20" t="s">
        <v>290</v>
      </c>
      <c r="B217" s="57"/>
      <c r="C217" s="112"/>
      <c r="D217" s="102"/>
      <c r="E217" s="73"/>
      <c r="F217" s="190">
        <f t="shared" si="65"/>
        <v>0</v>
      </c>
      <c r="G217" s="74"/>
      <c r="H217" s="235"/>
      <c r="I217" s="208">
        <f t="shared" si="66"/>
        <v>0</v>
      </c>
      <c r="J217" s="257"/>
      <c r="K217" s="235"/>
      <c r="L217" s="208">
        <f t="shared" si="67"/>
        <v>0</v>
      </c>
      <c r="M217" s="257"/>
      <c r="N217" s="235"/>
      <c r="O217" s="208">
        <f t="shared" si="68"/>
        <v>0</v>
      </c>
      <c r="P217" s="292"/>
      <c r="Q217" s="167">
        <f t="shared" si="62"/>
        <v>0</v>
      </c>
    </row>
    <row r="218" spans="1:17" ht="12.75">
      <c r="A218" s="20" t="s">
        <v>351</v>
      </c>
      <c r="B218" s="57"/>
      <c r="C218" s="112"/>
      <c r="D218" s="102"/>
      <c r="E218" s="73"/>
      <c r="F218" s="190">
        <f t="shared" si="65"/>
        <v>0</v>
      </c>
      <c r="G218" s="74">
        <f>6.89+12.28+3.92</f>
        <v>23.089999999999996</v>
      </c>
      <c r="H218" s="235"/>
      <c r="I218" s="208">
        <f t="shared" si="66"/>
        <v>23.089999999999996</v>
      </c>
      <c r="J218" s="257"/>
      <c r="K218" s="235"/>
      <c r="L218" s="208">
        <f t="shared" si="67"/>
        <v>23.089999999999996</v>
      </c>
      <c r="M218" s="257"/>
      <c r="N218" s="235"/>
      <c r="O218" s="208">
        <f t="shared" si="68"/>
        <v>23.089999999999996</v>
      </c>
      <c r="P218" s="292"/>
      <c r="Q218" s="167"/>
    </row>
    <row r="219" spans="1:17" ht="12.75">
      <c r="A219" s="20" t="s">
        <v>329</v>
      </c>
      <c r="B219" s="279" t="s">
        <v>243</v>
      </c>
      <c r="C219" s="112"/>
      <c r="D219" s="102">
        <f>754.79</f>
        <v>754.79</v>
      </c>
      <c r="E219" s="73"/>
      <c r="F219" s="190">
        <f t="shared" si="65"/>
        <v>754.79</v>
      </c>
      <c r="G219" s="74">
        <f>13.41+228</f>
        <v>241.41</v>
      </c>
      <c r="H219" s="235"/>
      <c r="I219" s="208">
        <f t="shared" si="66"/>
        <v>996.1999999999999</v>
      </c>
      <c r="J219" s="257">
        <f>36.32+1002.11</f>
        <v>1038.43</v>
      </c>
      <c r="K219" s="235"/>
      <c r="L219" s="208">
        <f t="shared" si="67"/>
        <v>2034.63</v>
      </c>
      <c r="M219" s="257"/>
      <c r="N219" s="235"/>
      <c r="O219" s="208">
        <f t="shared" si="68"/>
        <v>2034.63</v>
      </c>
      <c r="P219" s="292"/>
      <c r="Q219" s="167"/>
    </row>
    <row r="220" spans="1:17" ht="12.75">
      <c r="A220" s="20" t="s">
        <v>312</v>
      </c>
      <c r="B220" s="57">
        <v>2054</v>
      </c>
      <c r="C220" s="112"/>
      <c r="D220" s="102">
        <f>3552.18</f>
        <v>3552.18</v>
      </c>
      <c r="E220" s="73"/>
      <c r="F220" s="190">
        <f t="shared" si="65"/>
        <v>3552.18</v>
      </c>
      <c r="G220" s="74"/>
      <c r="H220" s="235"/>
      <c r="I220" s="208">
        <f t="shared" si="66"/>
        <v>3552.18</v>
      </c>
      <c r="J220" s="257"/>
      <c r="K220" s="235"/>
      <c r="L220" s="208">
        <f t="shared" si="67"/>
        <v>3552.18</v>
      </c>
      <c r="M220" s="257"/>
      <c r="N220" s="235"/>
      <c r="O220" s="208">
        <f t="shared" si="68"/>
        <v>3552.18</v>
      </c>
      <c r="P220" s="292"/>
      <c r="Q220" s="167">
        <f t="shared" si="62"/>
        <v>3552.18</v>
      </c>
    </row>
    <row r="221" spans="1:17" ht="12.75">
      <c r="A221" s="20" t="s">
        <v>314</v>
      </c>
      <c r="B221" s="57"/>
      <c r="C221" s="112"/>
      <c r="D221" s="102">
        <f>2429.34</f>
        <v>2429.34</v>
      </c>
      <c r="E221" s="73"/>
      <c r="F221" s="190">
        <f t="shared" si="65"/>
        <v>2429.34</v>
      </c>
      <c r="G221" s="74"/>
      <c r="H221" s="235"/>
      <c r="I221" s="208">
        <f t="shared" si="66"/>
        <v>2429.34</v>
      </c>
      <c r="J221" s="257"/>
      <c r="K221" s="235"/>
      <c r="L221" s="208">
        <f t="shared" si="67"/>
        <v>2429.34</v>
      </c>
      <c r="M221" s="257"/>
      <c r="N221" s="235"/>
      <c r="O221" s="208">
        <f t="shared" si="68"/>
        <v>2429.34</v>
      </c>
      <c r="P221" s="292"/>
      <c r="Q221" s="167"/>
    </row>
    <row r="222" spans="1:17" ht="12.75">
      <c r="A222" s="20" t="s">
        <v>340</v>
      </c>
      <c r="B222" s="57"/>
      <c r="C222" s="112"/>
      <c r="D222" s="102"/>
      <c r="E222" s="73"/>
      <c r="F222" s="190">
        <f t="shared" si="65"/>
        <v>0</v>
      </c>
      <c r="G222" s="74">
        <f>1974.38</f>
        <v>1974.38</v>
      </c>
      <c r="H222" s="235"/>
      <c r="I222" s="208">
        <f t="shared" si="66"/>
        <v>1974.38</v>
      </c>
      <c r="J222" s="257"/>
      <c r="K222" s="235"/>
      <c r="L222" s="208">
        <f t="shared" si="67"/>
        <v>1974.38</v>
      </c>
      <c r="M222" s="257">
        <f>758.58</f>
        <v>758.58</v>
      </c>
      <c r="N222" s="235"/>
      <c r="O222" s="208">
        <f t="shared" si="68"/>
        <v>2732.96</v>
      </c>
      <c r="P222" s="292"/>
      <c r="Q222" s="167"/>
    </row>
    <row r="223" spans="1:17" ht="12.75">
      <c r="A223" s="20" t="s">
        <v>313</v>
      </c>
      <c r="B223" s="57">
        <v>2066</v>
      </c>
      <c r="C223" s="112"/>
      <c r="D223" s="102">
        <f>18909.29</f>
        <v>18909.29</v>
      </c>
      <c r="E223" s="73"/>
      <c r="F223" s="190">
        <f t="shared" si="65"/>
        <v>18909.29</v>
      </c>
      <c r="G223" s="74"/>
      <c r="H223" s="235"/>
      <c r="I223" s="208">
        <f t="shared" si="66"/>
        <v>18909.29</v>
      </c>
      <c r="J223" s="257"/>
      <c r="K223" s="235"/>
      <c r="L223" s="208">
        <f t="shared" si="67"/>
        <v>18909.29</v>
      </c>
      <c r="M223" s="257"/>
      <c r="N223" s="235"/>
      <c r="O223" s="208">
        <f t="shared" si="68"/>
        <v>18909.29</v>
      </c>
      <c r="P223" s="292"/>
      <c r="Q223" s="167">
        <f t="shared" si="62"/>
        <v>18909.29</v>
      </c>
    </row>
    <row r="224" spans="1:17" ht="12.75">
      <c r="A224" s="20" t="s">
        <v>352</v>
      </c>
      <c r="B224" s="57"/>
      <c r="C224" s="112"/>
      <c r="D224" s="102"/>
      <c r="E224" s="73"/>
      <c r="F224" s="190">
        <f t="shared" si="65"/>
        <v>0</v>
      </c>
      <c r="G224" s="74">
        <f>28283.24</f>
        <v>28283.24</v>
      </c>
      <c r="H224" s="235"/>
      <c r="I224" s="208">
        <f t="shared" si="66"/>
        <v>28283.24</v>
      </c>
      <c r="J224" s="257">
        <f>19829.14</f>
        <v>19829.14</v>
      </c>
      <c r="K224" s="235"/>
      <c r="L224" s="208">
        <f t="shared" si="67"/>
        <v>48112.380000000005</v>
      </c>
      <c r="M224" s="257"/>
      <c r="N224" s="235"/>
      <c r="O224" s="208">
        <f t="shared" si="68"/>
        <v>48112.380000000005</v>
      </c>
      <c r="P224" s="292"/>
      <c r="Q224" s="167"/>
    </row>
    <row r="225" spans="1:17" ht="12.75">
      <c r="A225" s="20" t="s">
        <v>71</v>
      </c>
      <c r="B225" s="108" t="s">
        <v>240</v>
      </c>
      <c r="C225" s="112">
        <v>6820</v>
      </c>
      <c r="D225" s="102">
        <f>2000+12054.72+345.99+3113.45+17829.24</f>
        <v>35343.4</v>
      </c>
      <c r="E225" s="73"/>
      <c r="F225" s="190">
        <f t="shared" si="65"/>
        <v>42163.4</v>
      </c>
      <c r="G225" s="74">
        <f>-6664</f>
        <v>-6664</v>
      </c>
      <c r="H225" s="235"/>
      <c r="I225" s="208">
        <f>F225+G225+H225</f>
        <v>35499.4</v>
      </c>
      <c r="J225" s="257">
        <f>28729.18</f>
        <v>28729.18</v>
      </c>
      <c r="K225" s="235"/>
      <c r="L225" s="208">
        <f t="shared" si="67"/>
        <v>64228.58</v>
      </c>
      <c r="M225" s="260">
        <f>200</f>
        <v>200</v>
      </c>
      <c r="N225" s="235"/>
      <c r="O225" s="208">
        <f t="shared" si="68"/>
        <v>64428.58</v>
      </c>
      <c r="P225" s="292"/>
      <c r="Q225" s="167">
        <f t="shared" si="62"/>
        <v>64428.58</v>
      </c>
    </row>
    <row r="226" spans="1:17" ht="12.75">
      <c r="A226" s="20" t="s">
        <v>50</v>
      </c>
      <c r="B226" s="57"/>
      <c r="C226" s="112">
        <v>56295.41</v>
      </c>
      <c r="D226" s="102">
        <f>1474+6205.78+2500-16092.87+5000+20000+10000+6000</f>
        <v>35086.909999999996</v>
      </c>
      <c r="E226" s="73"/>
      <c r="F226" s="190">
        <f t="shared" si="65"/>
        <v>91382.32</v>
      </c>
      <c r="G226" s="74">
        <f>-6500-49354.21-392.46</f>
        <v>-56246.67</v>
      </c>
      <c r="H226" s="235"/>
      <c r="I226" s="208">
        <f>F226+G226+H226</f>
        <v>35135.65000000001</v>
      </c>
      <c r="J226" s="257">
        <f>891.89-4250-500</f>
        <v>-3858.11</v>
      </c>
      <c r="K226" s="235"/>
      <c r="L226" s="208">
        <f>I226+J226+K226</f>
        <v>31277.540000000008</v>
      </c>
      <c r="M226" s="260">
        <f>-10410.83-473.46</f>
        <v>-10884.289999999999</v>
      </c>
      <c r="N226" s="235"/>
      <c r="O226" s="208">
        <f t="shared" si="68"/>
        <v>20393.250000000007</v>
      </c>
      <c r="P226" s="292"/>
      <c r="Q226" s="167">
        <f t="shared" si="62"/>
        <v>20393.250000000007</v>
      </c>
    </row>
    <row r="227" spans="1:17" ht="12.75">
      <c r="A227" s="23" t="s">
        <v>52</v>
      </c>
      <c r="B227" s="61"/>
      <c r="C227" s="116">
        <f>SUM(C229:C236)</f>
        <v>740</v>
      </c>
      <c r="D227" s="106">
        <f aca="true" t="shared" si="69" ref="D227:Q227">SUM(D229:D236)</f>
        <v>7627.6</v>
      </c>
      <c r="E227" s="83">
        <f t="shared" si="69"/>
        <v>0</v>
      </c>
      <c r="F227" s="194">
        <f t="shared" si="69"/>
        <v>8367.6</v>
      </c>
      <c r="G227" s="82">
        <f t="shared" si="69"/>
        <v>12447.76</v>
      </c>
      <c r="H227" s="240">
        <f t="shared" si="69"/>
        <v>0</v>
      </c>
      <c r="I227" s="212">
        <f t="shared" si="69"/>
        <v>20815.36</v>
      </c>
      <c r="J227" s="263">
        <f t="shared" si="69"/>
        <v>-12.46</v>
      </c>
      <c r="K227" s="240">
        <f t="shared" si="69"/>
        <v>0</v>
      </c>
      <c r="L227" s="212">
        <f t="shared" si="69"/>
        <v>20802.9</v>
      </c>
      <c r="M227" s="263">
        <f t="shared" si="69"/>
        <v>6048.0599999999995</v>
      </c>
      <c r="N227" s="240">
        <f t="shared" si="69"/>
        <v>0</v>
      </c>
      <c r="O227" s="212">
        <f t="shared" si="69"/>
        <v>26850.96</v>
      </c>
      <c r="P227" s="106">
        <f t="shared" si="69"/>
        <v>0</v>
      </c>
      <c r="Q227" s="155">
        <f t="shared" si="69"/>
        <v>26634.199999999997</v>
      </c>
    </row>
    <row r="228" spans="1:17" ht="12.75">
      <c r="A228" s="18" t="s">
        <v>26</v>
      </c>
      <c r="B228" s="57"/>
      <c r="C228" s="112"/>
      <c r="D228" s="102"/>
      <c r="E228" s="73"/>
      <c r="F228" s="190"/>
      <c r="G228" s="74"/>
      <c r="H228" s="235"/>
      <c r="I228" s="207"/>
      <c r="J228" s="257"/>
      <c r="K228" s="235"/>
      <c r="L228" s="207"/>
      <c r="M228" s="257"/>
      <c r="N228" s="235"/>
      <c r="O228" s="207"/>
      <c r="P228" s="292"/>
      <c r="Q228" s="167"/>
    </row>
    <row r="229" spans="1:17" ht="12.75">
      <c r="A229" s="20" t="s">
        <v>79</v>
      </c>
      <c r="B229" s="57"/>
      <c r="C229" s="112">
        <v>740</v>
      </c>
      <c r="D229" s="102">
        <f>591+424.61</f>
        <v>1015.61</v>
      </c>
      <c r="E229" s="73"/>
      <c r="F229" s="190">
        <f aca="true" t="shared" si="70" ref="F229:F236">C229+D229+E229</f>
        <v>1755.6100000000001</v>
      </c>
      <c r="G229" s="74">
        <f>5567</f>
        <v>5567</v>
      </c>
      <c r="H229" s="235"/>
      <c r="I229" s="208">
        <f aca="true" t="shared" si="71" ref="I229:I236">F229+G229+H229</f>
        <v>7322.610000000001</v>
      </c>
      <c r="J229" s="257">
        <f>-12.46</f>
        <v>-12.46</v>
      </c>
      <c r="K229" s="235"/>
      <c r="L229" s="208">
        <f aca="true" t="shared" si="72" ref="L229:L236">I229+J229+K229</f>
        <v>7310.150000000001</v>
      </c>
      <c r="M229" s="257">
        <f>2851.31+3196.75</f>
        <v>6048.0599999999995</v>
      </c>
      <c r="N229" s="235"/>
      <c r="O229" s="208">
        <f aca="true" t="shared" si="73" ref="O229:O236">L229+M229+N229</f>
        <v>13358.21</v>
      </c>
      <c r="P229" s="292"/>
      <c r="Q229" s="167">
        <f t="shared" si="62"/>
        <v>13358.21</v>
      </c>
    </row>
    <row r="230" spans="1:17" ht="12.75" hidden="1">
      <c r="A230" s="20" t="s">
        <v>242</v>
      </c>
      <c r="B230" s="57" t="s">
        <v>244</v>
      </c>
      <c r="C230" s="112"/>
      <c r="D230" s="102"/>
      <c r="E230" s="73"/>
      <c r="F230" s="190">
        <f t="shared" si="70"/>
        <v>0</v>
      </c>
      <c r="G230" s="74"/>
      <c r="H230" s="235"/>
      <c r="I230" s="208">
        <f t="shared" si="71"/>
        <v>0</v>
      </c>
      <c r="J230" s="257"/>
      <c r="K230" s="235"/>
      <c r="L230" s="208">
        <f t="shared" si="72"/>
        <v>0</v>
      </c>
      <c r="M230" s="257"/>
      <c r="N230" s="235"/>
      <c r="O230" s="208">
        <f t="shared" si="73"/>
        <v>0</v>
      </c>
      <c r="P230" s="292"/>
      <c r="Q230" s="167">
        <f t="shared" si="62"/>
        <v>0</v>
      </c>
    </row>
    <row r="231" spans="1:17" ht="12.75">
      <c r="A231" s="20" t="s">
        <v>313</v>
      </c>
      <c r="B231" s="57"/>
      <c r="C231" s="112"/>
      <c r="D231" s="102">
        <f>1918.64</f>
        <v>1918.64</v>
      </c>
      <c r="E231" s="73"/>
      <c r="F231" s="190">
        <f t="shared" si="70"/>
        <v>1918.64</v>
      </c>
      <c r="G231" s="74"/>
      <c r="H231" s="235"/>
      <c r="I231" s="208">
        <f t="shared" si="71"/>
        <v>1918.64</v>
      </c>
      <c r="J231" s="257"/>
      <c r="K231" s="235"/>
      <c r="L231" s="208">
        <f t="shared" si="72"/>
        <v>1918.64</v>
      </c>
      <c r="M231" s="257"/>
      <c r="N231" s="235"/>
      <c r="O231" s="208">
        <f t="shared" si="73"/>
        <v>1918.64</v>
      </c>
      <c r="P231" s="292"/>
      <c r="Q231" s="167">
        <f t="shared" si="62"/>
        <v>1918.64</v>
      </c>
    </row>
    <row r="232" spans="1:17" ht="12.75">
      <c r="A232" s="20" t="s">
        <v>352</v>
      </c>
      <c r="B232" s="57"/>
      <c r="C232" s="112"/>
      <c r="D232" s="102"/>
      <c r="E232" s="73"/>
      <c r="F232" s="190">
        <f t="shared" si="70"/>
        <v>0</v>
      </c>
      <c r="G232" s="74">
        <f>216.76</f>
        <v>216.76</v>
      </c>
      <c r="H232" s="235"/>
      <c r="I232" s="208">
        <f t="shared" si="71"/>
        <v>216.76</v>
      </c>
      <c r="J232" s="257"/>
      <c r="K232" s="235"/>
      <c r="L232" s="208">
        <f t="shared" si="72"/>
        <v>216.76</v>
      </c>
      <c r="M232" s="257"/>
      <c r="N232" s="235"/>
      <c r="O232" s="208">
        <f t="shared" si="73"/>
        <v>216.76</v>
      </c>
      <c r="P232" s="292"/>
      <c r="Q232" s="167"/>
    </row>
    <row r="233" spans="1:17" ht="12.75" hidden="1">
      <c r="A233" s="20" t="s">
        <v>64</v>
      </c>
      <c r="B233" s="57"/>
      <c r="C233" s="112"/>
      <c r="D233" s="102"/>
      <c r="E233" s="73"/>
      <c r="F233" s="190">
        <f t="shared" si="70"/>
        <v>0</v>
      </c>
      <c r="G233" s="74"/>
      <c r="H233" s="235"/>
      <c r="I233" s="208">
        <f t="shared" si="71"/>
        <v>0</v>
      </c>
      <c r="J233" s="257"/>
      <c r="K233" s="235"/>
      <c r="L233" s="208">
        <f t="shared" si="72"/>
        <v>0</v>
      </c>
      <c r="M233" s="257"/>
      <c r="N233" s="235"/>
      <c r="O233" s="208">
        <f t="shared" si="73"/>
        <v>0</v>
      </c>
      <c r="P233" s="292"/>
      <c r="Q233" s="167">
        <f t="shared" si="62"/>
        <v>0</v>
      </c>
    </row>
    <row r="234" spans="1:17" ht="12.75" hidden="1">
      <c r="A234" s="20" t="s">
        <v>80</v>
      </c>
      <c r="B234" s="57"/>
      <c r="C234" s="112"/>
      <c r="D234" s="102"/>
      <c r="E234" s="73"/>
      <c r="F234" s="190">
        <f t="shared" si="70"/>
        <v>0</v>
      </c>
      <c r="G234" s="74"/>
      <c r="H234" s="235"/>
      <c r="I234" s="208">
        <f t="shared" si="71"/>
        <v>0</v>
      </c>
      <c r="J234" s="257"/>
      <c r="K234" s="235"/>
      <c r="L234" s="208">
        <f t="shared" si="72"/>
        <v>0</v>
      </c>
      <c r="M234" s="257"/>
      <c r="N234" s="235"/>
      <c r="O234" s="208">
        <f t="shared" si="73"/>
        <v>0</v>
      </c>
      <c r="P234" s="292"/>
      <c r="Q234" s="167">
        <f t="shared" si="62"/>
        <v>0</v>
      </c>
    </row>
    <row r="235" spans="1:17" ht="12.75" hidden="1">
      <c r="A235" s="20" t="s">
        <v>53</v>
      </c>
      <c r="B235" s="57"/>
      <c r="C235" s="112"/>
      <c r="D235" s="102"/>
      <c r="E235" s="73"/>
      <c r="F235" s="190">
        <f t="shared" si="70"/>
        <v>0</v>
      </c>
      <c r="G235" s="74"/>
      <c r="H235" s="235"/>
      <c r="I235" s="208">
        <f t="shared" si="71"/>
        <v>0</v>
      </c>
      <c r="J235" s="257"/>
      <c r="K235" s="243"/>
      <c r="L235" s="208">
        <f t="shared" si="72"/>
        <v>0</v>
      </c>
      <c r="M235" s="257"/>
      <c r="N235" s="235"/>
      <c r="O235" s="208">
        <f t="shared" si="73"/>
        <v>0</v>
      </c>
      <c r="P235" s="292"/>
      <c r="Q235" s="167">
        <f t="shared" si="62"/>
        <v>0</v>
      </c>
    </row>
    <row r="236" spans="1:17" ht="12.75">
      <c r="A236" s="26" t="s">
        <v>71</v>
      </c>
      <c r="B236" s="60"/>
      <c r="C236" s="181"/>
      <c r="D236" s="172">
        <f>4693.35</f>
        <v>4693.35</v>
      </c>
      <c r="E236" s="81"/>
      <c r="F236" s="195">
        <f t="shared" si="70"/>
        <v>4693.35</v>
      </c>
      <c r="G236" s="226">
        <f>6664</f>
        <v>6664</v>
      </c>
      <c r="H236" s="241"/>
      <c r="I236" s="213">
        <f t="shared" si="71"/>
        <v>11357.35</v>
      </c>
      <c r="J236" s="264"/>
      <c r="K236" s="282"/>
      <c r="L236" s="213">
        <f t="shared" si="72"/>
        <v>11357.35</v>
      </c>
      <c r="M236" s="264"/>
      <c r="N236" s="241"/>
      <c r="O236" s="213">
        <f t="shared" si="73"/>
        <v>11357.35</v>
      </c>
      <c r="P236" s="295"/>
      <c r="Q236" s="168">
        <f t="shared" si="62"/>
        <v>11357.35</v>
      </c>
    </row>
    <row r="237" spans="1:17" ht="12.75">
      <c r="A237" s="13" t="s">
        <v>81</v>
      </c>
      <c r="B237" s="61"/>
      <c r="C237" s="111">
        <f>C238+C250</f>
        <v>753600.5</v>
      </c>
      <c r="D237" s="92">
        <f aca="true" t="shared" si="74" ref="D237:Q237">D238+D250</f>
        <v>66483.95</v>
      </c>
      <c r="E237" s="72">
        <f t="shared" si="74"/>
        <v>0</v>
      </c>
      <c r="F237" s="189">
        <f t="shared" si="74"/>
        <v>820084.45</v>
      </c>
      <c r="G237" s="71">
        <f t="shared" si="74"/>
        <v>-65615.41</v>
      </c>
      <c r="H237" s="234">
        <f t="shared" si="74"/>
        <v>0</v>
      </c>
      <c r="I237" s="207">
        <f t="shared" si="74"/>
        <v>754469.0399999999</v>
      </c>
      <c r="J237" s="256">
        <f t="shared" si="74"/>
        <v>1000</v>
      </c>
      <c r="K237" s="234">
        <f t="shared" si="74"/>
        <v>0</v>
      </c>
      <c r="L237" s="207">
        <f t="shared" si="74"/>
        <v>755469.0399999999</v>
      </c>
      <c r="M237" s="256">
        <f t="shared" si="74"/>
        <v>-83732</v>
      </c>
      <c r="N237" s="234">
        <f t="shared" si="74"/>
        <v>0</v>
      </c>
      <c r="O237" s="207">
        <f t="shared" si="74"/>
        <v>671737.0399999999</v>
      </c>
      <c r="P237" s="92">
        <f t="shared" si="74"/>
        <v>0</v>
      </c>
      <c r="Q237" s="150">
        <f t="shared" si="74"/>
        <v>671737.0399999999</v>
      </c>
    </row>
    <row r="238" spans="1:17" ht="12.75">
      <c r="A238" s="22" t="s">
        <v>48</v>
      </c>
      <c r="B238" s="61"/>
      <c r="C238" s="115">
        <f>SUM(C240:C249)</f>
        <v>753600.5</v>
      </c>
      <c r="D238" s="105">
        <f aca="true" t="shared" si="75" ref="D238:Q238">SUM(D240:D249)</f>
        <v>65515</v>
      </c>
      <c r="E238" s="80">
        <f t="shared" si="75"/>
        <v>0</v>
      </c>
      <c r="F238" s="193">
        <f t="shared" si="75"/>
        <v>819115.5</v>
      </c>
      <c r="G238" s="79">
        <f t="shared" si="75"/>
        <v>-65615.41</v>
      </c>
      <c r="H238" s="239">
        <f t="shared" si="75"/>
        <v>0</v>
      </c>
      <c r="I238" s="211">
        <f t="shared" si="75"/>
        <v>753500.09</v>
      </c>
      <c r="J238" s="262">
        <f t="shared" si="75"/>
        <v>-59000</v>
      </c>
      <c r="K238" s="239">
        <f t="shared" si="75"/>
        <v>-8000</v>
      </c>
      <c r="L238" s="211">
        <f t="shared" si="75"/>
        <v>686500.09</v>
      </c>
      <c r="M238" s="262">
        <f t="shared" si="75"/>
        <v>-33732</v>
      </c>
      <c r="N238" s="239">
        <f t="shared" si="75"/>
        <v>0</v>
      </c>
      <c r="O238" s="211">
        <f t="shared" si="75"/>
        <v>652768.09</v>
      </c>
      <c r="P238" s="105">
        <f t="shared" si="75"/>
        <v>0</v>
      </c>
      <c r="Q238" s="154">
        <f t="shared" si="75"/>
        <v>652768.09</v>
      </c>
    </row>
    <row r="239" spans="1:17" ht="12.75">
      <c r="A239" s="18" t="s">
        <v>26</v>
      </c>
      <c r="B239" s="57"/>
      <c r="C239" s="112"/>
      <c r="D239" s="102"/>
      <c r="E239" s="73"/>
      <c r="F239" s="189"/>
      <c r="G239" s="74"/>
      <c r="H239" s="235"/>
      <c r="I239" s="207"/>
      <c r="J239" s="257"/>
      <c r="K239" s="235"/>
      <c r="L239" s="207"/>
      <c r="M239" s="257"/>
      <c r="N239" s="235"/>
      <c r="O239" s="207"/>
      <c r="P239" s="292"/>
      <c r="Q239" s="167"/>
    </row>
    <row r="240" spans="1:17" ht="12.75">
      <c r="A240" s="15" t="s">
        <v>68</v>
      </c>
      <c r="B240" s="57"/>
      <c r="C240" s="112">
        <v>371000</v>
      </c>
      <c r="D240" s="102">
        <f>1095</f>
        <v>1095</v>
      </c>
      <c r="E240" s="73"/>
      <c r="F240" s="190">
        <f aca="true" t="shared" si="76" ref="F240:F249">C240+D240+E240</f>
        <v>372095</v>
      </c>
      <c r="G240" s="74">
        <f>-70000</f>
        <v>-70000</v>
      </c>
      <c r="H240" s="235"/>
      <c r="I240" s="208">
        <f aca="true" t="shared" si="77" ref="I240:I249">F240+G240+H240</f>
        <v>302095</v>
      </c>
      <c r="J240" s="257"/>
      <c r="K240" s="235"/>
      <c r="L240" s="208">
        <f aca="true" t="shared" si="78" ref="L240:L249">I240+J240+K240</f>
        <v>302095</v>
      </c>
      <c r="M240" s="257">
        <f>-732</f>
        <v>-732</v>
      </c>
      <c r="N240" s="235"/>
      <c r="O240" s="208">
        <f aca="true" t="shared" si="79" ref="O240:O249">L240+M240+N240</f>
        <v>301363</v>
      </c>
      <c r="P240" s="292"/>
      <c r="Q240" s="167">
        <f>O240+P240</f>
        <v>301363</v>
      </c>
    </row>
    <row r="241" spans="1:17" ht="12.75" hidden="1">
      <c r="A241" s="58" t="s">
        <v>191</v>
      </c>
      <c r="B241" s="57"/>
      <c r="C241" s="112"/>
      <c r="D241" s="102"/>
      <c r="E241" s="73"/>
      <c r="F241" s="190">
        <f t="shared" si="76"/>
        <v>0</v>
      </c>
      <c r="G241" s="74"/>
      <c r="H241" s="235"/>
      <c r="I241" s="208">
        <f t="shared" si="77"/>
        <v>0</v>
      </c>
      <c r="J241" s="257"/>
      <c r="K241" s="235"/>
      <c r="L241" s="208">
        <f t="shared" si="78"/>
        <v>0</v>
      </c>
      <c r="M241" s="257"/>
      <c r="N241" s="235"/>
      <c r="O241" s="208">
        <f t="shared" si="79"/>
        <v>0</v>
      </c>
      <c r="P241" s="292"/>
      <c r="Q241" s="167">
        <f aca="true" t="shared" si="80" ref="Q241:Q248">O241+P241</f>
        <v>0</v>
      </c>
    </row>
    <row r="242" spans="1:17" ht="12.75">
      <c r="A242" s="20" t="s">
        <v>61</v>
      </c>
      <c r="B242" s="57"/>
      <c r="C242" s="112">
        <v>231476</v>
      </c>
      <c r="D242" s="102">
        <f>60000</f>
        <v>60000</v>
      </c>
      <c r="E242" s="73">
        <f>32760</f>
        <v>32760</v>
      </c>
      <c r="F242" s="190">
        <f t="shared" si="76"/>
        <v>324236</v>
      </c>
      <c r="G242" s="74"/>
      <c r="H242" s="235"/>
      <c r="I242" s="208">
        <f t="shared" si="77"/>
        <v>324236</v>
      </c>
      <c r="J242" s="257"/>
      <c r="K242" s="235">
        <f>500</f>
        <v>500</v>
      </c>
      <c r="L242" s="208">
        <f t="shared" si="78"/>
        <v>324736</v>
      </c>
      <c r="M242" s="257">
        <f>-14000</f>
        <v>-14000</v>
      </c>
      <c r="N242" s="235"/>
      <c r="O242" s="208">
        <f t="shared" si="79"/>
        <v>310736</v>
      </c>
      <c r="P242" s="292"/>
      <c r="Q242" s="167">
        <f t="shared" si="80"/>
        <v>310736</v>
      </c>
    </row>
    <row r="243" spans="1:17" ht="12.75" hidden="1">
      <c r="A243" s="20" t="s">
        <v>160</v>
      </c>
      <c r="B243" s="57"/>
      <c r="C243" s="112">
        <v>0</v>
      </c>
      <c r="D243" s="142"/>
      <c r="E243" s="73"/>
      <c r="F243" s="190">
        <f t="shared" si="76"/>
        <v>0</v>
      </c>
      <c r="G243" s="74"/>
      <c r="H243" s="235"/>
      <c r="I243" s="208">
        <f t="shared" si="77"/>
        <v>0</v>
      </c>
      <c r="J243" s="257"/>
      <c r="K243" s="235"/>
      <c r="L243" s="208">
        <f t="shared" si="78"/>
        <v>0</v>
      </c>
      <c r="M243" s="257"/>
      <c r="N243" s="235"/>
      <c r="O243" s="208">
        <f t="shared" si="79"/>
        <v>0</v>
      </c>
      <c r="P243" s="292"/>
      <c r="Q243" s="167">
        <f t="shared" si="80"/>
        <v>0</v>
      </c>
    </row>
    <row r="244" spans="1:17" ht="12.75">
      <c r="A244" s="20" t="s">
        <v>50</v>
      </c>
      <c r="B244" s="57"/>
      <c r="C244" s="117">
        <v>151124.5</v>
      </c>
      <c r="D244" s="102">
        <f>100+100+1000</f>
        <v>1200</v>
      </c>
      <c r="E244" s="73">
        <f>-32760</f>
        <v>-32760</v>
      </c>
      <c r="F244" s="190">
        <f t="shared" si="76"/>
        <v>119564.5</v>
      </c>
      <c r="G244" s="74">
        <f>478+380.76</f>
        <v>858.76</v>
      </c>
      <c r="H244" s="235"/>
      <c r="I244" s="208">
        <f t="shared" si="77"/>
        <v>120423.26</v>
      </c>
      <c r="J244" s="257">
        <f>-60000+1000</f>
        <v>-59000</v>
      </c>
      <c r="K244" s="235">
        <f>-500-8000</f>
        <v>-8500</v>
      </c>
      <c r="L244" s="208">
        <f t="shared" si="78"/>
        <v>52923.259999999995</v>
      </c>
      <c r="M244" s="257">
        <f>-6000-3000-10000</f>
        <v>-19000</v>
      </c>
      <c r="N244" s="235"/>
      <c r="O244" s="208">
        <f t="shared" si="79"/>
        <v>33923.259999999995</v>
      </c>
      <c r="P244" s="292"/>
      <c r="Q244" s="167">
        <f t="shared" si="80"/>
        <v>33923.259999999995</v>
      </c>
    </row>
    <row r="245" spans="1:17" ht="12.75" hidden="1">
      <c r="A245" s="20" t="s">
        <v>72</v>
      </c>
      <c r="B245" s="57"/>
      <c r="C245" s="117"/>
      <c r="D245" s="102"/>
      <c r="E245" s="73"/>
      <c r="F245" s="190">
        <f t="shared" si="76"/>
        <v>0</v>
      </c>
      <c r="G245" s="74"/>
      <c r="H245" s="235"/>
      <c r="I245" s="208">
        <f t="shared" si="77"/>
        <v>0</v>
      </c>
      <c r="J245" s="257"/>
      <c r="K245" s="235"/>
      <c r="L245" s="208">
        <f t="shared" si="78"/>
        <v>0</v>
      </c>
      <c r="M245" s="257"/>
      <c r="N245" s="235"/>
      <c r="O245" s="208">
        <f t="shared" si="79"/>
        <v>0</v>
      </c>
      <c r="P245" s="292"/>
      <c r="Q245" s="167">
        <f t="shared" si="80"/>
        <v>0</v>
      </c>
    </row>
    <row r="246" spans="1:17" ht="12.75">
      <c r="A246" s="36" t="s">
        <v>358</v>
      </c>
      <c r="B246" s="57">
        <v>35026</v>
      </c>
      <c r="C246" s="117"/>
      <c r="D246" s="102">
        <f>1096+224</f>
        <v>1320</v>
      </c>
      <c r="E246" s="73"/>
      <c r="F246" s="190">
        <f t="shared" si="76"/>
        <v>1320</v>
      </c>
      <c r="G246" s="74"/>
      <c r="H246" s="235"/>
      <c r="I246" s="208">
        <f t="shared" si="77"/>
        <v>1320</v>
      </c>
      <c r="J246" s="257"/>
      <c r="K246" s="235"/>
      <c r="L246" s="208">
        <f t="shared" si="78"/>
        <v>1320</v>
      </c>
      <c r="M246" s="257"/>
      <c r="N246" s="235"/>
      <c r="O246" s="208">
        <f t="shared" si="79"/>
        <v>1320</v>
      </c>
      <c r="P246" s="292"/>
      <c r="Q246" s="167">
        <f t="shared" si="80"/>
        <v>1320</v>
      </c>
    </row>
    <row r="247" spans="1:17" ht="12.75">
      <c r="A247" s="20" t="s">
        <v>249</v>
      </c>
      <c r="B247" s="57">
        <v>35018</v>
      </c>
      <c r="C247" s="117"/>
      <c r="D247" s="102">
        <f>1900</f>
        <v>1900</v>
      </c>
      <c r="E247" s="73"/>
      <c r="F247" s="190">
        <f t="shared" si="76"/>
        <v>1900</v>
      </c>
      <c r="G247" s="74">
        <f>3525.83</f>
        <v>3525.83</v>
      </c>
      <c r="H247" s="235"/>
      <c r="I247" s="208">
        <f t="shared" si="77"/>
        <v>5425.83</v>
      </c>
      <c r="J247" s="257"/>
      <c r="K247" s="235"/>
      <c r="L247" s="208">
        <f t="shared" si="78"/>
        <v>5425.83</v>
      </c>
      <c r="M247" s="257"/>
      <c r="N247" s="235"/>
      <c r="O247" s="208">
        <f t="shared" si="79"/>
        <v>5425.83</v>
      </c>
      <c r="P247" s="292"/>
      <c r="Q247" s="167">
        <f t="shared" si="80"/>
        <v>5425.83</v>
      </c>
    </row>
    <row r="248" spans="1:17" ht="12.75" hidden="1">
      <c r="A248" s="20" t="s">
        <v>274</v>
      </c>
      <c r="B248" s="57"/>
      <c r="C248" s="117"/>
      <c r="D248" s="102"/>
      <c r="E248" s="73"/>
      <c r="F248" s="190">
        <f t="shared" si="76"/>
        <v>0</v>
      </c>
      <c r="G248" s="74"/>
      <c r="H248" s="235"/>
      <c r="I248" s="208">
        <f t="shared" si="77"/>
        <v>0</v>
      </c>
      <c r="J248" s="257"/>
      <c r="K248" s="235"/>
      <c r="L248" s="208">
        <f t="shared" si="78"/>
        <v>0</v>
      </c>
      <c r="M248" s="257"/>
      <c r="N248" s="235"/>
      <c r="O248" s="208">
        <f t="shared" si="79"/>
        <v>0</v>
      </c>
      <c r="P248" s="292"/>
      <c r="Q248" s="167">
        <f t="shared" si="80"/>
        <v>0</v>
      </c>
    </row>
    <row r="249" spans="1:17" ht="12.75" hidden="1">
      <c r="A249" s="20" t="s">
        <v>82</v>
      </c>
      <c r="B249" s="57"/>
      <c r="C249" s="112"/>
      <c r="D249" s="102"/>
      <c r="E249" s="73"/>
      <c r="F249" s="190">
        <f t="shared" si="76"/>
        <v>0</v>
      </c>
      <c r="G249" s="74"/>
      <c r="H249" s="235"/>
      <c r="I249" s="208">
        <f t="shared" si="77"/>
        <v>0</v>
      </c>
      <c r="J249" s="257"/>
      <c r="K249" s="235"/>
      <c r="L249" s="208">
        <f t="shared" si="78"/>
        <v>0</v>
      </c>
      <c r="M249" s="257"/>
      <c r="N249" s="235"/>
      <c r="O249" s="208">
        <f t="shared" si="79"/>
        <v>0</v>
      </c>
      <c r="P249" s="292"/>
      <c r="Q249" s="167">
        <f>O249+P249</f>
        <v>0</v>
      </c>
    </row>
    <row r="250" spans="1:17" ht="12.75">
      <c r="A250" s="22" t="s">
        <v>52</v>
      </c>
      <c r="B250" s="61"/>
      <c r="C250" s="115">
        <f>SUM(C252:C256)</f>
        <v>0</v>
      </c>
      <c r="D250" s="105">
        <f aca="true" t="shared" si="81" ref="D250:Q250">SUM(D252:D256)</f>
        <v>968.95</v>
      </c>
      <c r="E250" s="80">
        <f t="shared" si="81"/>
        <v>0</v>
      </c>
      <c r="F250" s="193">
        <f t="shared" si="81"/>
        <v>968.95</v>
      </c>
      <c r="G250" s="79">
        <f t="shared" si="81"/>
        <v>0</v>
      </c>
      <c r="H250" s="239">
        <f t="shared" si="81"/>
        <v>0</v>
      </c>
      <c r="I250" s="211">
        <f t="shared" si="81"/>
        <v>968.95</v>
      </c>
      <c r="J250" s="262">
        <f t="shared" si="81"/>
        <v>60000</v>
      </c>
      <c r="K250" s="239">
        <f t="shared" si="81"/>
        <v>8000</v>
      </c>
      <c r="L250" s="211">
        <f t="shared" si="81"/>
        <v>68968.95</v>
      </c>
      <c r="M250" s="262">
        <f t="shared" si="81"/>
        <v>-50000</v>
      </c>
      <c r="N250" s="239">
        <f t="shared" si="81"/>
        <v>0</v>
      </c>
      <c r="O250" s="211">
        <f t="shared" si="81"/>
        <v>18968.95</v>
      </c>
      <c r="P250" s="105">
        <f t="shared" si="81"/>
        <v>0</v>
      </c>
      <c r="Q250" s="154">
        <f t="shared" si="81"/>
        <v>18968.95</v>
      </c>
    </row>
    <row r="251" spans="1:17" ht="12.75">
      <c r="A251" s="18" t="s">
        <v>26</v>
      </c>
      <c r="B251" s="57"/>
      <c r="C251" s="112"/>
      <c r="D251" s="102"/>
      <c r="E251" s="73"/>
      <c r="F251" s="190"/>
      <c r="G251" s="74"/>
      <c r="H251" s="235"/>
      <c r="I251" s="208"/>
      <c r="J251" s="257"/>
      <c r="K251" s="235"/>
      <c r="L251" s="208"/>
      <c r="M251" s="257"/>
      <c r="N251" s="235"/>
      <c r="O251" s="208"/>
      <c r="P251" s="292"/>
      <c r="Q251" s="167"/>
    </row>
    <row r="252" spans="1:17" ht="12.75">
      <c r="A252" s="20" t="s">
        <v>53</v>
      </c>
      <c r="B252" s="57"/>
      <c r="C252" s="112">
        <v>0</v>
      </c>
      <c r="D252" s="102"/>
      <c r="E252" s="73"/>
      <c r="F252" s="190">
        <f>C252+D252+E252</f>
        <v>0</v>
      </c>
      <c r="G252" s="74"/>
      <c r="H252" s="235"/>
      <c r="I252" s="208">
        <f>F252+G252+H252</f>
        <v>0</v>
      </c>
      <c r="J252" s="257">
        <f>60000</f>
        <v>60000</v>
      </c>
      <c r="K252" s="235"/>
      <c r="L252" s="208">
        <f>I252+J252+K252</f>
        <v>60000</v>
      </c>
      <c r="M252" s="257">
        <f>-60000</f>
        <v>-60000</v>
      </c>
      <c r="N252" s="235"/>
      <c r="O252" s="208">
        <f>L252+M252+N252</f>
        <v>0</v>
      </c>
      <c r="P252" s="292"/>
      <c r="Q252" s="167">
        <f>O252+P252</f>
        <v>0</v>
      </c>
    </row>
    <row r="253" spans="1:17" ht="12.75">
      <c r="A253" s="20" t="s">
        <v>218</v>
      </c>
      <c r="B253" s="57"/>
      <c r="C253" s="112"/>
      <c r="D253" s="142">
        <f>968.95</f>
        <v>968.95</v>
      </c>
      <c r="E253" s="73"/>
      <c r="F253" s="190">
        <f>C253+D253+E253</f>
        <v>968.95</v>
      </c>
      <c r="G253" s="74"/>
      <c r="H253" s="235"/>
      <c r="I253" s="208">
        <f>F253+G253+H253</f>
        <v>968.95</v>
      </c>
      <c r="J253" s="257"/>
      <c r="K253" s="235">
        <f>8000</f>
        <v>8000</v>
      </c>
      <c r="L253" s="208">
        <f>I253+J253+K253</f>
        <v>8968.95</v>
      </c>
      <c r="M253" s="257"/>
      <c r="N253" s="235"/>
      <c r="O253" s="208">
        <f>L253+M253+N253</f>
        <v>8968.95</v>
      </c>
      <c r="P253" s="292"/>
      <c r="Q253" s="167">
        <f>O253+P253</f>
        <v>8968.95</v>
      </c>
    </row>
    <row r="254" spans="1:17" ht="12.75">
      <c r="A254" s="26" t="s">
        <v>79</v>
      </c>
      <c r="B254" s="60"/>
      <c r="C254" s="181"/>
      <c r="D254" s="172"/>
      <c r="E254" s="81"/>
      <c r="F254" s="195">
        <f>C254+D254+E254</f>
        <v>0</v>
      </c>
      <c r="G254" s="226"/>
      <c r="H254" s="241"/>
      <c r="I254" s="213">
        <f>F254+G254+H254</f>
        <v>0</v>
      </c>
      <c r="J254" s="264"/>
      <c r="K254" s="241"/>
      <c r="L254" s="213">
        <f>I254+J254+K254</f>
        <v>0</v>
      </c>
      <c r="M254" s="264">
        <f>10000</f>
        <v>10000</v>
      </c>
      <c r="N254" s="241"/>
      <c r="O254" s="213">
        <f>L254+M254+N254</f>
        <v>10000</v>
      </c>
      <c r="P254" s="292"/>
      <c r="Q254" s="167">
        <f>O254+P254</f>
        <v>10000</v>
      </c>
    </row>
    <row r="255" spans="1:17" ht="12.75" hidden="1">
      <c r="A255" s="20" t="s">
        <v>193</v>
      </c>
      <c r="B255" s="57"/>
      <c r="C255" s="112"/>
      <c r="D255" s="102"/>
      <c r="E255" s="73"/>
      <c r="F255" s="190">
        <f>C255+D255+E255</f>
        <v>0</v>
      </c>
      <c r="G255" s="74"/>
      <c r="H255" s="235"/>
      <c r="I255" s="208">
        <f>F255+G255+H255</f>
        <v>0</v>
      </c>
      <c r="J255" s="257"/>
      <c r="K255" s="235"/>
      <c r="L255" s="208">
        <f>I255+J255+K255</f>
        <v>0</v>
      </c>
      <c r="M255" s="257"/>
      <c r="N255" s="235"/>
      <c r="O255" s="208">
        <f>L255+M255+N255</f>
        <v>0</v>
      </c>
      <c r="P255" s="292"/>
      <c r="Q255" s="167">
        <f>O255+P255</f>
        <v>0</v>
      </c>
    </row>
    <row r="256" spans="1:17" ht="12.75" hidden="1">
      <c r="A256" s="19" t="s">
        <v>72</v>
      </c>
      <c r="B256" s="60"/>
      <c r="C256" s="181"/>
      <c r="D256" s="172"/>
      <c r="E256" s="81"/>
      <c r="F256" s="195">
        <f>C256+D256+E256</f>
        <v>0</v>
      </c>
      <c r="G256" s="226"/>
      <c r="H256" s="241"/>
      <c r="I256" s="213">
        <f>F256+G256+H256</f>
        <v>0</v>
      </c>
      <c r="J256" s="264"/>
      <c r="K256" s="241"/>
      <c r="L256" s="213">
        <f>I256+J256+K256</f>
        <v>0</v>
      </c>
      <c r="M256" s="264"/>
      <c r="N256" s="241"/>
      <c r="O256" s="213">
        <f>L256+M256+N256</f>
        <v>0</v>
      </c>
      <c r="P256" s="295"/>
      <c r="Q256" s="168">
        <f>O256+P256</f>
        <v>0</v>
      </c>
    </row>
    <row r="257" spans="1:17" ht="12.75">
      <c r="A257" s="27" t="s">
        <v>280</v>
      </c>
      <c r="B257" s="62"/>
      <c r="C257" s="113">
        <f>C258+C277</f>
        <v>264482.6</v>
      </c>
      <c r="D257" s="103">
        <f aca="true" t="shared" si="82" ref="D257:Q257">D258+D277</f>
        <v>43534.76</v>
      </c>
      <c r="E257" s="76">
        <f t="shared" si="82"/>
        <v>0</v>
      </c>
      <c r="F257" s="191">
        <f t="shared" si="82"/>
        <v>308017.36</v>
      </c>
      <c r="G257" s="75">
        <f t="shared" si="82"/>
        <v>14315.630000000001</v>
      </c>
      <c r="H257" s="237">
        <f t="shared" si="82"/>
        <v>0</v>
      </c>
      <c r="I257" s="209">
        <f t="shared" si="82"/>
        <v>322332.99000000005</v>
      </c>
      <c r="J257" s="259">
        <f t="shared" si="82"/>
        <v>17879.300000000003</v>
      </c>
      <c r="K257" s="237">
        <f t="shared" si="82"/>
        <v>988</v>
      </c>
      <c r="L257" s="209">
        <f t="shared" si="82"/>
        <v>341200.29000000004</v>
      </c>
      <c r="M257" s="259">
        <f t="shared" si="82"/>
        <v>6827.16</v>
      </c>
      <c r="N257" s="237">
        <f t="shared" si="82"/>
        <v>0</v>
      </c>
      <c r="O257" s="209">
        <f t="shared" si="82"/>
        <v>348027.45000000007</v>
      </c>
      <c r="P257" s="103">
        <f t="shared" si="82"/>
        <v>0</v>
      </c>
      <c r="Q257" s="152">
        <f t="shared" si="82"/>
        <v>324873.67000000004</v>
      </c>
    </row>
    <row r="258" spans="1:17" ht="12.75">
      <c r="A258" s="22" t="s">
        <v>48</v>
      </c>
      <c r="B258" s="61"/>
      <c r="C258" s="115">
        <f>SUM(C260:C276)</f>
        <v>261632.59999999998</v>
      </c>
      <c r="D258" s="105">
        <f aca="true" t="shared" si="83" ref="D258:Q258">SUM(D260:D276)</f>
        <v>41578.69</v>
      </c>
      <c r="E258" s="80">
        <f t="shared" si="83"/>
        <v>0</v>
      </c>
      <c r="F258" s="193">
        <f t="shared" si="83"/>
        <v>303211.29</v>
      </c>
      <c r="G258" s="79">
        <f t="shared" si="83"/>
        <v>10105.16</v>
      </c>
      <c r="H258" s="239">
        <f t="shared" si="83"/>
        <v>0</v>
      </c>
      <c r="I258" s="211">
        <f t="shared" si="83"/>
        <v>313316.45000000007</v>
      </c>
      <c r="J258" s="262">
        <f t="shared" si="83"/>
        <v>-1452.5299999999997</v>
      </c>
      <c r="K258" s="239">
        <f t="shared" si="83"/>
        <v>988</v>
      </c>
      <c r="L258" s="211">
        <f t="shared" si="83"/>
        <v>312851.92000000004</v>
      </c>
      <c r="M258" s="262">
        <f t="shared" si="83"/>
        <v>6419.14</v>
      </c>
      <c r="N258" s="239">
        <f t="shared" si="83"/>
        <v>0</v>
      </c>
      <c r="O258" s="211">
        <f t="shared" si="83"/>
        <v>319271.06000000006</v>
      </c>
      <c r="P258" s="105">
        <f t="shared" si="83"/>
        <v>0</v>
      </c>
      <c r="Q258" s="154">
        <f t="shared" si="83"/>
        <v>311434.24000000005</v>
      </c>
    </row>
    <row r="259" spans="1:17" ht="12.75">
      <c r="A259" s="18" t="s">
        <v>26</v>
      </c>
      <c r="B259" s="57"/>
      <c r="C259" s="112"/>
      <c r="D259" s="102"/>
      <c r="E259" s="73"/>
      <c r="F259" s="190"/>
      <c r="G259" s="74"/>
      <c r="H259" s="235"/>
      <c r="I259" s="208"/>
      <c r="J259" s="257"/>
      <c r="K259" s="235"/>
      <c r="L259" s="208"/>
      <c r="M259" s="257"/>
      <c r="N259" s="235"/>
      <c r="O259" s="208"/>
      <c r="P259" s="292"/>
      <c r="Q259" s="167"/>
    </row>
    <row r="260" spans="1:17" ht="12.75">
      <c r="A260" s="20" t="s">
        <v>68</v>
      </c>
      <c r="B260" s="57"/>
      <c r="C260" s="112">
        <v>216759.6</v>
      </c>
      <c r="D260" s="102">
        <f>6097.55+16268.2</f>
        <v>22365.75</v>
      </c>
      <c r="E260" s="73">
        <f>308.2</f>
        <v>308.2</v>
      </c>
      <c r="F260" s="190">
        <f aca="true" t="shared" si="84" ref="F260:F276">C260+D260+E260</f>
        <v>239433.55000000002</v>
      </c>
      <c r="G260" s="74">
        <f>315.1+150+6580.19+49.66</f>
        <v>7094.95</v>
      </c>
      <c r="H260" s="235"/>
      <c r="I260" s="208">
        <f>F260+G260+H260</f>
        <v>246528.50000000003</v>
      </c>
      <c r="J260" s="257">
        <f>-5000-32.55+1494.2</f>
        <v>-3538.3500000000004</v>
      </c>
      <c r="K260" s="235"/>
      <c r="L260" s="208">
        <f>I260+J260+K260</f>
        <v>242990.15000000002</v>
      </c>
      <c r="M260" s="257">
        <f>36.5+4832.2</f>
        <v>4868.7</v>
      </c>
      <c r="N260" s="235"/>
      <c r="O260" s="208">
        <f>L260+M260+N260</f>
        <v>247858.85000000003</v>
      </c>
      <c r="P260" s="292"/>
      <c r="Q260" s="167">
        <f aca="true" t="shared" si="85" ref="Q260:Q276">O260+P260</f>
        <v>247858.85000000003</v>
      </c>
    </row>
    <row r="261" spans="1:17" ht="12.75">
      <c r="A261" s="20" t="s">
        <v>50</v>
      </c>
      <c r="B261" s="57"/>
      <c r="C261" s="112">
        <v>41264.7</v>
      </c>
      <c r="D261" s="102">
        <f>-6327.4-1620+4067.47+1815.87+5209+550+3000+2500</f>
        <v>9194.94</v>
      </c>
      <c r="E261" s="73">
        <f>-308.2</f>
        <v>-308.2</v>
      </c>
      <c r="F261" s="190">
        <f t="shared" si="84"/>
        <v>50151.44</v>
      </c>
      <c r="G261" s="74">
        <f>-291.8-49.66</f>
        <v>-341.46000000000004</v>
      </c>
      <c r="H261" s="235"/>
      <c r="I261" s="208">
        <f aca="true" t="shared" si="86" ref="I261:I276">F261+G261+H261</f>
        <v>49809.98</v>
      </c>
      <c r="J261" s="257">
        <f>32.55-6000+150</f>
        <v>-5817.45</v>
      </c>
      <c r="K261" s="235">
        <f>988</f>
        <v>988</v>
      </c>
      <c r="L261" s="208">
        <f aca="true" t="shared" si="87" ref="L261:L276">I261+J261+K261</f>
        <v>44980.530000000006</v>
      </c>
      <c r="M261" s="257">
        <f>-36.5-2000</f>
        <v>-2036.5</v>
      </c>
      <c r="N261" s="235"/>
      <c r="O261" s="208">
        <f aca="true" t="shared" si="88" ref="O261:O276">L261+M261+N261</f>
        <v>42944.030000000006</v>
      </c>
      <c r="P261" s="292"/>
      <c r="Q261" s="167">
        <f t="shared" si="85"/>
        <v>42944.030000000006</v>
      </c>
    </row>
    <row r="262" spans="1:17" ht="12.75">
      <c r="A262" s="20" t="s">
        <v>124</v>
      </c>
      <c r="B262" s="57"/>
      <c r="C262" s="112">
        <v>3608.3</v>
      </c>
      <c r="D262" s="102"/>
      <c r="E262" s="73">
        <f>683.7</f>
        <v>683.7</v>
      </c>
      <c r="F262" s="190">
        <f t="shared" si="84"/>
        <v>4292</v>
      </c>
      <c r="G262" s="74"/>
      <c r="H262" s="235"/>
      <c r="I262" s="208">
        <f t="shared" si="86"/>
        <v>4292</v>
      </c>
      <c r="J262" s="257"/>
      <c r="K262" s="235"/>
      <c r="L262" s="208">
        <f t="shared" si="87"/>
        <v>4292</v>
      </c>
      <c r="M262" s="257"/>
      <c r="N262" s="235"/>
      <c r="O262" s="208">
        <f t="shared" si="88"/>
        <v>4292</v>
      </c>
      <c r="P262" s="292"/>
      <c r="Q262" s="167">
        <f t="shared" si="85"/>
        <v>4292</v>
      </c>
    </row>
    <row r="263" spans="1:17" ht="12.75">
      <c r="A263" s="20" t="s">
        <v>62</v>
      </c>
      <c r="B263" s="57"/>
      <c r="C263" s="112"/>
      <c r="D263" s="102">
        <f>6327.4+1620+1093.35</f>
        <v>9040.75</v>
      </c>
      <c r="E263" s="73">
        <f>-683.7</f>
        <v>-683.7</v>
      </c>
      <c r="F263" s="190">
        <f t="shared" si="84"/>
        <v>8357.05</v>
      </c>
      <c r="G263" s="74"/>
      <c r="H263" s="235"/>
      <c r="I263" s="208">
        <f t="shared" si="86"/>
        <v>8357.05</v>
      </c>
      <c r="J263" s="257"/>
      <c r="K263" s="235"/>
      <c r="L263" s="208">
        <f t="shared" si="87"/>
        <v>8357.05</v>
      </c>
      <c r="M263" s="257"/>
      <c r="N263" s="235"/>
      <c r="O263" s="208">
        <f t="shared" si="88"/>
        <v>8357.05</v>
      </c>
      <c r="P263" s="292"/>
      <c r="Q263" s="167">
        <f t="shared" si="85"/>
        <v>8357.05</v>
      </c>
    </row>
    <row r="264" spans="1:17" ht="12.75">
      <c r="A264" s="20" t="s">
        <v>83</v>
      </c>
      <c r="B264" s="57">
        <v>34070</v>
      </c>
      <c r="C264" s="112"/>
      <c r="D264" s="102"/>
      <c r="E264" s="73"/>
      <c r="F264" s="190">
        <f t="shared" si="84"/>
        <v>0</v>
      </c>
      <c r="G264" s="74">
        <f>43</f>
        <v>43</v>
      </c>
      <c r="H264" s="235"/>
      <c r="I264" s="208">
        <f t="shared" si="86"/>
        <v>43</v>
      </c>
      <c r="J264" s="257">
        <f>2120</f>
        <v>2120</v>
      </c>
      <c r="K264" s="235"/>
      <c r="L264" s="208">
        <f t="shared" si="87"/>
        <v>2163</v>
      </c>
      <c r="M264" s="257"/>
      <c r="N264" s="235"/>
      <c r="O264" s="208">
        <f t="shared" si="88"/>
        <v>2163</v>
      </c>
      <c r="P264" s="292"/>
      <c r="Q264" s="167">
        <f t="shared" si="85"/>
        <v>2163</v>
      </c>
    </row>
    <row r="265" spans="1:17" ht="12.75">
      <c r="A265" s="20" t="s">
        <v>84</v>
      </c>
      <c r="B265" s="57">
        <v>34053</v>
      </c>
      <c r="C265" s="112"/>
      <c r="D265" s="102"/>
      <c r="E265" s="73"/>
      <c r="F265" s="190">
        <f t="shared" si="84"/>
        <v>0</v>
      </c>
      <c r="G265" s="74">
        <f>135+54+45+19+45</f>
        <v>298</v>
      </c>
      <c r="H265" s="235"/>
      <c r="I265" s="208">
        <f t="shared" si="86"/>
        <v>298</v>
      </c>
      <c r="J265" s="257"/>
      <c r="K265" s="235"/>
      <c r="L265" s="208">
        <f t="shared" si="87"/>
        <v>298</v>
      </c>
      <c r="M265" s="257"/>
      <c r="N265" s="235"/>
      <c r="O265" s="208">
        <f t="shared" si="88"/>
        <v>298</v>
      </c>
      <c r="P265" s="292"/>
      <c r="Q265" s="167">
        <f t="shared" si="85"/>
        <v>298</v>
      </c>
    </row>
    <row r="266" spans="1:17" ht="12.75">
      <c r="A266" s="20" t="s">
        <v>349</v>
      </c>
      <c r="B266" s="57">
        <v>34019</v>
      </c>
      <c r="C266" s="112"/>
      <c r="D266" s="102"/>
      <c r="E266" s="73"/>
      <c r="F266" s="190">
        <f t="shared" si="84"/>
        <v>0</v>
      </c>
      <c r="G266" s="74">
        <f>41+18.12+51</f>
        <v>110.12</v>
      </c>
      <c r="H266" s="235"/>
      <c r="I266" s="208">
        <f t="shared" si="86"/>
        <v>110.12</v>
      </c>
      <c r="J266" s="257"/>
      <c r="K266" s="235"/>
      <c r="L266" s="208">
        <f t="shared" si="87"/>
        <v>110.12</v>
      </c>
      <c r="M266" s="257"/>
      <c r="N266" s="235"/>
      <c r="O266" s="208">
        <f t="shared" si="88"/>
        <v>110.12</v>
      </c>
      <c r="P266" s="292"/>
      <c r="Q266" s="167"/>
    </row>
    <row r="267" spans="1:17" ht="12.75">
      <c r="A267" s="20" t="s">
        <v>375</v>
      </c>
      <c r="B267" s="57">
        <v>34033</v>
      </c>
      <c r="C267" s="112"/>
      <c r="D267" s="102">
        <f>451.07</f>
        <v>451.07</v>
      </c>
      <c r="E267" s="73"/>
      <c r="F267" s="190">
        <f t="shared" si="84"/>
        <v>451.07</v>
      </c>
      <c r="G267" s="74"/>
      <c r="H267" s="235"/>
      <c r="I267" s="208">
        <f t="shared" si="86"/>
        <v>451.07</v>
      </c>
      <c r="J267" s="257">
        <f>747.36+14</f>
        <v>761.36</v>
      </c>
      <c r="K267" s="235"/>
      <c r="L267" s="208">
        <f t="shared" si="87"/>
        <v>1212.43</v>
      </c>
      <c r="M267" s="257">
        <f>592.55+242+1630+69</f>
        <v>2533.55</v>
      </c>
      <c r="N267" s="235"/>
      <c r="O267" s="208">
        <f t="shared" si="88"/>
        <v>3745.9800000000005</v>
      </c>
      <c r="P267" s="292"/>
      <c r="Q267" s="167"/>
    </row>
    <row r="268" spans="1:17" ht="12.75">
      <c r="A268" s="20" t="s">
        <v>374</v>
      </c>
      <c r="B268" s="57">
        <v>17055</v>
      </c>
      <c r="C268" s="112"/>
      <c r="D268" s="102">
        <f>81.23</f>
        <v>81.23</v>
      </c>
      <c r="E268" s="73"/>
      <c r="F268" s="190">
        <f t="shared" si="84"/>
        <v>81.23</v>
      </c>
      <c r="G268" s="74">
        <f>-81.23</f>
        <v>-81.23</v>
      </c>
      <c r="H268" s="235"/>
      <c r="I268" s="208">
        <f t="shared" si="86"/>
        <v>0</v>
      </c>
      <c r="J268" s="257"/>
      <c r="K268" s="235"/>
      <c r="L268" s="208">
        <f t="shared" si="87"/>
        <v>0</v>
      </c>
      <c r="M268" s="257">
        <f>1053.39</f>
        <v>1053.39</v>
      </c>
      <c r="N268" s="235"/>
      <c r="O268" s="208">
        <f t="shared" si="88"/>
        <v>1053.39</v>
      </c>
      <c r="P268" s="292"/>
      <c r="Q268" s="167"/>
    </row>
    <row r="269" spans="1:17" ht="12.75">
      <c r="A269" s="20" t="s">
        <v>348</v>
      </c>
      <c r="B269" s="57">
        <v>34031</v>
      </c>
      <c r="C269" s="112"/>
      <c r="D269" s="102"/>
      <c r="E269" s="73"/>
      <c r="F269" s="190">
        <f t="shared" si="84"/>
        <v>0</v>
      </c>
      <c r="G269" s="74">
        <f>109+96+55+123+63</f>
        <v>446</v>
      </c>
      <c r="H269" s="235"/>
      <c r="I269" s="208">
        <f t="shared" si="86"/>
        <v>446</v>
      </c>
      <c r="J269" s="257">
        <f>117</f>
        <v>117</v>
      </c>
      <c r="K269" s="235"/>
      <c r="L269" s="208">
        <f t="shared" si="87"/>
        <v>563</v>
      </c>
      <c r="M269" s="257"/>
      <c r="N269" s="235"/>
      <c r="O269" s="208">
        <f t="shared" si="88"/>
        <v>563</v>
      </c>
      <c r="P269" s="292"/>
      <c r="Q269" s="167"/>
    </row>
    <row r="270" spans="1:17" ht="12.75">
      <c r="A270" s="20" t="s">
        <v>367</v>
      </c>
      <c r="B270" s="57">
        <v>34017</v>
      </c>
      <c r="C270" s="112"/>
      <c r="D270" s="102"/>
      <c r="E270" s="73"/>
      <c r="F270" s="190"/>
      <c r="G270" s="74"/>
      <c r="H270" s="235"/>
      <c r="I270" s="208">
        <f t="shared" si="86"/>
        <v>0</v>
      </c>
      <c r="J270" s="257">
        <f>90</f>
        <v>90</v>
      </c>
      <c r="K270" s="235"/>
      <c r="L270" s="208">
        <f t="shared" si="87"/>
        <v>90</v>
      </c>
      <c r="M270" s="257"/>
      <c r="N270" s="235"/>
      <c r="O270" s="208">
        <f t="shared" si="88"/>
        <v>90</v>
      </c>
      <c r="P270" s="292"/>
      <c r="Q270" s="167"/>
    </row>
    <row r="271" spans="1:17" ht="12.75">
      <c r="A271" s="20" t="s">
        <v>368</v>
      </c>
      <c r="B271" s="57">
        <v>34021</v>
      </c>
      <c r="C271" s="112"/>
      <c r="D271" s="102"/>
      <c r="E271" s="73"/>
      <c r="F271" s="190"/>
      <c r="G271" s="74"/>
      <c r="H271" s="235"/>
      <c r="I271" s="208">
        <f t="shared" si="86"/>
        <v>0</v>
      </c>
      <c r="J271" s="257">
        <f>95</f>
        <v>95</v>
      </c>
      <c r="K271" s="235"/>
      <c r="L271" s="208">
        <f t="shared" si="87"/>
        <v>95</v>
      </c>
      <c r="M271" s="257"/>
      <c r="N271" s="235"/>
      <c r="O271" s="208">
        <f t="shared" si="88"/>
        <v>95</v>
      </c>
      <c r="P271" s="292"/>
      <c r="Q271" s="167"/>
    </row>
    <row r="272" spans="1:17" ht="12.75" hidden="1">
      <c r="A272" s="20" t="s">
        <v>292</v>
      </c>
      <c r="B272" s="57"/>
      <c r="C272" s="112"/>
      <c r="D272" s="102"/>
      <c r="E272" s="73"/>
      <c r="F272" s="190">
        <f t="shared" si="84"/>
        <v>0</v>
      </c>
      <c r="G272" s="74"/>
      <c r="H272" s="235"/>
      <c r="I272" s="208">
        <f t="shared" si="86"/>
        <v>0</v>
      </c>
      <c r="J272" s="257"/>
      <c r="K272" s="235"/>
      <c r="L272" s="208">
        <f t="shared" si="87"/>
        <v>0</v>
      </c>
      <c r="M272" s="257"/>
      <c r="N272" s="235"/>
      <c r="O272" s="208">
        <f t="shared" si="88"/>
        <v>0</v>
      </c>
      <c r="P272" s="292"/>
      <c r="Q272" s="167">
        <f t="shared" si="85"/>
        <v>0</v>
      </c>
    </row>
    <row r="273" spans="1:17" ht="12.75">
      <c r="A273" s="36" t="s">
        <v>353</v>
      </c>
      <c r="B273" s="57"/>
      <c r="C273" s="112"/>
      <c r="D273" s="102"/>
      <c r="E273" s="73"/>
      <c r="F273" s="190">
        <f t="shared" si="84"/>
        <v>0</v>
      </c>
      <c r="G273" s="74">
        <f>1423.76</f>
        <v>1423.76</v>
      </c>
      <c r="H273" s="235"/>
      <c r="I273" s="208">
        <f t="shared" si="86"/>
        <v>1423.76</v>
      </c>
      <c r="J273" s="257"/>
      <c r="K273" s="235"/>
      <c r="L273" s="208">
        <f t="shared" si="87"/>
        <v>1423.76</v>
      </c>
      <c r="M273" s="257"/>
      <c r="N273" s="235"/>
      <c r="O273" s="208">
        <f t="shared" si="88"/>
        <v>1423.76</v>
      </c>
      <c r="P273" s="292"/>
      <c r="Q273" s="167"/>
    </row>
    <row r="274" spans="1:17" ht="12.75">
      <c r="A274" s="20" t="s">
        <v>308</v>
      </c>
      <c r="B274" s="57"/>
      <c r="C274" s="112"/>
      <c r="D274" s="102">
        <f>55.21+9.74</f>
        <v>64.95</v>
      </c>
      <c r="E274" s="73"/>
      <c r="F274" s="190">
        <f t="shared" si="84"/>
        <v>64.95</v>
      </c>
      <c r="G274" s="74"/>
      <c r="H274" s="235"/>
      <c r="I274" s="208">
        <f t="shared" si="86"/>
        <v>64.95</v>
      </c>
      <c r="J274" s="257">
        <f>103.59+587.03</f>
        <v>690.62</v>
      </c>
      <c r="K274" s="235"/>
      <c r="L274" s="208">
        <f t="shared" si="87"/>
        <v>755.57</v>
      </c>
      <c r="M274" s="257"/>
      <c r="N274" s="235"/>
      <c r="O274" s="208">
        <f t="shared" si="88"/>
        <v>755.57</v>
      </c>
      <c r="P274" s="292"/>
      <c r="Q274" s="167"/>
    </row>
    <row r="275" spans="1:17" ht="12.75" hidden="1">
      <c r="A275" s="20" t="s">
        <v>248</v>
      </c>
      <c r="B275" s="57"/>
      <c r="C275" s="112"/>
      <c r="D275" s="102"/>
      <c r="E275" s="73"/>
      <c r="F275" s="190">
        <f t="shared" si="84"/>
        <v>0</v>
      </c>
      <c r="G275" s="74"/>
      <c r="H275" s="235"/>
      <c r="I275" s="208">
        <f t="shared" si="86"/>
        <v>0</v>
      </c>
      <c r="J275" s="257"/>
      <c r="K275" s="235"/>
      <c r="L275" s="208">
        <f t="shared" si="87"/>
        <v>0</v>
      </c>
      <c r="M275" s="257"/>
      <c r="N275" s="235"/>
      <c r="O275" s="208">
        <f t="shared" si="88"/>
        <v>0</v>
      </c>
      <c r="P275" s="292"/>
      <c r="Q275" s="167">
        <f t="shared" si="85"/>
        <v>0</v>
      </c>
    </row>
    <row r="276" spans="1:17" ht="12.75">
      <c r="A276" s="20" t="s">
        <v>72</v>
      </c>
      <c r="B276" s="57"/>
      <c r="C276" s="112"/>
      <c r="D276" s="102">
        <f>280+100</f>
        <v>380</v>
      </c>
      <c r="E276" s="73"/>
      <c r="F276" s="190">
        <f t="shared" si="84"/>
        <v>380</v>
      </c>
      <c r="G276" s="74">
        <f>210.47+300.15+601.4</f>
        <v>1112.02</v>
      </c>
      <c r="H276" s="235"/>
      <c r="I276" s="208">
        <f t="shared" si="86"/>
        <v>1492.02</v>
      </c>
      <c r="J276" s="257">
        <f>1500+2529.29</f>
        <v>4029.29</v>
      </c>
      <c r="K276" s="235"/>
      <c r="L276" s="208">
        <f t="shared" si="87"/>
        <v>5521.3099999999995</v>
      </c>
      <c r="M276" s="257"/>
      <c r="N276" s="235"/>
      <c r="O276" s="208">
        <f t="shared" si="88"/>
        <v>5521.3099999999995</v>
      </c>
      <c r="P276" s="292"/>
      <c r="Q276" s="167">
        <f t="shared" si="85"/>
        <v>5521.3099999999995</v>
      </c>
    </row>
    <row r="277" spans="1:17" ht="12.75">
      <c r="A277" s="22" t="s">
        <v>52</v>
      </c>
      <c r="B277" s="61"/>
      <c r="C277" s="115">
        <f>SUM(C279:C286)</f>
        <v>2850</v>
      </c>
      <c r="D277" s="105">
        <f aca="true" t="shared" si="89" ref="D277:Q277">SUM(D279:D286)</f>
        <v>1956.07</v>
      </c>
      <c r="E277" s="80">
        <f t="shared" si="89"/>
        <v>0</v>
      </c>
      <c r="F277" s="193">
        <f t="shared" si="89"/>
        <v>4806.07</v>
      </c>
      <c r="G277" s="79">
        <f t="shared" si="89"/>
        <v>4210.47</v>
      </c>
      <c r="H277" s="239">
        <f t="shared" si="89"/>
        <v>0</v>
      </c>
      <c r="I277" s="211">
        <f t="shared" si="89"/>
        <v>9016.54</v>
      </c>
      <c r="J277" s="262">
        <f t="shared" si="89"/>
        <v>19331.83</v>
      </c>
      <c r="K277" s="239">
        <f t="shared" si="89"/>
        <v>0</v>
      </c>
      <c r="L277" s="211">
        <f t="shared" si="89"/>
        <v>28348.37</v>
      </c>
      <c r="M277" s="262">
        <f t="shared" si="89"/>
        <v>408.02</v>
      </c>
      <c r="N277" s="239">
        <f t="shared" si="89"/>
        <v>0</v>
      </c>
      <c r="O277" s="211">
        <f t="shared" si="89"/>
        <v>28756.39</v>
      </c>
      <c r="P277" s="105">
        <f t="shared" si="89"/>
        <v>0</v>
      </c>
      <c r="Q277" s="154">
        <f t="shared" si="89"/>
        <v>13439.43</v>
      </c>
    </row>
    <row r="278" spans="1:17" ht="12.75">
      <c r="A278" s="18" t="s">
        <v>26</v>
      </c>
      <c r="B278" s="57"/>
      <c r="C278" s="112"/>
      <c r="D278" s="102"/>
      <c r="E278" s="73"/>
      <c r="F278" s="190"/>
      <c r="G278" s="74"/>
      <c r="H278" s="235"/>
      <c r="I278" s="208"/>
      <c r="J278" s="257"/>
      <c r="K278" s="235"/>
      <c r="L278" s="208"/>
      <c r="M278" s="257"/>
      <c r="N278" s="235"/>
      <c r="O278" s="208"/>
      <c r="P278" s="292"/>
      <c r="Q278" s="167"/>
    </row>
    <row r="279" spans="1:17" ht="12.75" hidden="1">
      <c r="A279" s="20" t="s">
        <v>84</v>
      </c>
      <c r="B279" s="57">
        <v>34544</v>
      </c>
      <c r="C279" s="112"/>
      <c r="D279" s="102"/>
      <c r="E279" s="73"/>
      <c r="F279" s="190">
        <f aca="true" t="shared" si="90" ref="F279:F286">C279+D279+E279</f>
        <v>0</v>
      </c>
      <c r="G279" s="74"/>
      <c r="H279" s="235"/>
      <c r="I279" s="208">
        <f aca="true" t="shared" si="91" ref="I279:I286">F279+G279+H279</f>
        <v>0</v>
      </c>
      <c r="J279" s="257"/>
      <c r="K279" s="235"/>
      <c r="L279" s="208">
        <f aca="true" t="shared" si="92" ref="L279:L286">I279+J279+K279</f>
        <v>0</v>
      </c>
      <c r="M279" s="257"/>
      <c r="N279" s="235"/>
      <c r="O279" s="208">
        <f>L279+M279+N279</f>
        <v>0</v>
      </c>
      <c r="P279" s="292"/>
      <c r="Q279" s="167">
        <f>O279+P279</f>
        <v>0</v>
      </c>
    </row>
    <row r="280" spans="1:17" ht="12.75">
      <c r="A280" s="20" t="s">
        <v>374</v>
      </c>
      <c r="B280" s="57">
        <v>17503</v>
      </c>
      <c r="C280" s="112"/>
      <c r="D280" s="102">
        <f>1409.62</f>
        <v>1409.62</v>
      </c>
      <c r="E280" s="73"/>
      <c r="F280" s="190">
        <f t="shared" si="90"/>
        <v>1409.62</v>
      </c>
      <c r="G280" s="74">
        <f>-1409.62</f>
        <v>-1409.62</v>
      </c>
      <c r="H280" s="235"/>
      <c r="I280" s="208">
        <f t="shared" si="91"/>
        <v>0</v>
      </c>
      <c r="J280" s="257"/>
      <c r="K280" s="235"/>
      <c r="L280" s="208">
        <f t="shared" si="92"/>
        <v>0</v>
      </c>
      <c r="M280" s="257">
        <f>111.02</f>
        <v>111.02</v>
      </c>
      <c r="N280" s="235"/>
      <c r="O280" s="208">
        <f>L280+M280+N280</f>
        <v>111.02</v>
      </c>
      <c r="P280" s="292"/>
      <c r="Q280" s="167"/>
    </row>
    <row r="281" spans="1:17" ht="12.75">
      <c r="A281" s="20" t="s">
        <v>348</v>
      </c>
      <c r="B281" s="57">
        <v>34505</v>
      </c>
      <c r="C281" s="112"/>
      <c r="D281" s="102"/>
      <c r="E281" s="73"/>
      <c r="F281" s="190">
        <f t="shared" si="90"/>
        <v>0</v>
      </c>
      <c r="G281" s="74">
        <f>45+63</f>
        <v>108</v>
      </c>
      <c r="H281" s="235"/>
      <c r="I281" s="208">
        <f t="shared" si="91"/>
        <v>108</v>
      </c>
      <c r="J281" s="257"/>
      <c r="K281" s="235"/>
      <c r="L281" s="208">
        <f t="shared" si="92"/>
        <v>108</v>
      </c>
      <c r="M281" s="257"/>
      <c r="N281" s="235"/>
      <c r="O281" s="208">
        <f aca="true" t="shared" si="93" ref="O281:O286">L281+M281+N281</f>
        <v>108</v>
      </c>
      <c r="P281" s="292"/>
      <c r="Q281" s="167"/>
    </row>
    <row r="282" spans="1:17" ht="12.75">
      <c r="A282" s="36" t="s">
        <v>353</v>
      </c>
      <c r="B282" s="57"/>
      <c r="C282" s="112"/>
      <c r="D282" s="102"/>
      <c r="E282" s="73"/>
      <c r="F282" s="190">
        <f t="shared" si="90"/>
        <v>0</v>
      </c>
      <c r="G282" s="74">
        <f>766.11</f>
        <v>766.11</v>
      </c>
      <c r="H282" s="235"/>
      <c r="I282" s="208">
        <f t="shared" si="91"/>
        <v>766.11</v>
      </c>
      <c r="J282" s="257"/>
      <c r="K282" s="235"/>
      <c r="L282" s="208">
        <f t="shared" si="92"/>
        <v>766.11</v>
      </c>
      <c r="M282" s="257"/>
      <c r="N282" s="235"/>
      <c r="O282" s="208">
        <f t="shared" si="93"/>
        <v>766.11</v>
      </c>
      <c r="P282" s="292"/>
      <c r="Q282" s="167"/>
    </row>
    <row r="283" spans="1:17" ht="12.75">
      <c r="A283" s="20" t="s">
        <v>366</v>
      </c>
      <c r="B283" s="57">
        <v>34509</v>
      </c>
      <c r="C283" s="112"/>
      <c r="D283" s="102"/>
      <c r="E283" s="73"/>
      <c r="F283" s="190"/>
      <c r="G283" s="74"/>
      <c r="H283" s="235"/>
      <c r="I283" s="208">
        <f t="shared" si="91"/>
        <v>0</v>
      </c>
      <c r="J283" s="257">
        <f>14331.83</f>
        <v>14331.83</v>
      </c>
      <c r="K283" s="235"/>
      <c r="L283" s="208">
        <f t="shared" si="92"/>
        <v>14331.83</v>
      </c>
      <c r="M283" s="257"/>
      <c r="N283" s="235"/>
      <c r="O283" s="208">
        <f t="shared" si="93"/>
        <v>14331.83</v>
      </c>
      <c r="P283" s="292"/>
      <c r="Q283" s="167"/>
    </row>
    <row r="284" spans="1:17" ht="12.75">
      <c r="A284" s="55" t="s">
        <v>79</v>
      </c>
      <c r="B284" s="57"/>
      <c r="C284" s="112">
        <v>2850</v>
      </c>
      <c r="D284" s="142"/>
      <c r="E284" s="73"/>
      <c r="F284" s="190">
        <f t="shared" si="90"/>
        <v>2850</v>
      </c>
      <c r="G284" s="74">
        <f>141.8+700</f>
        <v>841.8</v>
      </c>
      <c r="H284" s="235"/>
      <c r="I284" s="208">
        <f t="shared" si="91"/>
        <v>3691.8</v>
      </c>
      <c r="J284" s="257">
        <f>5000</f>
        <v>5000</v>
      </c>
      <c r="K284" s="235"/>
      <c r="L284" s="208">
        <f t="shared" si="92"/>
        <v>8691.8</v>
      </c>
      <c r="M284" s="257">
        <f>203+94</f>
        <v>297</v>
      </c>
      <c r="N284" s="235"/>
      <c r="O284" s="208">
        <f t="shared" si="93"/>
        <v>8988.8</v>
      </c>
      <c r="P284" s="292"/>
      <c r="Q284" s="167">
        <f>O284+P284</f>
        <v>8988.8</v>
      </c>
    </row>
    <row r="285" spans="1:18" ht="12.75">
      <c r="A285" s="55" t="s">
        <v>53</v>
      </c>
      <c r="B285" s="57"/>
      <c r="C285" s="112"/>
      <c r="D285" s="102">
        <f>242+54.45</f>
        <v>296.45</v>
      </c>
      <c r="E285" s="73"/>
      <c r="F285" s="190">
        <f t="shared" si="90"/>
        <v>296.45</v>
      </c>
      <c r="G285" s="74"/>
      <c r="H285" s="235"/>
      <c r="I285" s="208">
        <f t="shared" si="91"/>
        <v>296.45</v>
      </c>
      <c r="J285" s="257"/>
      <c r="K285" s="235"/>
      <c r="L285" s="208">
        <f t="shared" si="92"/>
        <v>296.45</v>
      </c>
      <c r="M285" s="260"/>
      <c r="N285" s="235"/>
      <c r="O285" s="208">
        <f t="shared" si="93"/>
        <v>296.45</v>
      </c>
      <c r="P285" s="292"/>
      <c r="Q285" s="167">
        <f>O285+P285</f>
        <v>296.45</v>
      </c>
      <c r="R285" s="288"/>
    </row>
    <row r="286" spans="1:17" ht="12.75">
      <c r="A286" s="26" t="s">
        <v>72</v>
      </c>
      <c r="B286" s="60"/>
      <c r="C286" s="181"/>
      <c r="D286" s="172">
        <f>250</f>
        <v>250</v>
      </c>
      <c r="E286" s="81"/>
      <c r="F286" s="195">
        <f t="shared" si="90"/>
        <v>250</v>
      </c>
      <c r="G286" s="226">
        <f>350+3554.18</f>
        <v>3904.18</v>
      </c>
      <c r="H286" s="241"/>
      <c r="I286" s="213">
        <f t="shared" si="91"/>
        <v>4154.18</v>
      </c>
      <c r="J286" s="264"/>
      <c r="K286" s="241"/>
      <c r="L286" s="213">
        <f t="shared" si="92"/>
        <v>4154.18</v>
      </c>
      <c r="M286" s="283"/>
      <c r="N286" s="241"/>
      <c r="O286" s="213">
        <f t="shared" si="93"/>
        <v>4154.18</v>
      </c>
      <c r="P286" s="295"/>
      <c r="Q286" s="168">
        <f>O286+P286</f>
        <v>4154.18</v>
      </c>
    </row>
    <row r="287" spans="1:17" ht="12.75">
      <c r="A287" s="13" t="s">
        <v>252</v>
      </c>
      <c r="B287" s="61"/>
      <c r="C287" s="111">
        <f>C288+C291</f>
        <v>1000</v>
      </c>
      <c r="D287" s="92">
        <f aca="true" t="shared" si="94" ref="D287:Q287">D288+D291</f>
        <v>0</v>
      </c>
      <c r="E287" s="72">
        <f t="shared" si="94"/>
        <v>0</v>
      </c>
      <c r="F287" s="189">
        <f t="shared" si="94"/>
        <v>1000</v>
      </c>
      <c r="G287" s="71">
        <f t="shared" si="94"/>
        <v>-62.64</v>
      </c>
      <c r="H287" s="234">
        <f t="shared" si="94"/>
        <v>0</v>
      </c>
      <c r="I287" s="207">
        <f t="shared" si="94"/>
        <v>937.36</v>
      </c>
      <c r="J287" s="256">
        <f t="shared" si="94"/>
        <v>0</v>
      </c>
      <c r="K287" s="234">
        <f t="shared" si="94"/>
        <v>0</v>
      </c>
      <c r="L287" s="207">
        <f t="shared" si="94"/>
        <v>937.36</v>
      </c>
      <c r="M287" s="256">
        <f t="shared" si="94"/>
        <v>0</v>
      </c>
      <c r="N287" s="234">
        <f t="shared" si="94"/>
        <v>0</v>
      </c>
      <c r="O287" s="207">
        <f t="shared" si="94"/>
        <v>937.36</v>
      </c>
      <c r="P287" s="92">
        <f t="shared" si="94"/>
        <v>0</v>
      </c>
      <c r="Q287" s="150">
        <f t="shared" si="94"/>
        <v>937.36</v>
      </c>
    </row>
    <row r="288" spans="1:17" ht="12.75">
      <c r="A288" s="22" t="s">
        <v>48</v>
      </c>
      <c r="B288" s="61"/>
      <c r="C288" s="115">
        <f>SUM(C290:C290)</f>
        <v>1000</v>
      </c>
      <c r="D288" s="105">
        <f aca="true" t="shared" si="95" ref="D288:Q288">SUM(D290:D290)</f>
        <v>0</v>
      </c>
      <c r="E288" s="80">
        <f t="shared" si="95"/>
        <v>0</v>
      </c>
      <c r="F288" s="193">
        <f t="shared" si="95"/>
        <v>1000</v>
      </c>
      <c r="G288" s="79">
        <f t="shared" si="95"/>
        <v>-62.64</v>
      </c>
      <c r="H288" s="239">
        <f t="shared" si="95"/>
        <v>0</v>
      </c>
      <c r="I288" s="211">
        <f t="shared" si="95"/>
        <v>937.36</v>
      </c>
      <c r="J288" s="262">
        <f t="shared" si="95"/>
        <v>0</v>
      </c>
      <c r="K288" s="239">
        <f t="shared" si="95"/>
        <v>0</v>
      </c>
      <c r="L288" s="211">
        <f t="shared" si="95"/>
        <v>937.36</v>
      </c>
      <c r="M288" s="262">
        <f t="shared" si="95"/>
        <v>0</v>
      </c>
      <c r="N288" s="239">
        <f t="shared" si="95"/>
        <v>0</v>
      </c>
      <c r="O288" s="211">
        <f t="shared" si="95"/>
        <v>937.36</v>
      </c>
      <c r="P288" s="105">
        <f t="shared" si="95"/>
        <v>0</v>
      </c>
      <c r="Q288" s="154">
        <f t="shared" si="95"/>
        <v>937.36</v>
      </c>
    </row>
    <row r="289" spans="1:17" ht="12.75">
      <c r="A289" s="18" t="s">
        <v>26</v>
      </c>
      <c r="B289" s="57"/>
      <c r="C289" s="112"/>
      <c r="D289" s="102"/>
      <c r="E289" s="73"/>
      <c r="F289" s="190"/>
      <c r="G289" s="74"/>
      <c r="H289" s="235"/>
      <c r="I289" s="208"/>
      <c r="J289" s="257"/>
      <c r="K289" s="235"/>
      <c r="L289" s="208"/>
      <c r="M289" s="260"/>
      <c r="N289" s="235"/>
      <c r="O289" s="208"/>
      <c r="P289" s="292"/>
      <c r="Q289" s="167"/>
    </row>
    <row r="290" spans="1:17" ht="13.5" thickBot="1">
      <c r="A290" s="311" t="s">
        <v>50</v>
      </c>
      <c r="B290" s="300"/>
      <c r="C290" s="301">
        <v>1000</v>
      </c>
      <c r="D290" s="302"/>
      <c r="E290" s="303"/>
      <c r="F290" s="304">
        <f>C290+D290+E290</f>
        <v>1000</v>
      </c>
      <c r="G290" s="305">
        <f>-62.64</f>
        <v>-62.64</v>
      </c>
      <c r="H290" s="306"/>
      <c r="I290" s="307">
        <f>F290+G290+H290</f>
        <v>937.36</v>
      </c>
      <c r="J290" s="308"/>
      <c r="K290" s="306"/>
      <c r="L290" s="307">
        <f>I290+J290+K290</f>
        <v>937.36</v>
      </c>
      <c r="M290" s="312"/>
      <c r="N290" s="306"/>
      <c r="O290" s="307">
        <f>L290+M290+N290</f>
        <v>937.36</v>
      </c>
      <c r="P290" s="292"/>
      <c r="Q290" s="167">
        <f>O290+P290</f>
        <v>937.36</v>
      </c>
    </row>
    <row r="291" spans="1:17" ht="12.75" hidden="1">
      <c r="A291" s="22" t="s">
        <v>52</v>
      </c>
      <c r="B291" s="61"/>
      <c r="C291" s="115">
        <f>C293</f>
        <v>0</v>
      </c>
      <c r="D291" s="105">
        <f aca="true" t="shared" si="96" ref="D291:Q291">D293</f>
        <v>0</v>
      </c>
      <c r="E291" s="80">
        <f t="shared" si="96"/>
        <v>0</v>
      </c>
      <c r="F291" s="193">
        <f t="shared" si="96"/>
        <v>0</v>
      </c>
      <c r="G291" s="79">
        <f t="shared" si="96"/>
        <v>0</v>
      </c>
      <c r="H291" s="239">
        <f t="shared" si="96"/>
        <v>0</v>
      </c>
      <c r="I291" s="211">
        <f t="shared" si="96"/>
        <v>0</v>
      </c>
      <c r="J291" s="262">
        <f t="shared" si="96"/>
        <v>0</v>
      </c>
      <c r="K291" s="239">
        <f t="shared" si="96"/>
        <v>0</v>
      </c>
      <c r="L291" s="211">
        <f t="shared" si="96"/>
        <v>0</v>
      </c>
      <c r="M291" s="262">
        <f t="shared" si="96"/>
        <v>0</v>
      </c>
      <c r="N291" s="239">
        <f t="shared" si="96"/>
        <v>0</v>
      </c>
      <c r="O291" s="211">
        <f t="shared" si="96"/>
        <v>0</v>
      </c>
      <c r="P291" s="105">
        <f t="shared" si="96"/>
        <v>0</v>
      </c>
      <c r="Q291" s="154">
        <f t="shared" si="96"/>
        <v>0</v>
      </c>
    </row>
    <row r="292" spans="1:17" ht="12.75" hidden="1">
      <c r="A292" s="18" t="s">
        <v>26</v>
      </c>
      <c r="B292" s="57"/>
      <c r="C292" s="112"/>
      <c r="D292" s="102"/>
      <c r="E292" s="73"/>
      <c r="F292" s="190"/>
      <c r="G292" s="74"/>
      <c r="H292" s="235"/>
      <c r="I292" s="208"/>
      <c r="J292" s="257"/>
      <c r="K292" s="235"/>
      <c r="L292" s="208"/>
      <c r="M292" s="257"/>
      <c r="N292" s="235"/>
      <c r="O292" s="208"/>
      <c r="P292" s="292"/>
      <c r="Q292" s="167"/>
    </row>
    <row r="293" spans="1:17" ht="12.75" hidden="1">
      <c r="A293" s="110" t="s">
        <v>53</v>
      </c>
      <c r="B293" s="60"/>
      <c r="C293" s="181"/>
      <c r="D293" s="172"/>
      <c r="E293" s="81"/>
      <c r="F293" s="195">
        <f>C293+D293+E293</f>
        <v>0</v>
      </c>
      <c r="G293" s="226"/>
      <c r="H293" s="241"/>
      <c r="I293" s="213">
        <f>F293+G293+H293</f>
        <v>0</v>
      </c>
      <c r="J293" s="264"/>
      <c r="K293" s="241"/>
      <c r="L293" s="213">
        <f>I293+J293+K293</f>
        <v>0</v>
      </c>
      <c r="M293" s="264"/>
      <c r="N293" s="241"/>
      <c r="O293" s="213">
        <f>L293+M293+N293</f>
        <v>0</v>
      </c>
      <c r="P293" s="295"/>
      <c r="Q293" s="168">
        <f>O293+P293</f>
        <v>0</v>
      </c>
    </row>
    <row r="294" spans="1:17" ht="12.75">
      <c r="A294" s="13" t="s">
        <v>47</v>
      </c>
      <c r="B294" s="59"/>
      <c r="C294" s="111">
        <f>C295+C309</f>
        <v>103456.29</v>
      </c>
      <c r="D294" s="92">
        <f aca="true" t="shared" si="97" ref="D294:Q294">D295+D309</f>
        <v>210179.7</v>
      </c>
      <c r="E294" s="72">
        <f t="shared" si="97"/>
        <v>0</v>
      </c>
      <c r="F294" s="189">
        <f t="shared" si="97"/>
        <v>313635.99</v>
      </c>
      <c r="G294" s="71">
        <f t="shared" si="97"/>
        <v>67726.13</v>
      </c>
      <c r="H294" s="234">
        <f t="shared" si="97"/>
        <v>0</v>
      </c>
      <c r="I294" s="207">
        <f t="shared" si="97"/>
        <v>381362.12</v>
      </c>
      <c r="J294" s="256">
        <f t="shared" si="97"/>
        <v>37787.2</v>
      </c>
      <c r="K294" s="234">
        <f t="shared" si="97"/>
        <v>0</v>
      </c>
      <c r="L294" s="207">
        <f t="shared" si="97"/>
        <v>419149.31999999995</v>
      </c>
      <c r="M294" s="256">
        <f t="shared" si="97"/>
        <v>450</v>
      </c>
      <c r="N294" s="234">
        <f t="shared" si="97"/>
        <v>0</v>
      </c>
      <c r="O294" s="207">
        <f t="shared" si="97"/>
        <v>419599.31999999995</v>
      </c>
      <c r="P294" s="92">
        <f t="shared" si="97"/>
        <v>0</v>
      </c>
      <c r="Q294" s="150">
        <f t="shared" si="97"/>
        <v>418758.83999999997</v>
      </c>
    </row>
    <row r="295" spans="1:17" ht="12.75">
      <c r="A295" s="22" t="s">
        <v>48</v>
      </c>
      <c r="B295" s="59"/>
      <c r="C295" s="115">
        <f>SUM(C297:C308)</f>
        <v>102656.29</v>
      </c>
      <c r="D295" s="105">
        <f aca="true" t="shared" si="98" ref="D295:Q295">SUM(D297:D308)</f>
        <v>209979.7</v>
      </c>
      <c r="E295" s="80">
        <f t="shared" si="98"/>
        <v>0</v>
      </c>
      <c r="F295" s="193">
        <f t="shared" si="98"/>
        <v>312635.99</v>
      </c>
      <c r="G295" s="79">
        <f t="shared" si="98"/>
        <v>67726.13</v>
      </c>
      <c r="H295" s="239">
        <f t="shared" si="98"/>
        <v>0</v>
      </c>
      <c r="I295" s="211">
        <f t="shared" si="98"/>
        <v>380362.12</v>
      </c>
      <c r="J295" s="262">
        <f t="shared" si="98"/>
        <v>37787.2</v>
      </c>
      <c r="K295" s="239">
        <f t="shared" si="98"/>
        <v>0</v>
      </c>
      <c r="L295" s="211">
        <f t="shared" si="98"/>
        <v>418149.31999999995</v>
      </c>
      <c r="M295" s="262">
        <f t="shared" si="98"/>
        <v>450</v>
      </c>
      <c r="N295" s="239">
        <f t="shared" si="98"/>
        <v>0</v>
      </c>
      <c r="O295" s="211">
        <f t="shared" si="98"/>
        <v>418599.31999999995</v>
      </c>
      <c r="P295" s="105">
        <f t="shared" si="98"/>
        <v>0</v>
      </c>
      <c r="Q295" s="154">
        <f t="shared" si="98"/>
        <v>417758.83999999997</v>
      </c>
    </row>
    <row r="296" spans="1:17" ht="12.75">
      <c r="A296" s="18" t="s">
        <v>26</v>
      </c>
      <c r="B296" s="46"/>
      <c r="C296" s="112"/>
      <c r="D296" s="102"/>
      <c r="E296" s="73"/>
      <c r="F296" s="190"/>
      <c r="G296" s="74"/>
      <c r="H296" s="235"/>
      <c r="I296" s="208"/>
      <c r="J296" s="257"/>
      <c r="K296" s="235"/>
      <c r="L296" s="208"/>
      <c r="M296" s="257"/>
      <c r="N296" s="235"/>
      <c r="O296" s="208"/>
      <c r="P296" s="292"/>
      <c r="Q296" s="167"/>
    </row>
    <row r="297" spans="1:17" ht="12.75">
      <c r="A297" s="16" t="s">
        <v>127</v>
      </c>
      <c r="B297" s="57"/>
      <c r="C297" s="112">
        <v>29177.47</v>
      </c>
      <c r="D297" s="142">
        <f>2540.4</f>
        <v>2540.4</v>
      </c>
      <c r="E297" s="73"/>
      <c r="F297" s="190">
        <f aca="true" t="shared" si="99" ref="F297:F308">C297+D297+E297</f>
        <v>31717.870000000003</v>
      </c>
      <c r="G297" s="74"/>
      <c r="H297" s="235"/>
      <c r="I297" s="208">
        <f>F297+G297+H297</f>
        <v>31717.870000000003</v>
      </c>
      <c r="J297" s="257"/>
      <c r="K297" s="235"/>
      <c r="L297" s="208">
        <f>I297+J297+K297</f>
        <v>31717.870000000003</v>
      </c>
      <c r="M297" s="257"/>
      <c r="N297" s="235"/>
      <c r="O297" s="208">
        <f>L297+M297+N297</f>
        <v>31717.870000000003</v>
      </c>
      <c r="P297" s="292"/>
      <c r="Q297" s="167">
        <f>O297+P297</f>
        <v>31717.870000000003</v>
      </c>
    </row>
    <row r="298" spans="1:17" ht="12.75">
      <c r="A298" s="16" t="s">
        <v>49</v>
      </c>
      <c r="B298" s="57"/>
      <c r="C298" s="112">
        <v>7487.34</v>
      </c>
      <c r="D298" s="102">
        <f>605</f>
        <v>605</v>
      </c>
      <c r="E298" s="73"/>
      <c r="F298" s="190">
        <f t="shared" si="99"/>
        <v>8092.34</v>
      </c>
      <c r="G298" s="74"/>
      <c r="H298" s="235"/>
      <c r="I298" s="208">
        <f aca="true" t="shared" si="100" ref="I298:I308">F298+G298+H298</f>
        <v>8092.34</v>
      </c>
      <c r="J298" s="257"/>
      <c r="K298" s="235"/>
      <c r="L298" s="208">
        <f aca="true" t="shared" si="101" ref="L298:L308">I298+J298+K298</f>
        <v>8092.34</v>
      </c>
      <c r="M298" s="257"/>
      <c r="N298" s="235"/>
      <c r="O298" s="208">
        <f aca="true" t="shared" si="102" ref="O298:O307">L298+M298+N298</f>
        <v>8092.34</v>
      </c>
      <c r="P298" s="292"/>
      <c r="Q298" s="167">
        <f aca="true" t="shared" si="103" ref="Q298:Q308">O298+P298</f>
        <v>8092.34</v>
      </c>
    </row>
    <row r="299" spans="1:17" ht="12.75">
      <c r="A299" s="16" t="s">
        <v>225</v>
      </c>
      <c r="B299" s="57"/>
      <c r="C299" s="112">
        <v>1450</v>
      </c>
      <c r="D299" s="102">
        <f>300</f>
        <v>300</v>
      </c>
      <c r="E299" s="73"/>
      <c r="F299" s="190">
        <f t="shared" si="99"/>
        <v>1750</v>
      </c>
      <c r="G299" s="74"/>
      <c r="H299" s="235"/>
      <c r="I299" s="208">
        <f t="shared" si="100"/>
        <v>1750</v>
      </c>
      <c r="J299" s="257">
        <f>400</f>
        <v>400</v>
      </c>
      <c r="K299" s="235"/>
      <c r="L299" s="208">
        <f t="shared" si="101"/>
        <v>2150</v>
      </c>
      <c r="M299" s="257">
        <f>450</f>
        <v>450</v>
      </c>
      <c r="N299" s="235"/>
      <c r="O299" s="208">
        <f t="shared" si="102"/>
        <v>2600</v>
      </c>
      <c r="P299" s="292"/>
      <c r="Q299" s="167">
        <f t="shared" si="103"/>
        <v>2600</v>
      </c>
    </row>
    <row r="300" spans="1:17" ht="12.75">
      <c r="A300" s="16" t="s">
        <v>50</v>
      </c>
      <c r="B300" s="57"/>
      <c r="C300" s="112">
        <v>15241.48</v>
      </c>
      <c r="D300" s="102">
        <f>2000+54.6</f>
        <v>2054.6</v>
      </c>
      <c r="E300" s="73"/>
      <c r="F300" s="190">
        <f t="shared" si="99"/>
        <v>17296.079999999998</v>
      </c>
      <c r="G300" s="74"/>
      <c r="H300" s="235"/>
      <c r="I300" s="208">
        <f t="shared" si="100"/>
        <v>17296.079999999998</v>
      </c>
      <c r="J300" s="257"/>
      <c r="K300" s="235"/>
      <c r="L300" s="208">
        <f t="shared" si="101"/>
        <v>17296.079999999998</v>
      </c>
      <c r="M300" s="257"/>
      <c r="N300" s="235"/>
      <c r="O300" s="208">
        <f t="shared" si="102"/>
        <v>17296.079999999998</v>
      </c>
      <c r="P300" s="292"/>
      <c r="Q300" s="167">
        <f t="shared" si="103"/>
        <v>17296.079999999998</v>
      </c>
    </row>
    <row r="301" spans="1:17" ht="12.75">
      <c r="A301" s="16" t="s">
        <v>72</v>
      </c>
      <c r="B301" s="57"/>
      <c r="C301" s="112"/>
      <c r="D301" s="102">
        <f>2404.19</f>
        <v>2404.19</v>
      </c>
      <c r="E301" s="73"/>
      <c r="F301" s="190">
        <f t="shared" si="99"/>
        <v>2404.19</v>
      </c>
      <c r="G301" s="74"/>
      <c r="H301" s="235"/>
      <c r="I301" s="208">
        <f t="shared" si="100"/>
        <v>2404.19</v>
      </c>
      <c r="J301" s="257"/>
      <c r="K301" s="235"/>
      <c r="L301" s="208">
        <f t="shared" si="101"/>
        <v>2404.19</v>
      </c>
      <c r="M301" s="257"/>
      <c r="N301" s="235"/>
      <c r="O301" s="208">
        <f t="shared" si="102"/>
        <v>2404.19</v>
      </c>
      <c r="P301" s="292"/>
      <c r="Q301" s="167">
        <f t="shared" si="103"/>
        <v>2404.19</v>
      </c>
    </row>
    <row r="302" spans="1:17" ht="12.75">
      <c r="A302" s="16" t="s">
        <v>311</v>
      </c>
      <c r="B302" s="57"/>
      <c r="C302" s="112">
        <v>35500</v>
      </c>
      <c r="D302" s="102">
        <f>88922.11+20000+32053.4+60000</f>
        <v>200975.51</v>
      </c>
      <c r="E302" s="73"/>
      <c r="F302" s="190">
        <f t="shared" si="99"/>
        <v>236475.51</v>
      </c>
      <c r="G302" s="74">
        <f>63051.5</f>
        <v>63051.5</v>
      </c>
      <c r="H302" s="235"/>
      <c r="I302" s="208">
        <f t="shared" si="100"/>
        <v>299527.01</v>
      </c>
      <c r="J302" s="257">
        <f>34781.35</f>
        <v>34781.35</v>
      </c>
      <c r="K302" s="235"/>
      <c r="L302" s="208">
        <f t="shared" si="101"/>
        <v>334308.36</v>
      </c>
      <c r="M302" s="257"/>
      <c r="N302" s="235"/>
      <c r="O302" s="208">
        <f t="shared" si="102"/>
        <v>334308.36</v>
      </c>
      <c r="P302" s="292"/>
      <c r="Q302" s="167">
        <f t="shared" si="103"/>
        <v>334308.36</v>
      </c>
    </row>
    <row r="303" spans="1:17" ht="12.75" hidden="1">
      <c r="A303" s="16" t="s">
        <v>278</v>
      </c>
      <c r="B303" s="57">
        <v>98032</v>
      </c>
      <c r="C303" s="112"/>
      <c r="D303" s="102"/>
      <c r="E303" s="73"/>
      <c r="F303" s="190">
        <f t="shared" si="99"/>
        <v>0</v>
      </c>
      <c r="G303" s="74"/>
      <c r="H303" s="235"/>
      <c r="I303" s="208">
        <f t="shared" si="100"/>
        <v>0</v>
      </c>
      <c r="J303" s="257"/>
      <c r="K303" s="235"/>
      <c r="L303" s="208">
        <f t="shared" si="101"/>
        <v>0</v>
      </c>
      <c r="M303" s="257"/>
      <c r="N303" s="235"/>
      <c r="O303" s="208">
        <f t="shared" si="102"/>
        <v>0</v>
      </c>
      <c r="P303" s="292"/>
      <c r="Q303" s="167">
        <f t="shared" si="103"/>
        <v>0</v>
      </c>
    </row>
    <row r="304" spans="1:17" ht="12.75">
      <c r="A304" s="16" t="s">
        <v>347</v>
      </c>
      <c r="B304" s="57">
        <v>14038</v>
      </c>
      <c r="C304" s="112"/>
      <c r="D304" s="102"/>
      <c r="E304" s="73"/>
      <c r="F304" s="190">
        <f t="shared" si="99"/>
        <v>0</v>
      </c>
      <c r="G304" s="74">
        <f>494.63</f>
        <v>494.63</v>
      </c>
      <c r="H304" s="235"/>
      <c r="I304" s="208">
        <f t="shared" si="100"/>
        <v>494.63</v>
      </c>
      <c r="J304" s="257">
        <f>345.85</f>
        <v>345.85</v>
      </c>
      <c r="K304" s="235"/>
      <c r="L304" s="208">
        <f t="shared" si="101"/>
        <v>840.48</v>
      </c>
      <c r="M304" s="257"/>
      <c r="N304" s="235"/>
      <c r="O304" s="208">
        <f t="shared" si="102"/>
        <v>840.48</v>
      </c>
      <c r="P304" s="292"/>
      <c r="Q304" s="167"/>
    </row>
    <row r="305" spans="1:17" ht="12.75">
      <c r="A305" s="16" t="s">
        <v>275</v>
      </c>
      <c r="B305" s="57"/>
      <c r="C305" s="112">
        <v>5000</v>
      </c>
      <c r="D305" s="102"/>
      <c r="E305" s="73"/>
      <c r="F305" s="190">
        <f t="shared" si="99"/>
        <v>5000</v>
      </c>
      <c r="G305" s="74"/>
      <c r="H305" s="235"/>
      <c r="I305" s="208">
        <f t="shared" si="100"/>
        <v>5000</v>
      </c>
      <c r="J305" s="257"/>
      <c r="K305" s="235"/>
      <c r="L305" s="208">
        <f t="shared" si="101"/>
        <v>5000</v>
      </c>
      <c r="M305" s="257"/>
      <c r="N305" s="235"/>
      <c r="O305" s="208">
        <f t="shared" si="102"/>
        <v>5000</v>
      </c>
      <c r="P305" s="292"/>
      <c r="Q305" s="167">
        <f t="shared" si="103"/>
        <v>5000</v>
      </c>
    </row>
    <row r="306" spans="1:17" ht="12.75">
      <c r="A306" s="16" t="s">
        <v>226</v>
      </c>
      <c r="B306" s="57"/>
      <c r="C306" s="112">
        <v>8200</v>
      </c>
      <c r="D306" s="102">
        <f>700</f>
        <v>700</v>
      </c>
      <c r="E306" s="73"/>
      <c r="F306" s="190">
        <f t="shared" si="99"/>
        <v>8900</v>
      </c>
      <c r="G306" s="74">
        <f>4000+180</f>
        <v>4180</v>
      </c>
      <c r="H306" s="235"/>
      <c r="I306" s="208">
        <f t="shared" si="100"/>
        <v>13080</v>
      </c>
      <c r="J306" s="257">
        <f>200+60+2000</f>
        <v>2260</v>
      </c>
      <c r="K306" s="235"/>
      <c r="L306" s="208">
        <f t="shared" si="101"/>
        <v>15340</v>
      </c>
      <c r="M306" s="257"/>
      <c r="N306" s="235"/>
      <c r="O306" s="208">
        <f t="shared" si="102"/>
        <v>15340</v>
      </c>
      <c r="P306" s="292"/>
      <c r="Q306" s="167">
        <f t="shared" si="103"/>
        <v>15340</v>
      </c>
    </row>
    <row r="307" spans="1:17" ht="12.75">
      <c r="A307" s="16" t="s">
        <v>227</v>
      </c>
      <c r="B307" s="57"/>
      <c r="C307" s="112">
        <v>600</v>
      </c>
      <c r="D307" s="102">
        <f>400</f>
        <v>400</v>
      </c>
      <c r="E307" s="73"/>
      <c r="F307" s="190">
        <f t="shared" si="99"/>
        <v>1000</v>
      </c>
      <c r="G307" s="74"/>
      <c r="H307" s="235"/>
      <c r="I307" s="208">
        <f t="shared" si="100"/>
        <v>1000</v>
      </c>
      <c r="J307" s="257"/>
      <c r="K307" s="235"/>
      <c r="L307" s="208">
        <f t="shared" si="101"/>
        <v>1000</v>
      </c>
      <c r="M307" s="257"/>
      <c r="N307" s="235"/>
      <c r="O307" s="208">
        <f t="shared" si="102"/>
        <v>1000</v>
      </c>
      <c r="P307" s="292"/>
      <c r="Q307" s="167">
        <f t="shared" si="103"/>
        <v>1000</v>
      </c>
    </row>
    <row r="308" spans="1:17" ht="12.75" hidden="1">
      <c r="A308" s="16" t="s">
        <v>51</v>
      </c>
      <c r="B308" s="57"/>
      <c r="C308" s="112"/>
      <c r="D308" s="102"/>
      <c r="E308" s="73"/>
      <c r="F308" s="190">
        <f t="shared" si="99"/>
        <v>0</v>
      </c>
      <c r="G308" s="74"/>
      <c r="H308" s="235"/>
      <c r="I308" s="208">
        <f t="shared" si="100"/>
        <v>0</v>
      </c>
      <c r="J308" s="257"/>
      <c r="K308" s="235"/>
      <c r="L308" s="208">
        <f t="shared" si="101"/>
        <v>0</v>
      </c>
      <c r="M308" s="257"/>
      <c r="N308" s="235"/>
      <c r="O308" s="208">
        <f>L308+M308+N308</f>
        <v>0</v>
      </c>
      <c r="P308" s="292"/>
      <c r="Q308" s="167">
        <f t="shared" si="103"/>
        <v>0</v>
      </c>
    </row>
    <row r="309" spans="1:17" ht="12.75">
      <c r="A309" s="23" t="s">
        <v>52</v>
      </c>
      <c r="B309" s="61"/>
      <c r="C309" s="116">
        <f aca="true" t="shared" si="104" ref="C309:Q309">SUM(C311:C315)</f>
        <v>800</v>
      </c>
      <c r="D309" s="106">
        <f t="shared" si="104"/>
        <v>200</v>
      </c>
      <c r="E309" s="83">
        <f t="shared" si="104"/>
        <v>0</v>
      </c>
      <c r="F309" s="194">
        <f t="shared" si="104"/>
        <v>1000</v>
      </c>
      <c r="G309" s="82">
        <f t="shared" si="104"/>
        <v>0</v>
      </c>
      <c r="H309" s="240">
        <f t="shared" si="104"/>
        <v>0</v>
      </c>
      <c r="I309" s="212">
        <f t="shared" si="104"/>
        <v>1000</v>
      </c>
      <c r="J309" s="263">
        <f t="shared" si="104"/>
        <v>0</v>
      </c>
      <c r="K309" s="240">
        <f t="shared" si="104"/>
        <v>0</v>
      </c>
      <c r="L309" s="212">
        <f t="shared" si="104"/>
        <v>1000</v>
      </c>
      <c r="M309" s="263">
        <f t="shared" si="104"/>
        <v>0</v>
      </c>
      <c r="N309" s="240">
        <f t="shared" si="104"/>
        <v>0</v>
      </c>
      <c r="O309" s="212">
        <f t="shared" si="104"/>
        <v>1000</v>
      </c>
      <c r="P309" s="106">
        <f t="shared" si="104"/>
        <v>0</v>
      </c>
      <c r="Q309" s="155">
        <f t="shared" si="104"/>
        <v>1000</v>
      </c>
    </row>
    <row r="310" spans="1:17" ht="12.75">
      <c r="A310" s="14" t="s">
        <v>26</v>
      </c>
      <c r="B310" s="57"/>
      <c r="C310" s="113"/>
      <c r="D310" s="103"/>
      <c r="E310" s="76"/>
      <c r="F310" s="191"/>
      <c r="G310" s="75"/>
      <c r="H310" s="237"/>
      <c r="I310" s="209"/>
      <c r="J310" s="259"/>
      <c r="K310" s="237"/>
      <c r="L310" s="209"/>
      <c r="M310" s="259"/>
      <c r="N310" s="237"/>
      <c r="O310" s="209"/>
      <c r="P310" s="292"/>
      <c r="Q310" s="167"/>
    </row>
    <row r="311" spans="1:17" ht="12.75" hidden="1">
      <c r="A311" s="16" t="s">
        <v>145</v>
      </c>
      <c r="B311" s="57"/>
      <c r="C311" s="112"/>
      <c r="D311" s="102"/>
      <c r="E311" s="73"/>
      <c r="F311" s="190">
        <f>C311+D311+E311</f>
        <v>0</v>
      </c>
      <c r="G311" s="74"/>
      <c r="H311" s="235"/>
      <c r="I311" s="208">
        <f>F311+G311+H311</f>
        <v>0</v>
      </c>
      <c r="J311" s="257"/>
      <c r="K311" s="235"/>
      <c r="L311" s="208">
        <f>I311+J311+K311</f>
        <v>0</v>
      </c>
      <c r="M311" s="257"/>
      <c r="N311" s="235"/>
      <c r="O311" s="208">
        <f>L311+M311+N311</f>
        <v>0</v>
      </c>
      <c r="P311" s="292"/>
      <c r="Q311" s="167">
        <f>O311+P311</f>
        <v>0</v>
      </c>
    </row>
    <row r="312" spans="1:17" ht="12.75">
      <c r="A312" s="19" t="s">
        <v>226</v>
      </c>
      <c r="B312" s="60"/>
      <c r="C312" s="181">
        <v>800</v>
      </c>
      <c r="D312" s="172">
        <f>200</f>
        <v>200</v>
      </c>
      <c r="E312" s="81"/>
      <c r="F312" s="195">
        <f>C312+D312+E312</f>
        <v>1000</v>
      </c>
      <c r="G312" s="226"/>
      <c r="H312" s="241"/>
      <c r="I312" s="213">
        <f>F312+G312+H312</f>
        <v>1000</v>
      </c>
      <c r="J312" s="264"/>
      <c r="K312" s="241"/>
      <c r="L312" s="213">
        <f>I312+J312+K312</f>
        <v>1000</v>
      </c>
      <c r="M312" s="264"/>
      <c r="N312" s="241"/>
      <c r="O312" s="213">
        <f>L312+M312+N312</f>
        <v>1000</v>
      </c>
      <c r="P312" s="292"/>
      <c r="Q312" s="167">
        <f>O312+P312</f>
        <v>1000</v>
      </c>
    </row>
    <row r="313" spans="1:17" ht="12.75" hidden="1">
      <c r="A313" s="16" t="s">
        <v>227</v>
      </c>
      <c r="B313" s="57"/>
      <c r="C313" s="112"/>
      <c r="D313" s="102"/>
      <c r="E313" s="73"/>
      <c r="F313" s="190">
        <f>C313+D313+E313</f>
        <v>0</v>
      </c>
      <c r="G313" s="74"/>
      <c r="H313" s="235"/>
      <c r="I313" s="208">
        <f>F313+G313+H313</f>
        <v>0</v>
      </c>
      <c r="J313" s="257"/>
      <c r="K313" s="235"/>
      <c r="L313" s="208">
        <f>I313+J313+K313</f>
        <v>0</v>
      </c>
      <c r="M313" s="257"/>
      <c r="N313" s="235"/>
      <c r="O313" s="208">
        <f>L313+M313+N313</f>
        <v>0</v>
      </c>
      <c r="P313" s="292"/>
      <c r="Q313" s="167">
        <f>O313+P313</f>
        <v>0</v>
      </c>
    </row>
    <row r="314" spans="1:17" ht="12.75" hidden="1">
      <c r="A314" s="16" t="s">
        <v>51</v>
      </c>
      <c r="B314" s="57"/>
      <c r="C314" s="112"/>
      <c r="D314" s="102"/>
      <c r="E314" s="73"/>
      <c r="F314" s="190">
        <f>C314+D314+E314</f>
        <v>0</v>
      </c>
      <c r="G314" s="74"/>
      <c r="H314" s="235"/>
      <c r="I314" s="208">
        <f>F314+G314+H314</f>
        <v>0</v>
      </c>
      <c r="J314" s="257"/>
      <c r="K314" s="235"/>
      <c r="L314" s="208">
        <f>I314+J314+K314</f>
        <v>0</v>
      </c>
      <c r="M314" s="257"/>
      <c r="N314" s="235"/>
      <c r="O314" s="208">
        <f>L314+M314+N314</f>
        <v>0</v>
      </c>
      <c r="P314" s="292"/>
      <c r="Q314" s="167">
        <f>O314+P314</f>
        <v>0</v>
      </c>
    </row>
    <row r="315" spans="1:17" ht="12.75" hidden="1">
      <c r="A315" s="19" t="s">
        <v>53</v>
      </c>
      <c r="B315" s="60"/>
      <c r="C315" s="181"/>
      <c r="D315" s="172"/>
      <c r="E315" s="81"/>
      <c r="F315" s="195">
        <f>C315+D315+E315</f>
        <v>0</v>
      </c>
      <c r="G315" s="226"/>
      <c r="H315" s="241"/>
      <c r="I315" s="213">
        <f>F315+G315+H315</f>
        <v>0</v>
      </c>
      <c r="J315" s="264"/>
      <c r="K315" s="241"/>
      <c r="L315" s="213">
        <f>I315+J315+K315</f>
        <v>0</v>
      </c>
      <c r="M315" s="264"/>
      <c r="N315" s="241"/>
      <c r="O315" s="213">
        <f>L315+M315+N315</f>
        <v>0</v>
      </c>
      <c r="P315" s="292"/>
      <c r="Q315" s="167">
        <f>O315+P315</f>
        <v>0</v>
      </c>
    </row>
    <row r="316" spans="1:17" ht="12.75">
      <c r="A316" s="13" t="s">
        <v>230</v>
      </c>
      <c r="B316" s="61"/>
      <c r="C316" s="111">
        <f aca="true" t="shared" si="105" ref="C316:Q316">C317+C333</f>
        <v>491947.48</v>
      </c>
      <c r="D316" s="92">
        <f t="shared" si="105"/>
        <v>9355.5</v>
      </c>
      <c r="E316" s="72">
        <f t="shared" si="105"/>
        <v>0</v>
      </c>
      <c r="F316" s="189">
        <f t="shared" si="105"/>
        <v>501302.98</v>
      </c>
      <c r="G316" s="71">
        <f t="shared" si="105"/>
        <v>1996.97</v>
      </c>
      <c r="H316" s="234">
        <f t="shared" si="105"/>
        <v>0</v>
      </c>
      <c r="I316" s="207">
        <f t="shared" si="105"/>
        <v>503299.94999999995</v>
      </c>
      <c r="J316" s="256">
        <f t="shared" si="105"/>
        <v>0</v>
      </c>
      <c r="K316" s="234">
        <f t="shared" si="105"/>
        <v>0</v>
      </c>
      <c r="L316" s="207">
        <f t="shared" si="105"/>
        <v>503299.94999999995</v>
      </c>
      <c r="M316" s="256">
        <f t="shared" si="105"/>
        <v>10000</v>
      </c>
      <c r="N316" s="234">
        <f t="shared" si="105"/>
        <v>0</v>
      </c>
      <c r="O316" s="207">
        <f t="shared" si="105"/>
        <v>513299.94999999995</v>
      </c>
      <c r="P316" s="92">
        <f t="shared" si="105"/>
        <v>0</v>
      </c>
      <c r="Q316" s="150">
        <f t="shared" si="105"/>
        <v>513299.94999999995</v>
      </c>
    </row>
    <row r="317" spans="1:17" ht="12.75">
      <c r="A317" s="22" t="s">
        <v>48</v>
      </c>
      <c r="B317" s="61"/>
      <c r="C317" s="115">
        <f aca="true" t="shared" si="106" ref="C317:Q317">SUM(C319:C332)</f>
        <v>491947.48</v>
      </c>
      <c r="D317" s="105">
        <f t="shared" si="106"/>
        <v>9355.5</v>
      </c>
      <c r="E317" s="80">
        <f t="shared" si="106"/>
        <v>0</v>
      </c>
      <c r="F317" s="193">
        <f t="shared" si="106"/>
        <v>501302.98</v>
      </c>
      <c r="G317" s="79">
        <f t="shared" si="106"/>
        <v>1996.97</v>
      </c>
      <c r="H317" s="239">
        <f t="shared" si="106"/>
        <v>0</v>
      </c>
      <c r="I317" s="211">
        <f t="shared" si="106"/>
        <v>503299.94999999995</v>
      </c>
      <c r="J317" s="262">
        <f t="shared" si="106"/>
        <v>0</v>
      </c>
      <c r="K317" s="239">
        <f t="shared" si="106"/>
        <v>0</v>
      </c>
      <c r="L317" s="211">
        <f t="shared" si="106"/>
        <v>503299.94999999995</v>
      </c>
      <c r="M317" s="262">
        <f t="shared" si="106"/>
        <v>10000</v>
      </c>
      <c r="N317" s="239">
        <f t="shared" si="106"/>
        <v>0</v>
      </c>
      <c r="O317" s="211">
        <f t="shared" si="106"/>
        <v>513299.94999999995</v>
      </c>
      <c r="P317" s="105">
        <f t="shared" si="106"/>
        <v>0</v>
      </c>
      <c r="Q317" s="154">
        <f t="shared" si="106"/>
        <v>513299.94999999995</v>
      </c>
    </row>
    <row r="318" spans="1:17" ht="12.75">
      <c r="A318" s="18" t="s">
        <v>26</v>
      </c>
      <c r="B318" s="57"/>
      <c r="C318" s="112"/>
      <c r="D318" s="102"/>
      <c r="E318" s="73"/>
      <c r="F318" s="190"/>
      <c r="G318" s="74"/>
      <c r="H318" s="235"/>
      <c r="I318" s="208"/>
      <c r="J318" s="257"/>
      <c r="K318" s="235"/>
      <c r="L318" s="208"/>
      <c r="M318" s="257"/>
      <c r="N318" s="235"/>
      <c r="O318" s="208"/>
      <c r="P318" s="292"/>
      <c r="Q318" s="167"/>
    </row>
    <row r="319" spans="1:17" ht="12.75">
      <c r="A319" s="58" t="s">
        <v>128</v>
      </c>
      <c r="B319" s="57"/>
      <c r="C319" s="112">
        <v>286095.26</v>
      </c>
      <c r="D319" s="142">
        <f>1339.5</f>
        <v>1339.5</v>
      </c>
      <c r="E319" s="73"/>
      <c r="F319" s="190">
        <f aca="true" t="shared" si="107" ref="F319:F332">C319+D319+E319</f>
        <v>287434.76</v>
      </c>
      <c r="G319" s="74"/>
      <c r="H319" s="235"/>
      <c r="I319" s="208">
        <f>F319+G319+H319</f>
        <v>287434.76</v>
      </c>
      <c r="J319" s="257"/>
      <c r="K319" s="235"/>
      <c r="L319" s="208">
        <f>I319+J319+K319</f>
        <v>287434.76</v>
      </c>
      <c r="M319" s="257">
        <f>7283.11</f>
        <v>7283.11</v>
      </c>
      <c r="N319" s="235"/>
      <c r="O319" s="208">
        <f>L319+M319+N319</f>
        <v>294717.87</v>
      </c>
      <c r="P319" s="292"/>
      <c r="Q319" s="167">
        <f aca="true" t="shared" si="108" ref="Q319:Q331">O319+P319</f>
        <v>294717.87</v>
      </c>
    </row>
    <row r="320" spans="1:17" ht="12.75">
      <c r="A320" s="16" t="s">
        <v>49</v>
      </c>
      <c r="B320" s="57"/>
      <c r="C320" s="112">
        <v>96478.54</v>
      </c>
      <c r="D320" s="102"/>
      <c r="E320" s="73"/>
      <c r="F320" s="190">
        <f t="shared" si="107"/>
        <v>96478.54</v>
      </c>
      <c r="G320" s="74"/>
      <c r="H320" s="235"/>
      <c r="I320" s="208">
        <f aca="true" t="shared" si="109" ref="I320:I329">F320+G320+H320</f>
        <v>96478.54</v>
      </c>
      <c r="J320" s="257"/>
      <c r="K320" s="235"/>
      <c r="L320" s="208">
        <f aca="true" t="shared" si="110" ref="L320:L332">I320+J320+K320</f>
        <v>96478.54</v>
      </c>
      <c r="M320" s="257">
        <f>2462</f>
        <v>2462</v>
      </c>
      <c r="N320" s="235"/>
      <c r="O320" s="208">
        <f aca="true" t="shared" si="111" ref="O320:O332">L320+M320+N320</f>
        <v>98940.54</v>
      </c>
      <c r="P320" s="292"/>
      <c r="Q320" s="167">
        <f t="shared" si="108"/>
        <v>98940.54</v>
      </c>
    </row>
    <row r="321" spans="1:17" ht="12.75">
      <c r="A321" s="16" t="s">
        <v>225</v>
      </c>
      <c r="B321" s="57"/>
      <c r="C321" s="112">
        <v>196</v>
      </c>
      <c r="D321" s="102"/>
      <c r="E321" s="73"/>
      <c r="F321" s="190">
        <f t="shared" si="107"/>
        <v>196</v>
      </c>
      <c r="G321" s="74"/>
      <c r="H321" s="235"/>
      <c r="I321" s="208">
        <f t="shared" si="109"/>
        <v>196</v>
      </c>
      <c r="J321" s="257"/>
      <c r="K321" s="235"/>
      <c r="L321" s="208">
        <f t="shared" si="110"/>
        <v>196</v>
      </c>
      <c r="M321" s="257"/>
      <c r="N321" s="235"/>
      <c r="O321" s="208">
        <f t="shared" si="111"/>
        <v>196</v>
      </c>
      <c r="P321" s="292"/>
      <c r="Q321" s="167">
        <f t="shared" si="108"/>
        <v>196</v>
      </c>
    </row>
    <row r="322" spans="1:17" ht="12.75">
      <c r="A322" s="16" t="s">
        <v>50</v>
      </c>
      <c r="B322" s="57"/>
      <c r="C322" s="112">
        <v>44294.28</v>
      </c>
      <c r="D322" s="171">
        <f>3500</f>
        <v>3500</v>
      </c>
      <c r="E322" s="73"/>
      <c r="F322" s="190">
        <f t="shared" si="107"/>
        <v>47794.28</v>
      </c>
      <c r="G322" s="74">
        <f>505.74</f>
        <v>505.74</v>
      </c>
      <c r="H322" s="235"/>
      <c r="I322" s="208">
        <f t="shared" si="109"/>
        <v>48300.02</v>
      </c>
      <c r="J322" s="257"/>
      <c r="K322" s="235"/>
      <c r="L322" s="208">
        <f t="shared" si="110"/>
        <v>48300.02</v>
      </c>
      <c r="M322" s="257">
        <f>254.89</f>
        <v>254.89</v>
      </c>
      <c r="N322" s="235"/>
      <c r="O322" s="208">
        <f t="shared" si="111"/>
        <v>48554.909999999996</v>
      </c>
      <c r="P322" s="292"/>
      <c r="Q322" s="167">
        <f t="shared" si="108"/>
        <v>48554.909999999996</v>
      </c>
    </row>
    <row r="323" spans="1:17" ht="12.75">
      <c r="A323" s="16" t="s">
        <v>54</v>
      </c>
      <c r="B323" s="57">
        <v>1115</v>
      </c>
      <c r="C323" s="112">
        <v>343</v>
      </c>
      <c r="D323" s="102">
        <f>201</f>
        <v>201</v>
      </c>
      <c r="E323" s="73"/>
      <c r="F323" s="190">
        <f t="shared" si="107"/>
        <v>544</v>
      </c>
      <c r="G323" s="74"/>
      <c r="H323" s="235"/>
      <c r="I323" s="208">
        <f t="shared" si="109"/>
        <v>544</v>
      </c>
      <c r="J323" s="257"/>
      <c r="K323" s="235"/>
      <c r="L323" s="208">
        <f t="shared" si="110"/>
        <v>544</v>
      </c>
      <c r="M323" s="257"/>
      <c r="N323" s="235"/>
      <c r="O323" s="208">
        <f t="shared" si="111"/>
        <v>544</v>
      </c>
      <c r="P323" s="292"/>
      <c r="Q323" s="167">
        <f t="shared" si="108"/>
        <v>544</v>
      </c>
    </row>
    <row r="324" spans="1:17" ht="12.75">
      <c r="A324" s="16" t="s">
        <v>55</v>
      </c>
      <c r="B324" s="57">
        <v>51</v>
      </c>
      <c r="C324" s="112">
        <v>64540.4</v>
      </c>
      <c r="D324" s="102">
        <f>3500</f>
        <v>3500</v>
      </c>
      <c r="E324" s="73"/>
      <c r="F324" s="190">
        <f t="shared" si="107"/>
        <v>68040.4</v>
      </c>
      <c r="G324" s="74"/>
      <c r="H324" s="235"/>
      <c r="I324" s="208">
        <f t="shared" si="109"/>
        <v>68040.4</v>
      </c>
      <c r="J324" s="257"/>
      <c r="K324" s="235"/>
      <c r="L324" s="208">
        <f t="shared" si="110"/>
        <v>68040.4</v>
      </c>
      <c r="M324" s="257"/>
      <c r="N324" s="235"/>
      <c r="O324" s="208">
        <f t="shared" si="111"/>
        <v>68040.4</v>
      </c>
      <c r="P324" s="292"/>
      <c r="Q324" s="167">
        <f t="shared" si="108"/>
        <v>68040.4</v>
      </c>
    </row>
    <row r="325" spans="1:17" ht="12.75" hidden="1">
      <c r="A325" s="16" t="s">
        <v>71</v>
      </c>
      <c r="B325" s="57"/>
      <c r="C325" s="112"/>
      <c r="D325" s="102"/>
      <c r="E325" s="73"/>
      <c r="F325" s="190">
        <f t="shared" si="107"/>
        <v>0</v>
      </c>
      <c r="G325" s="74"/>
      <c r="H325" s="235"/>
      <c r="I325" s="208">
        <f t="shared" si="109"/>
        <v>0</v>
      </c>
      <c r="J325" s="257"/>
      <c r="K325" s="235"/>
      <c r="L325" s="208">
        <f t="shared" si="110"/>
        <v>0</v>
      </c>
      <c r="M325" s="257"/>
      <c r="N325" s="235"/>
      <c r="O325" s="208">
        <f t="shared" si="111"/>
        <v>0</v>
      </c>
      <c r="P325" s="292"/>
      <c r="Q325" s="167">
        <f t="shared" si="108"/>
        <v>0</v>
      </c>
    </row>
    <row r="326" spans="1:17" ht="12.75">
      <c r="A326" s="16" t="s">
        <v>343</v>
      </c>
      <c r="B326" s="57">
        <v>13015</v>
      </c>
      <c r="C326" s="112"/>
      <c r="D326" s="102"/>
      <c r="E326" s="73"/>
      <c r="F326" s="190">
        <f t="shared" si="107"/>
        <v>0</v>
      </c>
      <c r="G326" s="74">
        <f>976.23</f>
        <v>976.23</v>
      </c>
      <c r="H326" s="235"/>
      <c r="I326" s="208">
        <f t="shared" si="109"/>
        <v>976.23</v>
      </c>
      <c r="J326" s="257"/>
      <c r="K326" s="235"/>
      <c r="L326" s="208">
        <f t="shared" si="110"/>
        <v>976.23</v>
      </c>
      <c r="M326" s="257"/>
      <c r="N326" s="235"/>
      <c r="O326" s="208">
        <f t="shared" si="111"/>
        <v>976.23</v>
      </c>
      <c r="P326" s="292"/>
      <c r="Q326" s="167">
        <f t="shared" si="108"/>
        <v>976.23</v>
      </c>
    </row>
    <row r="327" spans="1:17" ht="12.75" hidden="1">
      <c r="A327" s="16" t="s">
        <v>56</v>
      </c>
      <c r="B327" s="57"/>
      <c r="C327" s="112"/>
      <c r="D327" s="102"/>
      <c r="E327" s="73"/>
      <c r="F327" s="190">
        <f t="shared" si="107"/>
        <v>0</v>
      </c>
      <c r="G327" s="74"/>
      <c r="H327" s="235"/>
      <c r="I327" s="208">
        <f t="shared" si="109"/>
        <v>0</v>
      </c>
      <c r="J327" s="257"/>
      <c r="K327" s="235"/>
      <c r="L327" s="208">
        <f t="shared" si="110"/>
        <v>0</v>
      </c>
      <c r="M327" s="257"/>
      <c r="N327" s="235"/>
      <c r="O327" s="208">
        <f t="shared" si="111"/>
        <v>0</v>
      </c>
      <c r="P327" s="292"/>
      <c r="Q327" s="167">
        <f t="shared" si="108"/>
        <v>0</v>
      </c>
    </row>
    <row r="328" spans="1:17" ht="12.75">
      <c r="A328" s="16" t="s">
        <v>233</v>
      </c>
      <c r="B328" s="57">
        <v>98008</v>
      </c>
      <c r="C328" s="112"/>
      <c r="D328" s="102">
        <f>800</f>
        <v>800</v>
      </c>
      <c r="E328" s="73"/>
      <c r="F328" s="190">
        <f t="shared" si="107"/>
        <v>800</v>
      </c>
      <c r="G328" s="74"/>
      <c r="H328" s="235"/>
      <c r="I328" s="208">
        <f t="shared" si="109"/>
        <v>800</v>
      </c>
      <c r="J328" s="257"/>
      <c r="K328" s="235"/>
      <c r="L328" s="208">
        <f t="shared" si="110"/>
        <v>800</v>
      </c>
      <c r="M328" s="257"/>
      <c r="N328" s="235"/>
      <c r="O328" s="208">
        <f t="shared" si="111"/>
        <v>800</v>
      </c>
      <c r="P328" s="292"/>
      <c r="Q328" s="167">
        <f t="shared" si="108"/>
        <v>800</v>
      </c>
    </row>
    <row r="329" spans="1:17" ht="12.75" hidden="1">
      <c r="A329" s="16" t="s">
        <v>234</v>
      </c>
      <c r="B329" s="57">
        <v>98071</v>
      </c>
      <c r="C329" s="112"/>
      <c r="D329" s="102"/>
      <c r="E329" s="73"/>
      <c r="F329" s="190">
        <f t="shared" si="107"/>
        <v>0</v>
      </c>
      <c r="G329" s="74"/>
      <c r="H329" s="235"/>
      <c r="I329" s="208">
        <f t="shared" si="109"/>
        <v>0</v>
      </c>
      <c r="J329" s="257"/>
      <c r="K329" s="235"/>
      <c r="L329" s="208">
        <f t="shared" si="110"/>
        <v>0</v>
      </c>
      <c r="M329" s="257"/>
      <c r="N329" s="235"/>
      <c r="O329" s="208">
        <f t="shared" si="111"/>
        <v>0</v>
      </c>
      <c r="P329" s="292"/>
      <c r="Q329" s="167">
        <f t="shared" si="108"/>
        <v>0</v>
      </c>
    </row>
    <row r="330" spans="1:17" ht="12.75">
      <c r="A330" s="16" t="s">
        <v>57</v>
      </c>
      <c r="B330" s="57">
        <v>98074</v>
      </c>
      <c r="C330" s="112"/>
      <c r="D330" s="102">
        <f>15</f>
        <v>15</v>
      </c>
      <c r="E330" s="73"/>
      <c r="F330" s="190">
        <f t="shared" si="107"/>
        <v>15</v>
      </c>
      <c r="G330" s="74">
        <f>15</f>
        <v>15</v>
      </c>
      <c r="H330" s="235"/>
      <c r="I330" s="208">
        <f>F330+G330+H330</f>
        <v>30</v>
      </c>
      <c r="J330" s="257"/>
      <c r="K330" s="235"/>
      <c r="L330" s="208">
        <f t="shared" si="110"/>
        <v>30</v>
      </c>
      <c r="M330" s="257"/>
      <c r="N330" s="235"/>
      <c r="O330" s="208">
        <f t="shared" si="111"/>
        <v>30</v>
      </c>
      <c r="P330" s="292"/>
      <c r="Q330" s="167">
        <f t="shared" si="108"/>
        <v>30</v>
      </c>
    </row>
    <row r="331" spans="1:17" ht="12.75" hidden="1">
      <c r="A331" s="16" t="s">
        <v>58</v>
      </c>
      <c r="B331" s="57"/>
      <c r="C331" s="112"/>
      <c r="D331" s="102"/>
      <c r="E331" s="73"/>
      <c r="F331" s="190">
        <f t="shared" si="107"/>
        <v>0</v>
      </c>
      <c r="G331" s="74"/>
      <c r="H331" s="235"/>
      <c r="I331" s="208">
        <f>F331+G331+H331</f>
        <v>0</v>
      </c>
      <c r="J331" s="257"/>
      <c r="K331" s="235"/>
      <c r="L331" s="208">
        <f t="shared" si="110"/>
        <v>0</v>
      </c>
      <c r="M331" s="257"/>
      <c r="N331" s="235"/>
      <c r="O331" s="208">
        <f t="shared" si="111"/>
        <v>0</v>
      </c>
      <c r="P331" s="292"/>
      <c r="Q331" s="167">
        <f t="shared" si="108"/>
        <v>0</v>
      </c>
    </row>
    <row r="332" spans="1:17" ht="12.75">
      <c r="A332" s="19" t="s">
        <v>59</v>
      </c>
      <c r="B332" s="60">
        <v>4001</v>
      </c>
      <c r="C332" s="181"/>
      <c r="D332" s="172"/>
      <c r="E332" s="81"/>
      <c r="F332" s="195">
        <f t="shared" si="107"/>
        <v>0</v>
      </c>
      <c r="G332" s="226">
        <f>500</f>
        <v>500</v>
      </c>
      <c r="H332" s="241"/>
      <c r="I332" s="213">
        <f>F332+G332+H332</f>
        <v>500</v>
      </c>
      <c r="J332" s="264"/>
      <c r="K332" s="241"/>
      <c r="L332" s="213">
        <f t="shared" si="110"/>
        <v>500</v>
      </c>
      <c r="M332" s="264"/>
      <c r="N332" s="241"/>
      <c r="O332" s="213">
        <f t="shared" si="111"/>
        <v>500</v>
      </c>
      <c r="P332" s="292"/>
      <c r="Q332" s="167">
        <f>O332+P332</f>
        <v>500</v>
      </c>
    </row>
    <row r="333" spans="1:17" ht="12.75" hidden="1">
      <c r="A333" s="22" t="s">
        <v>52</v>
      </c>
      <c r="B333" s="61"/>
      <c r="C333" s="115">
        <f>C336+C335</f>
        <v>0</v>
      </c>
      <c r="D333" s="105">
        <f aca="true" t="shared" si="112" ref="D333:Q333">D336+D335</f>
        <v>0</v>
      </c>
      <c r="E333" s="80">
        <f t="shared" si="112"/>
        <v>0</v>
      </c>
      <c r="F333" s="193">
        <f t="shared" si="112"/>
        <v>0</v>
      </c>
      <c r="G333" s="79">
        <f t="shared" si="112"/>
        <v>0</v>
      </c>
      <c r="H333" s="239">
        <f t="shared" si="112"/>
        <v>0</v>
      </c>
      <c r="I333" s="211">
        <f t="shared" si="112"/>
        <v>0</v>
      </c>
      <c r="J333" s="262">
        <f t="shared" si="112"/>
        <v>0</v>
      </c>
      <c r="K333" s="239">
        <f t="shared" si="112"/>
        <v>0</v>
      </c>
      <c r="L333" s="211">
        <f t="shared" si="112"/>
        <v>0</v>
      </c>
      <c r="M333" s="262">
        <f t="shared" si="112"/>
        <v>0</v>
      </c>
      <c r="N333" s="239">
        <f t="shared" si="112"/>
        <v>0</v>
      </c>
      <c r="O333" s="211">
        <f t="shared" si="112"/>
        <v>0</v>
      </c>
      <c r="P333" s="105">
        <f t="shared" si="112"/>
        <v>0</v>
      </c>
      <c r="Q333" s="154">
        <f t="shared" si="112"/>
        <v>0</v>
      </c>
    </row>
    <row r="334" spans="1:17" ht="12.75" hidden="1">
      <c r="A334" s="18" t="s">
        <v>26</v>
      </c>
      <c r="B334" s="57"/>
      <c r="C334" s="112"/>
      <c r="D334" s="102"/>
      <c r="E334" s="73"/>
      <c r="F334" s="189"/>
      <c r="G334" s="74"/>
      <c r="H334" s="235"/>
      <c r="I334" s="207"/>
      <c r="J334" s="257"/>
      <c r="K334" s="235"/>
      <c r="L334" s="207"/>
      <c r="M334" s="257"/>
      <c r="N334" s="235"/>
      <c r="O334" s="207"/>
      <c r="P334" s="292"/>
      <c r="Q334" s="167"/>
    </row>
    <row r="335" spans="1:17" ht="12.75" hidden="1">
      <c r="A335" s="15" t="s">
        <v>53</v>
      </c>
      <c r="B335" s="57"/>
      <c r="C335" s="112"/>
      <c r="D335" s="102"/>
      <c r="E335" s="73"/>
      <c r="F335" s="190">
        <f>C335+D335+E335</f>
        <v>0</v>
      </c>
      <c r="G335" s="74"/>
      <c r="H335" s="235"/>
      <c r="I335" s="208">
        <f>F335+G335+H335</f>
        <v>0</v>
      </c>
      <c r="J335" s="257"/>
      <c r="K335" s="235"/>
      <c r="L335" s="208">
        <f>I335+J335+K335</f>
        <v>0</v>
      </c>
      <c r="M335" s="257"/>
      <c r="N335" s="235"/>
      <c r="O335" s="208">
        <f>L335+M335+N335</f>
        <v>0</v>
      </c>
      <c r="P335" s="292"/>
      <c r="Q335" s="167">
        <f>O335+P335</f>
        <v>0</v>
      </c>
    </row>
    <row r="336" spans="1:17" ht="12.75" hidden="1">
      <c r="A336" s="19" t="s">
        <v>72</v>
      </c>
      <c r="B336" s="60"/>
      <c r="C336" s="181"/>
      <c r="D336" s="172"/>
      <c r="E336" s="81"/>
      <c r="F336" s="195">
        <f>C336+D336+E336</f>
        <v>0</v>
      </c>
      <c r="G336" s="226"/>
      <c r="H336" s="241"/>
      <c r="I336" s="213">
        <f>F336+G336+H336</f>
        <v>0</v>
      </c>
      <c r="J336" s="264"/>
      <c r="K336" s="241"/>
      <c r="L336" s="213">
        <f>I336+J336+K336</f>
        <v>0</v>
      </c>
      <c r="M336" s="264"/>
      <c r="N336" s="241"/>
      <c r="O336" s="213">
        <f>L336+M336+N336</f>
        <v>0</v>
      </c>
      <c r="P336" s="295"/>
      <c r="Q336" s="168">
        <f>O336+P336</f>
        <v>0</v>
      </c>
    </row>
    <row r="337" spans="1:17" ht="12.75">
      <c r="A337" s="27" t="s">
        <v>155</v>
      </c>
      <c r="B337" s="62"/>
      <c r="C337" s="111">
        <f aca="true" t="shared" si="113" ref="C337:Q337">C338+C368</f>
        <v>552007.16</v>
      </c>
      <c r="D337" s="92">
        <f t="shared" si="113"/>
        <v>1590894.3599999999</v>
      </c>
      <c r="E337" s="72">
        <f t="shared" si="113"/>
        <v>0</v>
      </c>
      <c r="F337" s="189">
        <f t="shared" si="113"/>
        <v>2142901.52</v>
      </c>
      <c r="G337" s="71">
        <f t="shared" si="113"/>
        <v>551502.7600000001</v>
      </c>
      <c r="H337" s="234">
        <f t="shared" si="113"/>
        <v>4610.66</v>
      </c>
      <c r="I337" s="207">
        <f t="shared" si="113"/>
        <v>2699014.94</v>
      </c>
      <c r="J337" s="256">
        <f t="shared" si="113"/>
        <v>170145.96</v>
      </c>
      <c r="K337" s="234">
        <f t="shared" si="113"/>
        <v>13641.18</v>
      </c>
      <c r="L337" s="207">
        <f t="shared" si="113"/>
        <v>2882802.08</v>
      </c>
      <c r="M337" s="256">
        <f t="shared" si="113"/>
        <v>334726.1</v>
      </c>
      <c r="N337" s="234">
        <f t="shared" si="113"/>
        <v>0</v>
      </c>
      <c r="O337" s="207">
        <f t="shared" si="113"/>
        <v>3217528.1799999997</v>
      </c>
      <c r="P337" s="92">
        <f t="shared" si="113"/>
        <v>0</v>
      </c>
      <c r="Q337" s="150">
        <f t="shared" si="113"/>
        <v>2913745.3</v>
      </c>
    </row>
    <row r="338" spans="1:17" ht="12.75">
      <c r="A338" s="22" t="s">
        <v>48</v>
      </c>
      <c r="B338" s="61"/>
      <c r="C338" s="115">
        <f aca="true" t="shared" si="114" ref="C338:Q338">SUM(C340:C356)</f>
        <v>95289.24</v>
      </c>
      <c r="D338" s="105">
        <f t="shared" si="114"/>
        <v>50573.979999999996</v>
      </c>
      <c r="E338" s="80">
        <f t="shared" si="114"/>
        <v>0</v>
      </c>
      <c r="F338" s="193">
        <f t="shared" si="114"/>
        <v>145863.22</v>
      </c>
      <c r="G338" s="79">
        <f t="shared" si="114"/>
        <v>8903.93</v>
      </c>
      <c r="H338" s="239">
        <f t="shared" si="114"/>
        <v>21.78</v>
      </c>
      <c r="I338" s="211">
        <f t="shared" si="114"/>
        <v>154788.93</v>
      </c>
      <c r="J338" s="262">
        <f t="shared" si="114"/>
        <v>27937.989999999998</v>
      </c>
      <c r="K338" s="239">
        <f t="shared" si="114"/>
        <v>21.78</v>
      </c>
      <c r="L338" s="211">
        <f t="shared" si="114"/>
        <v>182748.7</v>
      </c>
      <c r="M338" s="262">
        <f t="shared" si="114"/>
        <v>98729.89</v>
      </c>
      <c r="N338" s="239">
        <f t="shared" si="114"/>
        <v>0</v>
      </c>
      <c r="O338" s="211">
        <f t="shared" si="114"/>
        <v>281478.58999999997</v>
      </c>
      <c r="P338" s="105">
        <f t="shared" si="114"/>
        <v>0</v>
      </c>
      <c r="Q338" s="154">
        <f t="shared" si="114"/>
        <v>179940.01</v>
      </c>
    </row>
    <row r="339" spans="1:17" ht="12.75">
      <c r="A339" s="18" t="s">
        <v>26</v>
      </c>
      <c r="B339" s="57"/>
      <c r="C339" s="115"/>
      <c r="D339" s="173"/>
      <c r="E339" s="90"/>
      <c r="F339" s="193"/>
      <c r="G339" s="74"/>
      <c r="H339" s="235"/>
      <c r="I339" s="208"/>
      <c r="J339" s="257"/>
      <c r="K339" s="235"/>
      <c r="L339" s="208"/>
      <c r="M339" s="260"/>
      <c r="N339" s="235"/>
      <c r="O339" s="208"/>
      <c r="P339" s="292"/>
      <c r="Q339" s="167"/>
    </row>
    <row r="340" spans="1:17" ht="12.75">
      <c r="A340" s="20" t="s">
        <v>50</v>
      </c>
      <c r="B340" s="57"/>
      <c r="C340" s="112">
        <v>10512.95</v>
      </c>
      <c r="D340" s="142">
        <f>3890.43+6647.9+1000</f>
        <v>11538.33</v>
      </c>
      <c r="E340" s="84"/>
      <c r="F340" s="190">
        <f aca="true" t="shared" si="115" ref="F340:F367">C340+D340+E340</f>
        <v>22051.28</v>
      </c>
      <c r="G340" s="74">
        <f>302.5+980</f>
        <v>1282.5</v>
      </c>
      <c r="H340" s="235"/>
      <c r="I340" s="208">
        <f aca="true" t="shared" si="116" ref="I340:I367">F340+G340+H340</f>
        <v>23333.78</v>
      </c>
      <c r="J340" s="257">
        <f>500</f>
        <v>500</v>
      </c>
      <c r="K340" s="235"/>
      <c r="L340" s="208">
        <f aca="true" t="shared" si="117" ref="L340:L355">I340+J340+K340</f>
        <v>23833.78</v>
      </c>
      <c r="M340" s="260">
        <f>-302.5-96</f>
        <v>-398.5</v>
      </c>
      <c r="N340" s="235"/>
      <c r="O340" s="208">
        <f aca="true" t="shared" si="118" ref="O340:O345">L340+M340+N340</f>
        <v>23435.28</v>
      </c>
      <c r="P340" s="292"/>
      <c r="Q340" s="167">
        <f>O340+P340</f>
        <v>23435.28</v>
      </c>
    </row>
    <row r="341" spans="1:17" ht="12.75" hidden="1">
      <c r="A341" s="20" t="s">
        <v>310</v>
      </c>
      <c r="B341" s="57"/>
      <c r="C341" s="112"/>
      <c r="D341" s="142">
        <f>1246.76-1246.76</f>
        <v>0</v>
      </c>
      <c r="E341" s="84"/>
      <c r="F341" s="190">
        <f t="shared" si="115"/>
        <v>0</v>
      </c>
      <c r="G341" s="74"/>
      <c r="H341" s="235"/>
      <c r="I341" s="208">
        <f t="shared" si="116"/>
        <v>0</v>
      </c>
      <c r="J341" s="257"/>
      <c r="K341" s="235"/>
      <c r="L341" s="208"/>
      <c r="M341" s="260"/>
      <c r="N341" s="235"/>
      <c r="O341" s="208">
        <f t="shared" si="118"/>
        <v>0</v>
      </c>
      <c r="P341" s="292"/>
      <c r="Q341" s="167"/>
    </row>
    <row r="342" spans="1:17" ht="12.75">
      <c r="A342" s="20" t="s">
        <v>299</v>
      </c>
      <c r="B342" s="57">
        <v>1080</v>
      </c>
      <c r="C342" s="112">
        <v>1000</v>
      </c>
      <c r="D342" s="142"/>
      <c r="E342" s="84"/>
      <c r="F342" s="190">
        <f t="shared" si="115"/>
        <v>1000</v>
      </c>
      <c r="G342" s="74"/>
      <c r="H342" s="235"/>
      <c r="I342" s="208">
        <f t="shared" si="116"/>
        <v>1000</v>
      </c>
      <c r="J342" s="257"/>
      <c r="K342" s="235"/>
      <c r="L342" s="208">
        <f t="shared" si="117"/>
        <v>1000</v>
      </c>
      <c r="M342" s="260"/>
      <c r="N342" s="235"/>
      <c r="O342" s="208">
        <f t="shared" si="118"/>
        <v>1000</v>
      </c>
      <c r="P342" s="292"/>
      <c r="Q342" s="167">
        <f aca="true" t="shared" si="119" ref="Q342:Q367">O342+P342</f>
        <v>1000</v>
      </c>
    </row>
    <row r="343" spans="1:17" ht="12.75">
      <c r="A343" s="20" t="s">
        <v>302</v>
      </c>
      <c r="B343" s="57"/>
      <c r="C343" s="112"/>
      <c r="D343" s="142">
        <f>1246.76</f>
        <v>1246.76</v>
      </c>
      <c r="E343" s="84"/>
      <c r="F343" s="190">
        <f t="shared" si="115"/>
        <v>1246.76</v>
      </c>
      <c r="G343" s="74"/>
      <c r="H343" s="235"/>
      <c r="I343" s="208">
        <f t="shared" si="116"/>
        <v>1246.76</v>
      </c>
      <c r="J343" s="257"/>
      <c r="K343" s="235"/>
      <c r="L343" s="208">
        <f t="shared" si="117"/>
        <v>1246.76</v>
      </c>
      <c r="M343" s="260"/>
      <c r="N343" s="235"/>
      <c r="O343" s="208">
        <f t="shared" si="118"/>
        <v>1246.76</v>
      </c>
      <c r="P343" s="292"/>
      <c r="Q343" s="167"/>
    </row>
    <row r="344" spans="1:17" ht="12.75">
      <c r="A344" s="20" t="s">
        <v>161</v>
      </c>
      <c r="B344" s="109">
        <v>1081.1202</v>
      </c>
      <c r="C344" s="112"/>
      <c r="D344" s="142">
        <f>229.01</f>
        <v>229.01</v>
      </c>
      <c r="E344" s="84"/>
      <c r="F344" s="190">
        <f t="shared" si="115"/>
        <v>229.01</v>
      </c>
      <c r="G344" s="74"/>
      <c r="H344" s="235"/>
      <c r="I344" s="208">
        <f t="shared" si="116"/>
        <v>229.01</v>
      </c>
      <c r="J344" s="257">
        <f>154.5+500</f>
        <v>654.5</v>
      </c>
      <c r="K344" s="235"/>
      <c r="L344" s="208">
        <f t="shared" si="117"/>
        <v>883.51</v>
      </c>
      <c r="M344" s="260">
        <f>302.5</f>
        <v>302.5</v>
      </c>
      <c r="N344" s="235"/>
      <c r="O344" s="208">
        <f t="shared" si="118"/>
        <v>1186.01</v>
      </c>
      <c r="P344" s="292"/>
      <c r="Q344" s="167">
        <f t="shared" si="119"/>
        <v>1186.01</v>
      </c>
    </row>
    <row r="345" spans="1:17" ht="12.75">
      <c r="A345" s="20" t="s">
        <v>309</v>
      </c>
      <c r="B345" s="109"/>
      <c r="C345" s="112"/>
      <c r="D345" s="142">
        <f>300</f>
        <v>300</v>
      </c>
      <c r="E345" s="84"/>
      <c r="F345" s="190">
        <f t="shared" si="115"/>
        <v>300</v>
      </c>
      <c r="G345" s="74">
        <f>-12</f>
        <v>-12</v>
      </c>
      <c r="H345" s="235"/>
      <c r="I345" s="208">
        <f t="shared" si="116"/>
        <v>288</v>
      </c>
      <c r="J345" s="257"/>
      <c r="K345" s="235"/>
      <c r="L345" s="208">
        <f t="shared" si="117"/>
        <v>288</v>
      </c>
      <c r="M345" s="260"/>
      <c r="N345" s="235"/>
      <c r="O345" s="208">
        <f t="shared" si="118"/>
        <v>288</v>
      </c>
      <c r="P345" s="292"/>
      <c r="Q345" s="167"/>
    </row>
    <row r="346" spans="1:17" ht="12.75" hidden="1">
      <c r="A346" s="58" t="s">
        <v>75</v>
      </c>
      <c r="B346" s="57"/>
      <c r="C346" s="112"/>
      <c r="D346" s="142"/>
      <c r="E346" s="84"/>
      <c r="F346" s="190">
        <f t="shared" si="115"/>
        <v>0</v>
      </c>
      <c r="G346" s="74"/>
      <c r="H346" s="235"/>
      <c r="I346" s="208">
        <f t="shared" si="116"/>
        <v>0</v>
      </c>
      <c r="J346" s="257"/>
      <c r="K346" s="235"/>
      <c r="L346" s="208">
        <f t="shared" si="117"/>
        <v>0</v>
      </c>
      <c r="M346" s="260"/>
      <c r="N346" s="235"/>
      <c r="O346" s="208">
        <f aca="true" t="shared" si="120" ref="O346:O367">L346+M346+N346</f>
        <v>0</v>
      </c>
      <c r="P346" s="292"/>
      <c r="Q346" s="167">
        <f t="shared" si="119"/>
        <v>0</v>
      </c>
    </row>
    <row r="347" spans="1:17" ht="12.75">
      <c r="A347" s="16" t="s">
        <v>167</v>
      </c>
      <c r="B347" s="57"/>
      <c r="C347" s="112">
        <v>55101.29</v>
      </c>
      <c r="D347" s="142">
        <f>1000</f>
        <v>1000</v>
      </c>
      <c r="E347" s="84"/>
      <c r="F347" s="190">
        <f t="shared" si="115"/>
        <v>56101.29</v>
      </c>
      <c r="G347" s="74"/>
      <c r="H347" s="235"/>
      <c r="I347" s="208">
        <f t="shared" si="116"/>
        <v>56101.29</v>
      </c>
      <c r="J347" s="257"/>
      <c r="K347" s="235"/>
      <c r="L347" s="208">
        <f t="shared" si="117"/>
        <v>56101.29</v>
      </c>
      <c r="M347" s="260"/>
      <c r="N347" s="235"/>
      <c r="O347" s="208">
        <f t="shared" si="120"/>
        <v>56101.29</v>
      </c>
      <c r="P347" s="292"/>
      <c r="Q347" s="167">
        <f t="shared" si="119"/>
        <v>56101.29</v>
      </c>
    </row>
    <row r="348" spans="1:17" ht="12.75">
      <c r="A348" s="20" t="s">
        <v>211</v>
      </c>
      <c r="B348" s="57"/>
      <c r="C348" s="112"/>
      <c r="D348" s="142">
        <f>21331.5+100</f>
        <v>21431.5</v>
      </c>
      <c r="E348" s="84"/>
      <c r="F348" s="190">
        <f t="shared" si="115"/>
        <v>21431.5</v>
      </c>
      <c r="G348" s="74"/>
      <c r="H348" s="235"/>
      <c r="I348" s="208">
        <f t="shared" si="116"/>
        <v>21431.5</v>
      </c>
      <c r="J348" s="257"/>
      <c r="K348" s="235"/>
      <c r="L348" s="208">
        <f t="shared" si="117"/>
        <v>21431.5</v>
      </c>
      <c r="M348" s="260"/>
      <c r="N348" s="235"/>
      <c r="O348" s="208">
        <f t="shared" si="120"/>
        <v>21431.5</v>
      </c>
      <c r="P348" s="292"/>
      <c r="Q348" s="167">
        <f t="shared" si="119"/>
        <v>21431.5</v>
      </c>
    </row>
    <row r="349" spans="1:17" ht="12.75">
      <c r="A349" s="16" t="s">
        <v>182</v>
      </c>
      <c r="B349" s="98">
        <v>212163</v>
      </c>
      <c r="C349" s="112"/>
      <c r="D349" s="142">
        <f>637.35</f>
        <v>637.35</v>
      </c>
      <c r="E349" s="84"/>
      <c r="F349" s="190">
        <f t="shared" si="115"/>
        <v>637.35</v>
      </c>
      <c r="G349" s="74"/>
      <c r="H349" s="235"/>
      <c r="I349" s="208">
        <f t="shared" si="116"/>
        <v>637.35</v>
      </c>
      <c r="J349" s="257"/>
      <c r="K349" s="235"/>
      <c r="L349" s="208">
        <f t="shared" si="117"/>
        <v>637.35</v>
      </c>
      <c r="M349" s="260"/>
      <c r="N349" s="235"/>
      <c r="O349" s="208">
        <f t="shared" si="120"/>
        <v>637.35</v>
      </c>
      <c r="P349" s="292"/>
      <c r="Q349" s="167">
        <f t="shared" si="119"/>
        <v>637.35</v>
      </c>
    </row>
    <row r="350" spans="1:17" ht="12.75" hidden="1">
      <c r="A350" s="20" t="s">
        <v>158</v>
      </c>
      <c r="B350" s="98">
        <v>212162</v>
      </c>
      <c r="C350" s="112"/>
      <c r="D350" s="142"/>
      <c r="E350" s="84"/>
      <c r="F350" s="190">
        <f t="shared" si="115"/>
        <v>0</v>
      </c>
      <c r="G350" s="74"/>
      <c r="H350" s="235"/>
      <c r="I350" s="208">
        <f t="shared" si="116"/>
        <v>0</v>
      </c>
      <c r="J350" s="257"/>
      <c r="K350" s="235"/>
      <c r="L350" s="208">
        <f t="shared" si="117"/>
        <v>0</v>
      </c>
      <c r="M350" s="260"/>
      <c r="N350" s="235"/>
      <c r="O350" s="208">
        <f t="shared" si="120"/>
        <v>0</v>
      </c>
      <c r="P350" s="292"/>
      <c r="Q350" s="167">
        <f t="shared" si="119"/>
        <v>0</v>
      </c>
    </row>
    <row r="351" spans="1:17" ht="12.75">
      <c r="A351" s="20" t="s">
        <v>273</v>
      </c>
      <c r="B351" s="98"/>
      <c r="C351" s="112"/>
      <c r="D351" s="142"/>
      <c r="E351" s="84"/>
      <c r="F351" s="190">
        <f t="shared" si="115"/>
        <v>0</v>
      </c>
      <c r="G351" s="74"/>
      <c r="H351" s="235"/>
      <c r="I351" s="208">
        <f t="shared" si="116"/>
        <v>0</v>
      </c>
      <c r="J351" s="257">
        <f>81.23</f>
        <v>81.23</v>
      </c>
      <c r="K351" s="235"/>
      <c r="L351" s="208">
        <f t="shared" si="117"/>
        <v>81.23</v>
      </c>
      <c r="M351" s="260"/>
      <c r="N351" s="235"/>
      <c r="O351" s="208">
        <f t="shared" si="120"/>
        <v>81.23</v>
      </c>
      <c r="P351" s="292"/>
      <c r="Q351" s="167">
        <f t="shared" si="119"/>
        <v>81.23</v>
      </c>
    </row>
    <row r="352" spans="1:17" ht="12.75">
      <c r="A352" s="20" t="s">
        <v>284</v>
      </c>
      <c r="B352" s="98"/>
      <c r="C352" s="112"/>
      <c r="D352" s="142"/>
      <c r="E352" s="84"/>
      <c r="F352" s="190">
        <f t="shared" si="115"/>
        <v>0</v>
      </c>
      <c r="G352" s="74"/>
      <c r="H352" s="235"/>
      <c r="I352" s="208">
        <f t="shared" si="116"/>
        <v>0</v>
      </c>
      <c r="J352" s="257"/>
      <c r="K352" s="235"/>
      <c r="L352" s="208">
        <f t="shared" si="117"/>
        <v>0</v>
      </c>
      <c r="M352" s="260">
        <f>82000+12172.08</f>
        <v>94172.08</v>
      </c>
      <c r="N352" s="235"/>
      <c r="O352" s="208">
        <f t="shared" si="120"/>
        <v>94172.08</v>
      </c>
      <c r="P352" s="292"/>
      <c r="Q352" s="167"/>
    </row>
    <row r="353" spans="1:17" ht="12.75">
      <c r="A353" s="36" t="s">
        <v>357</v>
      </c>
      <c r="B353" s="98"/>
      <c r="C353" s="112"/>
      <c r="D353" s="142"/>
      <c r="E353" s="84"/>
      <c r="F353" s="190">
        <f t="shared" si="115"/>
        <v>0</v>
      </c>
      <c r="G353" s="74">
        <f>225.02</f>
        <v>225.02</v>
      </c>
      <c r="H353" s="235"/>
      <c r="I353" s="208">
        <f t="shared" si="116"/>
        <v>225.02</v>
      </c>
      <c r="J353" s="257"/>
      <c r="K353" s="235"/>
      <c r="L353" s="208">
        <f t="shared" si="117"/>
        <v>225.02</v>
      </c>
      <c r="M353" s="260"/>
      <c r="N353" s="235"/>
      <c r="O353" s="208">
        <f t="shared" si="120"/>
        <v>225.02</v>
      </c>
      <c r="P353" s="292"/>
      <c r="Q353" s="167">
        <f t="shared" si="119"/>
        <v>225.02</v>
      </c>
    </row>
    <row r="354" spans="1:17" ht="12.75">
      <c r="A354" s="36" t="s">
        <v>364</v>
      </c>
      <c r="B354" s="98"/>
      <c r="C354" s="112"/>
      <c r="D354" s="142"/>
      <c r="E354" s="84"/>
      <c r="F354" s="190">
        <f t="shared" si="115"/>
        <v>0</v>
      </c>
      <c r="G354" s="74"/>
      <c r="H354" s="235"/>
      <c r="I354" s="208">
        <f t="shared" si="116"/>
        <v>0</v>
      </c>
      <c r="J354" s="257">
        <f>5831.74</f>
        <v>5831.74</v>
      </c>
      <c r="K354" s="235"/>
      <c r="L354" s="208">
        <f t="shared" si="117"/>
        <v>5831.74</v>
      </c>
      <c r="M354" s="260"/>
      <c r="N354" s="235"/>
      <c r="O354" s="208">
        <f t="shared" si="120"/>
        <v>5831.74</v>
      </c>
      <c r="P354" s="292"/>
      <c r="Q354" s="167"/>
    </row>
    <row r="355" spans="1:17" ht="12.75" hidden="1">
      <c r="A355" s="20" t="s">
        <v>262</v>
      </c>
      <c r="B355" s="98"/>
      <c r="C355" s="112"/>
      <c r="D355" s="142"/>
      <c r="E355" s="84"/>
      <c r="F355" s="190">
        <f t="shared" si="115"/>
        <v>0</v>
      </c>
      <c r="G355" s="74"/>
      <c r="H355" s="235"/>
      <c r="I355" s="208">
        <f t="shared" si="116"/>
        <v>0</v>
      </c>
      <c r="J355" s="257"/>
      <c r="K355" s="235"/>
      <c r="L355" s="208">
        <f t="shared" si="117"/>
        <v>0</v>
      </c>
      <c r="M355" s="260"/>
      <c r="N355" s="235"/>
      <c r="O355" s="208">
        <f t="shared" si="120"/>
        <v>0</v>
      </c>
      <c r="P355" s="292"/>
      <c r="Q355" s="167">
        <f t="shared" si="119"/>
        <v>0</v>
      </c>
    </row>
    <row r="356" spans="1:17" ht="12.75">
      <c r="A356" s="16" t="s">
        <v>72</v>
      </c>
      <c r="B356" s="57"/>
      <c r="C356" s="117">
        <f>SUM(C357:C367)</f>
        <v>28675</v>
      </c>
      <c r="D356" s="142">
        <f aca="true" t="shared" si="121" ref="D356:Q356">SUM(D357:D367)</f>
        <v>14191.029999999999</v>
      </c>
      <c r="E356" s="84">
        <f t="shared" si="121"/>
        <v>0</v>
      </c>
      <c r="F356" s="196">
        <f t="shared" si="121"/>
        <v>42866.03</v>
      </c>
      <c r="G356" s="133">
        <f t="shared" si="121"/>
        <v>7408.410000000001</v>
      </c>
      <c r="H356" s="243">
        <f t="shared" si="121"/>
        <v>21.78</v>
      </c>
      <c r="I356" s="214">
        <f t="shared" si="121"/>
        <v>50296.22</v>
      </c>
      <c r="J356" s="260">
        <f t="shared" si="121"/>
        <v>20870.52</v>
      </c>
      <c r="K356" s="243">
        <f t="shared" si="121"/>
        <v>21.78</v>
      </c>
      <c r="L356" s="214">
        <f t="shared" si="121"/>
        <v>71188.52</v>
      </c>
      <c r="M356" s="260">
        <f t="shared" si="121"/>
        <v>4653.8099999999995</v>
      </c>
      <c r="N356" s="243">
        <f t="shared" si="121"/>
        <v>0</v>
      </c>
      <c r="O356" s="214">
        <f t="shared" si="121"/>
        <v>75842.33</v>
      </c>
      <c r="P356" s="142">
        <f t="shared" si="121"/>
        <v>0</v>
      </c>
      <c r="Q356" s="156">
        <f t="shared" si="121"/>
        <v>75842.33</v>
      </c>
    </row>
    <row r="357" spans="1:17" ht="12.75">
      <c r="A357" s="16" t="s">
        <v>198</v>
      </c>
      <c r="B357" s="57"/>
      <c r="C357" s="117">
        <v>7500</v>
      </c>
      <c r="D357" s="142">
        <f>1200</f>
        <v>1200</v>
      </c>
      <c r="E357" s="73"/>
      <c r="F357" s="190">
        <f t="shared" si="115"/>
        <v>8700</v>
      </c>
      <c r="G357" s="74"/>
      <c r="H357" s="235"/>
      <c r="I357" s="208">
        <f t="shared" si="116"/>
        <v>8700</v>
      </c>
      <c r="J357" s="257"/>
      <c r="K357" s="235"/>
      <c r="L357" s="208">
        <f aca="true" t="shared" si="122" ref="L357:L367">I357+J357+K357</f>
        <v>8700</v>
      </c>
      <c r="M357" s="260"/>
      <c r="N357" s="235"/>
      <c r="O357" s="208">
        <f t="shared" si="120"/>
        <v>8700</v>
      </c>
      <c r="P357" s="292"/>
      <c r="Q357" s="167">
        <f t="shared" si="119"/>
        <v>8700</v>
      </c>
    </row>
    <row r="358" spans="1:17" ht="12.75">
      <c r="A358" s="16" t="s">
        <v>166</v>
      </c>
      <c r="B358" s="57"/>
      <c r="C358" s="117"/>
      <c r="D358" s="142">
        <f>9848.17-1200-1000</f>
        <v>7648.17</v>
      </c>
      <c r="E358" s="73"/>
      <c r="F358" s="190">
        <f t="shared" si="115"/>
        <v>7648.17</v>
      </c>
      <c r="G358" s="74">
        <f>108.9+189.46-225.02</f>
        <v>73.34</v>
      </c>
      <c r="H358" s="235"/>
      <c r="I358" s="208">
        <f t="shared" si="116"/>
        <v>7721.51</v>
      </c>
      <c r="J358" s="257">
        <f>-500-500+7300</f>
        <v>6300</v>
      </c>
      <c r="K358" s="235"/>
      <c r="L358" s="208">
        <f t="shared" si="122"/>
        <v>14021.51</v>
      </c>
      <c r="M358" s="260"/>
      <c r="N358" s="235"/>
      <c r="O358" s="208">
        <f t="shared" si="120"/>
        <v>14021.51</v>
      </c>
      <c r="P358" s="292"/>
      <c r="Q358" s="167">
        <f t="shared" si="119"/>
        <v>14021.51</v>
      </c>
    </row>
    <row r="359" spans="1:17" ht="12.75" hidden="1">
      <c r="A359" s="16" t="s">
        <v>245</v>
      </c>
      <c r="B359" s="57"/>
      <c r="C359" s="117"/>
      <c r="D359" s="174"/>
      <c r="E359" s="73"/>
      <c r="F359" s="190">
        <f t="shared" si="115"/>
        <v>0</v>
      </c>
      <c r="G359" s="74"/>
      <c r="H359" s="235"/>
      <c r="I359" s="208">
        <f t="shared" si="116"/>
        <v>0</v>
      </c>
      <c r="J359" s="257"/>
      <c r="K359" s="235"/>
      <c r="L359" s="208">
        <f t="shared" si="122"/>
        <v>0</v>
      </c>
      <c r="M359" s="260"/>
      <c r="N359" s="235"/>
      <c r="O359" s="208">
        <f t="shared" si="120"/>
        <v>0</v>
      </c>
      <c r="P359" s="292"/>
      <c r="Q359" s="167">
        <f t="shared" si="119"/>
        <v>0</v>
      </c>
    </row>
    <row r="360" spans="1:17" ht="12.75" hidden="1">
      <c r="A360" s="16" t="s">
        <v>190</v>
      </c>
      <c r="B360" s="57"/>
      <c r="C360" s="117"/>
      <c r="D360" s="142"/>
      <c r="E360" s="73"/>
      <c r="F360" s="190">
        <f t="shared" si="115"/>
        <v>0</v>
      </c>
      <c r="G360" s="74"/>
      <c r="H360" s="235"/>
      <c r="I360" s="208">
        <f t="shared" si="116"/>
        <v>0</v>
      </c>
      <c r="J360" s="257"/>
      <c r="K360" s="235"/>
      <c r="L360" s="208">
        <f t="shared" si="122"/>
        <v>0</v>
      </c>
      <c r="M360" s="260"/>
      <c r="N360" s="235"/>
      <c r="O360" s="208">
        <f t="shared" si="120"/>
        <v>0</v>
      </c>
      <c r="P360" s="292"/>
      <c r="Q360" s="167">
        <f t="shared" si="119"/>
        <v>0</v>
      </c>
    </row>
    <row r="361" spans="1:17" ht="12.75">
      <c r="A361" s="16" t="s">
        <v>210</v>
      </c>
      <c r="B361" s="57"/>
      <c r="C361" s="117"/>
      <c r="D361" s="142">
        <f>3732.11</f>
        <v>3732.11</v>
      </c>
      <c r="E361" s="73"/>
      <c r="F361" s="190">
        <f t="shared" si="115"/>
        <v>3732.11</v>
      </c>
      <c r="G361" s="74"/>
      <c r="H361" s="235"/>
      <c r="I361" s="208">
        <f t="shared" si="116"/>
        <v>3732.11</v>
      </c>
      <c r="J361" s="257">
        <f>10000</f>
        <v>10000</v>
      </c>
      <c r="K361" s="235"/>
      <c r="L361" s="208">
        <f t="shared" si="122"/>
        <v>13732.11</v>
      </c>
      <c r="M361" s="260"/>
      <c r="N361" s="235"/>
      <c r="O361" s="208">
        <f t="shared" si="120"/>
        <v>13732.11</v>
      </c>
      <c r="P361" s="292"/>
      <c r="Q361" s="167">
        <f t="shared" si="119"/>
        <v>13732.11</v>
      </c>
    </row>
    <row r="362" spans="1:17" ht="12.75">
      <c r="A362" s="16" t="s">
        <v>165</v>
      </c>
      <c r="B362" s="57"/>
      <c r="C362" s="117"/>
      <c r="D362" s="142">
        <f>735.39-36.3</f>
        <v>699.09</v>
      </c>
      <c r="E362" s="73"/>
      <c r="F362" s="190">
        <f t="shared" si="115"/>
        <v>699.09</v>
      </c>
      <c r="G362" s="74"/>
      <c r="H362" s="235">
        <f>21.78</f>
        <v>21.78</v>
      </c>
      <c r="I362" s="208">
        <f t="shared" si="116"/>
        <v>720.87</v>
      </c>
      <c r="J362" s="257"/>
      <c r="K362" s="235">
        <f>21.78</f>
        <v>21.78</v>
      </c>
      <c r="L362" s="208">
        <f t="shared" si="122"/>
        <v>742.65</v>
      </c>
      <c r="M362" s="260">
        <f>140.36</f>
        <v>140.36</v>
      </c>
      <c r="N362" s="235"/>
      <c r="O362" s="208">
        <f t="shared" si="120"/>
        <v>883.01</v>
      </c>
      <c r="P362" s="292"/>
      <c r="Q362" s="167">
        <f t="shared" si="119"/>
        <v>883.01</v>
      </c>
    </row>
    <row r="363" spans="1:17" ht="12.75">
      <c r="A363" s="16" t="s">
        <v>283</v>
      </c>
      <c r="B363" s="57"/>
      <c r="C363" s="117"/>
      <c r="D363" s="142">
        <f>2416.38</f>
        <v>2416.38</v>
      </c>
      <c r="E363" s="73"/>
      <c r="F363" s="190">
        <f t="shared" si="115"/>
        <v>2416.38</v>
      </c>
      <c r="G363" s="74">
        <f>500+5000+18.85</f>
        <v>5518.85</v>
      </c>
      <c r="H363" s="235"/>
      <c r="I363" s="208">
        <f t="shared" si="116"/>
        <v>7935.2300000000005</v>
      </c>
      <c r="J363" s="257">
        <f>24.28+5.49+43.52</f>
        <v>73.29</v>
      </c>
      <c r="K363" s="235"/>
      <c r="L363" s="208">
        <f t="shared" si="122"/>
        <v>8008.52</v>
      </c>
      <c r="M363" s="260"/>
      <c r="N363" s="235"/>
      <c r="O363" s="208">
        <f t="shared" si="120"/>
        <v>8008.52</v>
      </c>
      <c r="P363" s="292"/>
      <c r="Q363" s="167">
        <f t="shared" si="119"/>
        <v>8008.52</v>
      </c>
    </row>
    <row r="364" spans="1:17" ht="12.75">
      <c r="A364" s="16" t="s">
        <v>172</v>
      </c>
      <c r="B364" s="57"/>
      <c r="C364" s="117">
        <v>2000</v>
      </c>
      <c r="D364" s="142">
        <f>1773.96+6730</f>
        <v>8503.96</v>
      </c>
      <c r="E364" s="73"/>
      <c r="F364" s="190">
        <f t="shared" si="115"/>
        <v>10503.96</v>
      </c>
      <c r="G364" s="74">
        <f>166.22+150+1500</f>
        <v>1816.22</v>
      </c>
      <c r="H364" s="235"/>
      <c r="I364" s="208">
        <f t="shared" si="116"/>
        <v>12320.179999999998</v>
      </c>
      <c r="J364" s="257">
        <f>497.23</f>
        <v>497.23</v>
      </c>
      <c r="K364" s="235"/>
      <c r="L364" s="208">
        <f t="shared" si="122"/>
        <v>12817.409999999998</v>
      </c>
      <c r="M364" s="260">
        <f>411.4+72.6</f>
        <v>484</v>
      </c>
      <c r="N364" s="235"/>
      <c r="O364" s="208">
        <f t="shared" si="120"/>
        <v>13301.409999999998</v>
      </c>
      <c r="P364" s="292"/>
      <c r="Q364" s="167">
        <f t="shared" si="119"/>
        <v>13301.409999999998</v>
      </c>
    </row>
    <row r="365" spans="1:17" ht="12.75">
      <c r="A365" s="16" t="s">
        <v>171</v>
      </c>
      <c r="B365" s="57"/>
      <c r="C365" s="117">
        <v>17200</v>
      </c>
      <c r="D365" s="142">
        <f>-17130+8721.32</f>
        <v>-8408.68</v>
      </c>
      <c r="E365" s="73"/>
      <c r="F365" s="190">
        <f t="shared" si="115"/>
        <v>8791.32</v>
      </c>
      <c r="G365" s="74"/>
      <c r="H365" s="235"/>
      <c r="I365" s="208">
        <f t="shared" si="116"/>
        <v>8791.32</v>
      </c>
      <c r="J365" s="257">
        <f>4000</f>
        <v>4000</v>
      </c>
      <c r="K365" s="235"/>
      <c r="L365" s="208">
        <f t="shared" si="122"/>
        <v>12791.32</v>
      </c>
      <c r="M365" s="260">
        <f>4404.45</f>
        <v>4404.45</v>
      </c>
      <c r="N365" s="235"/>
      <c r="O365" s="208">
        <f t="shared" si="120"/>
        <v>17195.77</v>
      </c>
      <c r="P365" s="292"/>
      <c r="Q365" s="167">
        <f t="shared" si="119"/>
        <v>17195.77</v>
      </c>
    </row>
    <row r="366" spans="1:17" ht="12.75">
      <c r="A366" s="16" t="s">
        <v>282</v>
      </c>
      <c r="B366" s="57"/>
      <c r="C366" s="117">
        <v>1975</v>
      </c>
      <c r="D366" s="142">
        <f>-1200-400</f>
        <v>-1600</v>
      </c>
      <c r="E366" s="73"/>
      <c r="F366" s="190">
        <f t="shared" si="115"/>
        <v>375</v>
      </c>
      <c r="G366" s="74"/>
      <c r="H366" s="235"/>
      <c r="I366" s="208">
        <f t="shared" si="116"/>
        <v>375</v>
      </c>
      <c r="J366" s="257"/>
      <c r="K366" s="235"/>
      <c r="L366" s="208">
        <f t="shared" si="122"/>
        <v>375</v>
      </c>
      <c r="M366" s="260">
        <f>-375</f>
        <v>-375</v>
      </c>
      <c r="N366" s="235"/>
      <c r="O366" s="208">
        <f t="shared" si="120"/>
        <v>0</v>
      </c>
      <c r="P366" s="292"/>
      <c r="Q366" s="167">
        <f t="shared" si="119"/>
        <v>0</v>
      </c>
    </row>
    <row r="367" spans="1:17" ht="12.75" hidden="1">
      <c r="A367" s="16" t="s">
        <v>220</v>
      </c>
      <c r="B367" s="57"/>
      <c r="C367" s="117"/>
      <c r="D367" s="174"/>
      <c r="E367" s="73"/>
      <c r="F367" s="190">
        <f t="shared" si="115"/>
        <v>0</v>
      </c>
      <c r="G367" s="74"/>
      <c r="H367" s="235"/>
      <c r="I367" s="208">
        <f t="shared" si="116"/>
        <v>0</v>
      </c>
      <c r="J367" s="257"/>
      <c r="K367" s="235"/>
      <c r="L367" s="208">
        <f t="shared" si="122"/>
        <v>0</v>
      </c>
      <c r="M367" s="260"/>
      <c r="N367" s="235"/>
      <c r="O367" s="208">
        <f t="shared" si="120"/>
        <v>0</v>
      </c>
      <c r="P367" s="292"/>
      <c r="Q367" s="167">
        <f t="shared" si="119"/>
        <v>0</v>
      </c>
    </row>
    <row r="368" spans="1:17" ht="12.75">
      <c r="A368" s="22" t="s">
        <v>52</v>
      </c>
      <c r="B368" s="61"/>
      <c r="C368" s="115">
        <f aca="true" t="shared" si="123" ref="C368:Q368">SUM(C370:C389)</f>
        <v>456717.92000000004</v>
      </c>
      <c r="D368" s="105">
        <f t="shared" si="123"/>
        <v>1540320.38</v>
      </c>
      <c r="E368" s="80">
        <f t="shared" si="123"/>
        <v>0</v>
      </c>
      <c r="F368" s="193">
        <f t="shared" si="123"/>
        <v>1997038.3</v>
      </c>
      <c r="G368" s="79">
        <f t="shared" si="123"/>
        <v>542598.8300000001</v>
      </c>
      <c r="H368" s="239">
        <f t="shared" si="123"/>
        <v>4588.88</v>
      </c>
      <c r="I368" s="211">
        <f t="shared" si="123"/>
        <v>2544226.01</v>
      </c>
      <c r="J368" s="262">
        <f t="shared" si="123"/>
        <v>142207.97</v>
      </c>
      <c r="K368" s="239">
        <f t="shared" si="123"/>
        <v>13619.4</v>
      </c>
      <c r="L368" s="211">
        <f t="shared" si="123"/>
        <v>2700053.38</v>
      </c>
      <c r="M368" s="262">
        <f t="shared" si="123"/>
        <v>235996.20999999996</v>
      </c>
      <c r="N368" s="239">
        <f t="shared" si="123"/>
        <v>0</v>
      </c>
      <c r="O368" s="211">
        <f t="shared" si="123"/>
        <v>2936049.59</v>
      </c>
      <c r="P368" s="105">
        <f t="shared" si="123"/>
        <v>0</v>
      </c>
      <c r="Q368" s="154">
        <f t="shared" si="123"/>
        <v>2733805.29</v>
      </c>
    </row>
    <row r="369" spans="1:17" ht="12.75">
      <c r="A369" s="20" t="s">
        <v>26</v>
      </c>
      <c r="B369" s="57"/>
      <c r="C369" s="112"/>
      <c r="D369" s="102"/>
      <c r="E369" s="73"/>
      <c r="F369" s="190"/>
      <c r="G369" s="74"/>
      <c r="H369" s="235"/>
      <c r="I369" s="208"/>
      <c r="J369" s="257"/>
      <c r="K369" s="235"/>
      <c r="L369" s="208"/>
      <c r="M369" s="260"/>
      <c r="N369" s="235"/>
      <c r="O369" s="208"/>
      <c r="P369" s="292"/>
      <c r="Q369" s="167"/>
    </row>
    <row r="370" spans="1:17" ht="12.75" hidden="1">
      <c r="A370" s="20" t="s">
        <v>162</v>
      </c>
      <c r="B370" s="57"/>
      <c r="C370" s="112"/>
      <c r="D370" s="102"/>
      <c r="E370" s="73"/>
      <c r="F370" s="190">
        <f aca="true" t="shared" si="124" ref="F370:F403">C370+D370+E370</f>
        <v>0</v>
      </c>
      <c r="G370" s="74"/>
      <c r="H370" s="235"/>
      <c r="I370" s="208">
        <f aca="true" t="shared" si="125" ref="I370:I403">F370+G370+H370</f>
        <v>0</v>
      </c>
      <c r="J370" s="257"/>
      <c r="K370" s="235"/>
      <c r="L370" s="208">
        <f aca="true" t="shared" si="126" ref="L370:L403">I370+J370+K370</f>
        <v>0</v>
      </c>
      <c r="M370" s="260"/>
      <c r="N370" s="235"/>
      <c r="O370" s="208">
        <f aca="true" t="shared" si="127" ref="O370:O403">L370+M370+N370</f>
        <v>0</v>
      </c>
      <c r="P370" s="292"/>
      <c r="Q370" s="167">
        <f aca="true" t="shared" si="128" ref="Q370:Q403">O370+P370</f>
        <v>0</v>
      </c>
    </row>
    <row r="371" spans="1:17" ht="12.75">
      <c r="A371" s="20" t="s">
        <v>53</v>
      </c>
      <c r="B371" s="57"/>
      <c r="C371" s="112"/>
      <c r="D371" s="102">
        <f>1914.36</f>
        <v>1914.36</v>
      </c>
      <c r="E371" s="73"/>
      <c r="F371" s="190">
        <f t="shared" si="124"/>
        <v>1914.36</v>
      </c>
      <c r="G371" s="74"/>
      <c r="H371" s="235"/>
      <c r="I371" s="208">
        <f t="shared" si="125"/>
        <v>1914.36</v>
      </c>
      <c r="J371" s="257"/>
      <c r="K371" s="235"/>
      <c r="L371" s="208">
        <f t="shared" si="126"/>
        <v>1914.36</v>
      </c>
      <c r="M371" s="260"/>
      <c r="N371" s="235"/>
      <c r="O371" s="208">
        <f t="shared" si="127"/>
        <v>1914.36</v>
      </c>
      <c r="P371" s="292"/>
      <c r="Q371" s="167"/>
    </row>
    <row r="372" spans="1:17" ht="12.75" hidden="1">
      <c r="A372" s="20" t="s">
        <v>161</v>
      </c>
      <c r="B372" s="109">
        <v>1081.1202</v>
      </c>
      <c r="C372" s="112"/>
      <c r="D372" s="102">
        <f>457</f>
        <v>457</v>
      </c>
      <c r="E372" s="73"/>
      <c r="F372" s="190">
        <f t="shared" si="124"/>
        <v>457</v>
      </c>
      <c r="G372" s="74">
        <f>-302.5</f>
        <v>-302.5</v>
      </c>
      <c r="H372" s="235"/>
      <c r="I372" s="208">
        <f t="shared" si="125"/>
        <v>154.5</v>
      </c>
      <c r="J372" s="257">
        <f>-154.5</f>
        <v>-154.5</v>
      </c>
      <c r="K372" s="235"/>
      <c r="L372" s="208">
        <f t="shared" si="126"/>
        <v>0</v>
      </c>
      <c r="M372" s="260"/>
      <c r="N372" s="235"/>
      <c r="O372" s="208">
        <f t="shared" si="127"/>
        <v>0</v>
      </c>
      <c r="P372" s="292"/>
      <c r="Q372" s="167">
        <f t="shared" si="128"/>
        <v>0</v>
      </c>
    </row>
    <row r="373" spans="1:17" ht="12.75">
      <c r="A373" s="20" t="s">
        <v>157</v>
      </c>
      <c r="B373" s="57"/>
      <c r="C373" s="112">
        <v>19868.59</v>
      </c>
      <c r="D373" s="102">
        <f>688.28</f>
        <v>688.28</v>
      </c>
      <c r="E373" s="73"/>
      <c r="F373" s="190">
        <f t="shared" si="124"/>
        <v>20556.87</v>
      </c>
      <c r="G373" s="74"/>
      <c r="H373" s="235"/>
      <c r="I373" s="208">
        <f t="shared" si="125"/>
        <v>20556.87</v>
      </c>
      <c r="J373" s="257">
        <f>20000</f>
        <v>20000</v>
      </c>
      <c r="K373" s="235"/>
      <c r="L373" s="208">
        <f t="shared" si="126"/>
        <v>40556.869999999995</v>
      </c>
      <c r="M373" s="260"/>
      <c r="N373" s="235"/>
      <c r="O373" s="208">
        <f t="shared" si="127"/>
        <v>40556.869999999995</v>
      </c>
      <c r="P373" s="292"/>
      <c r="Q373" s="167">
        <f t="shared" si="128"/>
        <v>40556.869999999995</v>
      </c>
    </row>
    <row r="374" spans="1:17" ht="12.75">
      <c r="A374" s="20" t="s">
        <v>299</v>
      </c>
      <c r="B374" s="57"/>
      <c r="C374" s="112">
        <v>7000</v>
      </c>
      <c r="D374" s="102">
        <f>10000</f>
        <v>10000</v>
      </c>
      <c r="E374" s="73"/>
      <c r="F374" s="190">
        <f t="shared" si="124"/>
        <v>17000</v>
      </c>
      <c r="G374" s="74"/>
      <c r="H374" s="235"/>
      <c r="I374" s="208">
        <f t="shared" si="125"/>
        <v>17000</v>
      </c>
      <c r="J374" s="257"/>
      <c r="K374" s="235"/>
      <c r="L374" s="208">
        <f t="shared" si="126"/>
        <v>17000</v>
      </c>
      <c r="M374" s="260"/>
      <c r="N374" s="235"/>
      <c r="O374" s="208">
        <f t="shared" si="127"/>
        <v>17000</v>
      </c>
      <c r="P374" s="292"/>
      <c r="Q374" s="167">
        <f t="shared" si="128"/>
        <v>17000</v>
      </c>
    </row>
    <row r="375" spans="1:17" ht="12.75">
      <c r="A375" s="20" t="s">
        <v>302</v>
      </c>
      <c r="B375" s="57"/>
      <c r="C375" s="112">
        <v>10000</v>
      </c>
      <c r="D375" s="102">
        <f>10000</f>
        <v>10000</v>
      </c>
      <c r="E375" s="73"/>
      <c r="F375" s="190">
        <f t="shared" si="124"/>
        <v>20000</v>
      </c>
      <c r="G375" s="74"/>
      <c r="H375" s="235"/>
      <c r="I375" s="208">
        <f t="shared" si="125"/>
        <v>20000</v>
      </c>
      <c r="J375" s="257"/>
      <c r="K375" s="235"/>
      <c r="L375" s="208">
        <f t="shared" si="126"/>
        <v>20000</v>
      </c>
      <c r="M375" s="260"/>
      <c r="N375" s="235"/>
      <c r="O375" s="208">
        <f t="shared" si="127"/>
        <v>20000</v>
      </c>
      <c r="P375" s="292"/>
      <c r="Q375" s="167">
        <f t="shared" si="128"/>
        <v>20000</v>
      </c>
    </row>
    <row r="376" spans="1:17" ht="12.75" hidden="1">
      <c r="A376" s="20" t="s">
        <v>259</v>
      </c>
      <c r="B376" s="57"/>
      <c r="C376" s="112"/>
      <c r="D376" s="142"/>
      <c r="E376" s="84"/>
      <c r="F376" s="190">
        <f t="shared" si="124"/>
        <v>0</v>
      </c>
      <c r="G376" s="74"/>
      <c r="H376" s="235"/>
      <c r="I376" s="208">
        <f t="shared" si="125"/>
        <v>0</v>
      </c>
      <c r="J376" s="257"/>
      <c r="K376" s="235"/>
      <c r="L376" s="208">
        <f t="shared" si="126"/>
        <v>0</v>
      </c>
      <c r="M376" s="260"/>
      <c r="N376" s="235"/>
      <c r="O376" s="208">
        <f t="shared" si="127"/>
        <v>0</v>
      </c>
      <c r="P376" s="292"/>
      <c r="Q376" s="167">
        <f t="shared" si="128"/>
        <v>0</v>
      </c>
    </row>
    <row r="377" spans="1:17" ht="12.75">
      <c r="A377" s="96" t="s">
        <v>211</v>
      </c>
      <c r="B377" s="57"/>
      <c r="C377" s="112"/>
      <c r="D377" s="174">
        <f>5500+1744.52</f>
        <v>7244.52</v>
      </c>
      <c r="E377" s="91"/>
      <c r="F377" s="190">
        <f t="shared" si="124"/>
        <v>7244.52</v>
      </c>
      <c r="G377" s="74"/>
      <c r="H377" s="235"/>
      <c r="I377" s="208">
        <f t="shared" si="125"/>
        <v>7244.52</v>
      </c>
      <c r="J377" s="257"/>
      <c r="K377" s="235"/>
      <c r="L377" s="208">
        <f t="shared" si="126"/>
        <v>7244.52</v>
      </c>
      <c r="M377" s="260">
        <f>2100</f>
        <v>2100</v>
      </c>
      <c r="N377" s="235"/>
      <c r="O377" s="208">
        <f t="shared" si="127"/>
        <v>9344.52</v>
      </c>
      <c r="P377" s="292"/>
      <c r="Q377" s="167">
        <f t="shared" si="128"/>
        <v>9344.52</v>
      </c>
    </row>
    <row r="378" spans="1:17" ht="12.75">
      <c r="A378" s="20" t="s">
        <v>300</v>
      </c>
      <c r="B378" s="98">
        <v>212163</v>
      </c>
      <c r="C378" s="112">
        <v>60000</v>
      </c>
      <c r="D378" s="142">
        <f>256306.21</f>
        <v>256306.21</v>
      </c>
      <c r="E378" s="84"/>
      <c r="F378" s="190">
        <f t="shared" si="124"/>
        <v>316306.20999999996</v>
      </c>
      <c r="G378" s="74"/>
      <c r="H378" s="235"/>
      <c r="I378" s="208">
        <f t="shared" si="125"/>
        <v>316306.20999999996</v>
      </c>
      <c r="J378" s="257"/>
      <c r="K378" s="235"/>
      <c r="L378" s="208">
        <f t="shared" si="126"/>
        <v>316306.20999999996</v>
      </c>
      <c r="M378" s="260"/>
      <c r="N378" s="235"/>
      <c r="O378" s="208">
        <f t="shared" si="127"/>
        <v>316306.20999999996</v>
      </c>
      <c r="P378" s="292"/>
      <c r="Q378" s="167">
        <f t="shared" si="128"/>
        <v>316306.20999999996</v>
      </c>
    </row>
    <row r="379" spans="1:17" ht="12.75" hidden="1">
      <c r="A379" s="20" t="s">
        <v>216</v>
      </c>
      <c r="B379" s="98">
        <v>22777</v>
      </c>
      <c r="C379" s="112"/>
      <c r="D379" s="142"/>
      <c r="E379" s="84"/>
      <c r="F379" s="190">
        <f t="shared" si="124"/>
        <v>0</v>
      </c>
      <c r="G379" s="74"/>
      <c r="H379" s="235"/>
      <c r="I379" s="208">
        <f t="shared" si="125"/>
        <v>0</v>
      </c>
      <c r="J379" s="257"/>
      <c r="K379" s="235"/>
      <c r="L379" s="208">
        <f t="shared" si="126"/>
        <v>0</v>
      </c>
      <c r="M379" s="260"/>
      <c r="N379" s="235"/>
      <c r="O379" s="208">
        <f t="shared" si="127"/>
        <v>0</v>
      </c>
      <c r="P379" s="292"/>
      <c r="Q379" s="167">
        <f t="shared" si="128"/>
        <v>0</v>
      </c>
    </row>
    <row r="380" spans="1:17" ht="12.75">
      <c r="A380" s="20" t="s">
        <v>158</v>
      </c>
      <c r="B380" s="98">
        <v>212162</v>
      </c>
      <c r="C380" s="112"/>
      <c r="D380" s="142">
        <f>2072.3</f>
        <v>2072.3</v>
      </c>
      <c r="E380" s="84"/>
      <c r="F380" s="190">
        <f t="shared" si="124"/>
        <v>2072.3</v>
      </c>
      <c r="G380" s="74"/>
      <c r="H380" s="235"/>
      <c r="I380" s="208">
        <f t="shared" si="125"/>
        <v>2072.3</v>
      </c>
      <c r="J380" s="257"/>
      <c r="K380" s="235"/>
      <c r="L380" s="208">
        <f t="shared" si="126"/>
        <v>2072.3</v>
      </c>
      <c r="M380" s="260"/>
      <c r="N380" s="235"/>
      <c r="O380" s="208">
        <f t="shared" si="127"/>
        <v>2072.3</v>
      </c>
      <c r="P380" s="292"/>
      <c r="Q380" s="167">
        <f t="shared" si="128"/>
        <v>2072.3</v>
      </c>
    </row>
    <row r="381" spans="1:17" ht="12.75">
      <c r="A381" s="36" t="s">
        <v>370</v>
      </c>
      <c r="B381" s="98">
        <v>17508</v>
      </c>
      <c r="C381" s="112"/>
      <c r="D381" s="142"/>
      <c r="E381" s="84"/>
      <c r="F381" s="190"/>
      <c r="G381" s="74"/>
      <c r="H381" s="235"/>
      <c r="I381" s="208">
        <f t="shared" si="125"/>
        <v>0</v>
      </c>
      <c r="J381" s="257">
        <f>200000</f>
        <v>200000</v>
      </c>
      <c r="K381" s="235"/>
      <c r="L381" s="208">
        <f t="shared" si="126"/>
        <v>200000</v>
      </c>
      <c r="M381" s="260"/>
      <c r="N381" s="235"/>
      <c r="O381" s="208">
        <f t="shared" si="127"/>
        <v>200000</v>
      </c>
      <c r="P381" s="292"/>
      <c r="Q381" s="167"/>
    </row>
    <row r="382" spans="1:17" ht="12.75">
      <c r="A382" s="36" t="s">
        <v>357</v>
      </c>
      <c r="B382" s="98"/>
      <c r="C382" s="112"/>
      <c r="D382" s="142"/>
      <c r="E382" s="84"/>
      <c r="F382" s="190">
        <f t="shared" si="124"/>
        <v>0</v>
      </c>
      <c r="G382" s="74">
        <f>274.76</f>
        <v>274.76</v>
      </c>
      <c r="H382" s="235"/>
      <c r="I382" s="208">
        <f t="shared" si="125"/>
        <v>274.76</v>
      </c>
      <c r="J382" s="257"/>
      <c r="K382" s="235"/>
      <c r="L382" s="208">
        <f t="shared" si="126"/>
        <v>274.76</v>
      </c>
      <c r="M382" s="260"/>
      <c r="N382" s="235"/>
      <c r="O382" s="208">
        <f t="shared" si="127"/>
        <v>274.76</v>
      </c>
      <c r="P382" s="292"/>
      <c r="Q382" s="167"/>
    </row>
    <row r="383" spans="1:17" ht="12.75">
      <c r="A383" s="36" t="s">
        <v>364</v>
      </c>
      <c r="B383" s="98"/>
      <c r="C383" s="112"/>
      <c r="D383" s="142"/>
      <c r="E383" s="84"/>
      <c r="F383" s="190"/>
      <c r="G383" s="74"/>
      <c r="H383" s="235"/>
      <c r="I383" s="208">
        <f t="shared" si="125"/>
        <v>0</v>
      </c>
      <c r="J383" s="257">
        <f>55.18</f>
        <v>55.18</v>
      </c>
      <c r="K383" s="235"/>
      <c r="L383" s="208">
        <f t="shared" si="126"/>
        <v>55.18</v>
      </c>
      <c r="M383" s="260"/>
      <c r="N383" s="235"/>
      <c r="O383" s="208">
        <f t="shared" si="127"/>
        <v>55.18</v>
      </c>
      <c r="P383" s="292"/>
      <c r="Q383" s="167"/>
    </row>
    <row r="384" spans="1:17" ht="12.75">
      <c r="A384" s="20" t="s">
        <v>273</v>
      </c>
      <c r="B384" s="98"/>
      <c r="C384" s="112"/>
      <c r="D384" s="142"/>
      <c r="E384" s="84"/>
      <c r="F384" s="190">
        <f t="shared" si="124"/>
        <v>0</v>
      </c>
      <c r="G384" s="74">
        <f>1337.82</f>
        <v>1337.82</v>
      </c>
      <c r="H384" s="235"/>
      <c r="I384" s="208">
        <f t="shared" si="125"/>
        <v>1337.82</v>
      </c>
      <c r="J384" s="257">
        <f>71.8+1052.12+47365.51</f>
        <v>48489.43</v>
      </c>
      <c r="K384" s="235"/>
      <c r="L384" s="208">
        <f t="shared" si="126"/>
        <v>49827.25</v>
      </c>
      <c r="M384" s="260"/>
      <c r="N384" s="235"/>
      <c r="O384" s="208">
        <f t="shared" si="127"/>
        <v>49827.25</v>
      </c>
      <c r="P384" s="292"/>
      <c r="Q384" s="167">
        <f t="shared" si="128"/>
        <v>49827.25</v>
      </c>
    </row>
    <row r="385" spans="1:17" ht="12.75" hidden="1">
      <c r="A385" s="20" t="s">
        <v>262</v>
      </c>
      <c r="B385" s="98"/>
      <c r="C385" s="112"/>
      <c r="D385" s="142"/>
      <c r="E385" s="84"/>
      <c r="F385" s="190">
        <f t="shared" si="124"/>
        <v>0</v>
      </c>
      <c r="G385" s="74"/>
      <c r="H385" s="235"/>
      <c r="I385" s="208">
        <f t="shared" si="125"/>
        <v>0</v>
      </c>
      <c r="J385" s="257"/>
      <c r="K385" s="235"/>
      <c r="L385" s="208">
        <f t="shared" si="126"/>
        <v>0</v>
      </c>
      <c r="M385" s="260"/>
      <c r="N385" s="235"/>
      <c r="O385" s="208">
        <f t="shared" si="127"/>
        <v>0</v>
      </c>
      <c r="P385" s="292"/>
      <c r="Q385" s="167">
        <f t="shared" si="128"/>
        <v>0</v>
      </c>
    </row>
    <row r="386" spans="1:17" ht="12.75">
      <c r="A386" s="20" t="s">
        <v>263</v>
      </c>
      <c r="B386" s="98">
        <v>91628</v>
      </c>
      <c r="C386" s="112"/>
      <c r="D386" s="142">
        <f>360000</f>
        <v>360000</v>
      </c>
      <c r="E386" s="84"/>
      <c r="F386" s="190">
        <f t="shared" si="124"/>
        <v>360000</v>
      </c>
      <c r="G386" s="74">
        <f>19500</f>
        <v>19500</v>
      </c>
      <c r="H386" s="235"/>
      <c r="I386" s="208">
        <f t="shared" si="125"/>
        <v>379500</v>
      </c>
      <c r="J386" s="257">
        <f>-158500</f>
        <v>-158500</v>
      </c>
      <c r="K386" s="235"/>
      <c r="L386" s="208">
        <f t="shared" si="126"/>
        <v>221000</v>
      </c>
      <c r="M386" s="260"/>
      <c r="N386" s="235"/>
      <c r="O386" s="208">
        <f t="shared" si="127"/>
        <v>221000</v>
      </c>
      <c r="P386" s="292"/>
      <c r="Q386" s="167">
        <f t="shared" si="128"/>
        <v>221000</v>
      </c>
    </row>
    <row r="387" spans="1:17" ht="12.75">
      <c r="A387" s="20" t="s">
        <v>284</v>
      </c>
      <c r="B387" s="98">
        <v>91628</v>
      </c>
      <c r="C387" s="112"/>
      <c r="D387" s="142"/>
      <c r="E387" s="84"/>
      <c r="F387" s="190">
        <f t="shared" si="124"/>
        <v>0</v>
      </c>
      <c r="G387" s="74">
        <f>12172.08+390825</f>
        <v>402997.08</v>
      </c>
      <c r="H387" s="235"/>
      <c r="I387" s="208">
        <f t="shared" si="125"/>
        <v>402997.08</v>
      </c>
      <c r="J387" s="257"/>
      <c r="K387" s="235"/>
      <c r="L387" s="208">
        <f t="shared" si="126"/>
        <v>402997.08</v>
      </c>
      <c r="M387" s="260">
        <f>-82000-12172.08</f>
        <v>-94172.08</v>
      </c>
      <c r="N387" s="235"/>
      <c r="O387" s="208">
        <f t="shared" si="127"/>
        <v>308825</v>
      </c>
      <c r="P387" s="292"/>
      <c r="Q387" s="167">
        <f t="shared" si="128"/>
        <v>308825</v>
      </c>
    </row>
    <row r="388" spans="1:17" ht="12.75" hidden="1">
      <c r="A388" s="20" t="s">
        <v>186</v>
      </c>
      <c r="B388" s="57"/>
      <c r="C388" s="112"/>
      <c r="D388" s="142"/>
      <c r="E388" s="84"/>
      <c r="F388" s="190">
        <f t="shared" si="124"/>
        <v>0</v>
      </c>
      <c r="G388" s="74"/>
      <c r="H388" s="235"/>
      <c r="I388" s="208">
        <f t="shared" si="125"/>
        <v>0</v>
      </c>
      <c r="J388" s="257"/>
      <c r="K388" s="235"/>
      <c r="L388" s="208">
        <f t="shared" si="126"/>
        <v>0</v>
      </c>
      <c r="M388" s="260"/>
      <c r="N388" s="235"/>
      <c r="O388" s="208">
        <f t="shared" si="127"/>
        <v>0</v>
      </c>
      <c r="P388" s="292"/>
      <c r="Q388" s="167">
        <f t="shared" si="128"/>
        <v>0</v>
      </c>
    </row>
    <row r="389" spans="1:17" ht="12.75">
      <c r="A389" s="20" t="s">
        <v>159</v>
      </c>
      <c r="B389" s="57"/>
      <c r="C389" s="112">
        <f>SUM(C390:C403)</f>
        <v>359849.33</v>
      </c>
      <c r="D389" s="102">
        <f aca="true" t="shared" si="129" ref="D389:Q389">SUM(D390:D403)</f>
        <v>891637.71</v>
      </c>
      <c r="E389" s="73">
        <f t="shared" si="129"/>
        <v>0</v>
      </c>
      <c r="F389" s="190">
        <f t="shared" si="129"/>
        <v>1251487.04</v>
      </c>
      <c r="G389" s="74">
        <f t="shared" si="129"/>
        <v>118791.67000000003</v>
      </c>
      <c r="H389" s="235">
        <f t="shared" si="129"/>
        <v>4588.88</v>
      </c>
      <c r="I389" s="208">
        <f t="shared" si="129"/>
        <v>1374867.59</v>
      </c>
      <c r="J389" s="257">
        <f t="shared" si="129"/>
        <v>32317.860000000015</v>
      </c>
      <c r="K389" s="235">
        <f t="shared" si="129"/>
        <v>13619.4</v>
      </c>
      <c r="L389" s="208">
        <f t="shared" si="129"/>
        <v>1420804.85</v>
      </c>
      <c r="M389" s="257">
        <f t="shared" si="129"/>
        <v>328068.29</v>
      </c>
      <c r="N389" s="235">
        <f t="shared" si="129"/>
        <v>0</v>
      </c>
      <c r="O389" s="208">
        <f t="shared" si="129"/>
        <v>1748873.14</v>
      </c>
      <c r="P389" s="102">
        <f t="shared" si="129"/>
        <v>0</v>
      </c>
      <c r="Q389" s="151">
        <f t="shared" si="129"/>
        <v>1748873.14</v>
      </c>
    </row>
    <row r="390" spans="1:17" ht="12.75">
      <c r="A390" s="16" t="s">
        <v>198</v>
      </c>
      <c r="B390" s="57"/>
      <c r="C390" s="117">
        <v>1500</v>
      </c>
      <c r="D390" s="142"/>
      <c r="E390" s="73"/>
      <c r="F390" s="190">
        <f>C390+D390+E390</f>
        <v>1500</v>
      </c>
      <c r="G390" s="74"/>
      <c r="H390" s="235"/>
      <c r="I390" s="208">
        <f t="shared" si="125"/>
        <v>1500</v>
      </c>
      <c r="J390" s="257"/>
      <c r="K390" s="235"/>
      <c r="L390" s="208">
        <f t="shared" si="126"/>
        <v>1500</v>
      </c>
      <c r="M390" s="260"/>
      <c r="N390" s="235"/>
      <c r="O390" s="208">
        <f t="shared" si="127"/>
        <v>1500</v>
      </c>
      <c r="P390" s="292"/>
      <c r="Q390" s="167">
        <f t="shared" si="128"/>
        <v>1500</v>
      </c>
    </row>
    <row r="391" spans="1:17" ht="12.75">
      <c r="A391" s="16" t="s">
        <v>166</v>
      </c>
      <c r="B391" s="57"/>
      <c r="C391" s="117">
        <v>10000</v>
      </c>
      <c r="D391" s="142">
        <f>92311.3+1000</f>
        <v>93311.3</v>
      </c>
      <c r="E391" s="73"/>
      <c r="F391" s="190">
        <f>C391+D391+E391</f>
        <v>103311.3</v>
      </c>
      <c r="G391" s="74">
        <f>-108.9+1186.41-274.76-980</f>
        <v>-177.25</v>
      </c>
      <c r="H391" s="235"/>
      <c r="I391" s="208">
        <f t="shared" si="125"/>
        <v>103134.05</v>
      </c>
      <c r="J391" s="257">
        <f>11.34+379.46-981.69-7300</f>
        <v>-7890.89</v>
      </c>
      <c r="K391" s="235"/>
      <c r="L391" s="208">
        <f t="shared" si="126"/>
        <v>95243.16</v>
      </c>
      <c r="M391" s="260"/>
      <c r="N391" s="235"/>
      <c r="O391" s="208">
        <f t="shared" si="127"/>
        <v>95243.16</v>
      </c>
      <c r="P391" s="292"/>
      <c r="Q391" s="167">
        <f t="shared" si="128"/>
        <v>95243.16</v>
      </c>
    </row>
    <row r="392" spans="1:17" ht="12.75">
      <c r="A392" s="16" t="s">
        <v>276</v>
      </c>
      <c r="B392" s="57"/>
      <c r="C392" s="117">
        <v>5000</v>
      </c>
      <c r="D392" s="142">
        <f>5229</f>
        <v>5229</v>
      </c>
      <c r="E392" s="73"/>
      <c r="F392" s="190">
        <f>C392+D392+E392</f>
        <v>10229</v>
      </c>
      <c r="G392" s="74"/>
      <c r="H392" s="235"/>
      <c r="I392" s="208">
        <f t="shared" si="125"/>
        <v>10229</v>
      </c>
      <c r="J392" s="257"/>
      <c r="K392" s="235"/>
      <c r="L392" s="208">
        <f t="shared" si="126"/>
        <v>10229</v>
      </c>
      <c r="M392" s="260"/>
      <c r="N392" s="235"/>
      <c r="O392" s="208">
        <f t="shared" si="127"/>
        <v>10229</v>
      </c>
      <c r="P392" s="292"/>
      <c r="Q392" s="167">
        <f t="shared" si="128"/>
        <v>10229</v>
      </c>
    </row>
    <row r="393" spans="1:17" ht="12.75" hidden="1">
      <c r="A393" s="16" t="s">
        <v>296</v>
      </c>
      <c r="B393" s="57"/>
      <c r="C393" s="117"/>
      <c r="D393" s="142"/>
      <c r="E393" s="73"/>
      <c r="F393" s="190">
        <f>C393+D393+E393</f>
        <v>0</v>
      </c>
      <c r="G393" s="74"/>
      <c r="H393" s="235"/>
      <c r="I393" s="208">
        <f t="shared" si="125"/>
        <v>0</v>
      </c>
      <c r="J393" s="257"/>
      <c r="K393" s="235"/>
      <c r="L393" s="208">
        <f t="shared" si="126"/>
        <v>0</v>
      </c>
      <c r="M393" s="260"/>
      <c r="N393" s="235"/>
      <c r="O393" s="208">
        <f t="shared" si="127"/>
        <v>0</v>
      </c>
      <c r="P393" s="292"/>
      <c r="Q393" s="167">
        <f t="shared" si="128"/>
        <v>0</v>
      </c>
    </row>
    <row r="394" spans="1:17" ht="12.75" hidden="1">
      <c r="A394" s="16" t="s">
        <v>245</v>
      </c>
      <c r="B394" s="57"/>
      <c r="C394" s="117"/>
      <c r="D394" s="142"/>
      <c r="E394" s="73"/>
      <c r="F394" s="190">
        <f t="shared" si="124"/>
        <v>0</v>
      </c>
      <c r="G394" s="74"/>
      <c r="H394" s="235"/>
      <c r="I394" s="208">
        <f t="shared" si="125"/>
        <v>0</v>
      </c>
      <c r="J394" s="257"/>
      <c r="K394" s="235"/>
      <c r="L394" s="208">
        <f t="shared" si="126"/>
        <v>0</v>
      </c>
      <c r="M394" s="260"/>
      <c r="N394" s="235"/>
      <c r="O394" s="208">
        <f t="shared" si="127"/>
        <v>0</v>
      </c>
      <c r="P394" s="292"/>
      <c r="Q394" s="167">
        <f t="shared" si="128"/>
        <v>0</v>
      </c>
    </row>
    <row r="395" spans="1:17" ht="12.75">
      <c r="A395" s="16" t="s">
        <v>210</v>
      </c>
      <c r="B395" s="57"/>
      <c r="C395" s="117">
        <v>120000</v>
      </c>
      <c r="D395" s="142">
        <f>76570.33+14500-6449.08+50000</f>
        <v>134621.25</v>
      </c>
      <c r="E395" s="73"/>
      <c r="F395" s="190">
        <f t="shared" si="124"/>
        <v>254621.25</v>
      </c>
      <c r="G395" s="74">
        <f>35000+2173.09</f>
        <v>37173.09</v>
      </c>
      <c r="H395" s="235"/>
      <c r="I395" s="208">
        <f t="shared" si="125"/>
        <v>291794.33999999997</v>
      </c>
      <c r="J395" s="257">
        <f>-10000+25000</f>
        <v>15000</v>
      </c>
      <c r="K395" s="235"/>
      <c r="L395" s="208">
        <f t="shared" si="126"/>
        <v>306794.33999999997</v>
      </c>
      <c r="M395" s="260">
        <f>16118.74+3175.81+155668.24+11771.07-2173.09</f>
        <v>184560.77</v>
      </c>
      <c r="N395" s="235"/>
      <c r="O395" s="208">
        <f t="shared" si="127"/>
        <v>491355.11</v>
      </c>
      <c r="P395" s="292"/>
      <c r="Q395" s="167">
        <f t="shared" si="128"/>
        <v>491355.11</v>
      </c>
    </row>
    <row r="396" spans="1:17" ht="12.75">
      <c r="A396" s="16" t="s">
        <v>165</v>
      </c>
      <c r="B396" s="57"/>
      <c r="C396" s="117">
        <v>32130</v>
      </c>
      <c r="D396" s="142">
        <f>-700+7984.48+1348.06+83.43+29.04+3463.62+41.14+2772.35+1052.12+3620.21-5109.34+23.23</f>
        <v>14608.34</v>
      </c>
      <c r="E396" s="73"/>
      <c r="F396" s="190">
        <f t="shared" si="124"/>
        <v>46738.34</v>
      </c>
      <c r="G396" s="74">
        <f>86.52+1130.22+41.14+856.23+23.23+2780.7+181.5+4948.57+23.23+160.93+1257.52+7175.11+48.5+1105.72+5829.13+1391.5</f>
        <v>27039.750000000004</v>
      </c>
      <c r="H396" s="235">
        <f>4588.88</f>
        <v>4588.88</v>
      </c>
      <c r="I396" s="208">
        <f t="shared" si="125"/>
        <v>78366.97</v>
      </c>
      <c r="J396" s="257">
        <f>40.66+41.14+1544.55+60.26+1947.32+31.46+1159.16+23.23+5513.06+1358.25+960.73+2303.6+7369.61-7175.11</f>
        <v>15177.919999999998</v>
      </c>
      <c r="K396" s="235">
        <f>13619.4</f>
        <v>13619.4</v>
      </c>
      <c r="L396" s="208">
        <f t="shared" si="126"/>
        <v>107164.29</v>
      </c>
      <c r="M396" s="260">
        <f>1178.89+2103.29+1114+5275.69+7233.44+2087.5+2183.09+26710.61+116.9+908.05+182.68+947.62+1637.21</f>
        <v>51678.97</v>
      </c>
      <c r="N396" s="235"/>
      <c r="O396" s="208">
        <f t="shared" si="127"/>
        <v>158843.26</v>
      </c>
      <c r="P396" s="292"/>
      <c r="Q396" s="167">
        <f t="shared" si="128"/>
        <v>158843.26</v>
      </c>
    </row>
    <row r="397" spans="1:17" ht="13.5" thickBot="1">
      <c r="A397" s="311" t="s">
        <v>168</v>
      </c>
      <c r="B397" s="300"/>
      <c r="C397" s="313">
        <v>15030</v>
      </c>
      <c r="D397" s="310">
        <f>-530+90916.15</f>
        <v>90386.15</v>
      </c>
      <c r="E397" s="303"/>
      <c r="F397" s="304">
        <f t="shared" si="124"/>
        <v>105416.15</v>
      </c>
      <c r="G397" s="305">
        <f>668.91-500-5000-20000+370.24</f>
        <v>-24460.85</v>
      </c>
      <c r="H397" s="306"/>
      <c r="I397" s="307">
        <f t="shared" si="125"/>
        <v>80955.29999999999</v>
      </c>
      <c r="J397" s="308">
        <f>370.46</f>
        <v>370.46</v>
      </c>
      <c r="K397" s="306"/>
      <c r="L397" s="307">
        <f t="shared" si="126"/>
        <v>81325.76</v>
      </c>
      <c r="M397" s="312"/>
      <c r="N397" s="306"/>
      <c r="O397" s="307">
        <f t="shared" si="127"/>
        <v>81325.76</v>
      </c>
      <c r="P397" s="292"/>
      <c r="Q397" s="167">
        <f t="shared" si="128"/>
        <v>81325.76</v>
      </c>
    </row>
    <row r="398" spans="1:17" ht="12.75">
      <c r="A398" s="16" t="s">
        <v>172</v>
      </c>
      <c r="B398" s="57"/>
      <c r="C398" s="117">
        <v>29900</v>
      </c>
      <c r="D398" s="142">
        <f>5303.09+37101.69+4498.66+24270</f>
        <v>71173.44</v>
      </c>
      <c r="E398" s="73"/>
      <c r="F398" s="190">
        <f t="shared" si="124"/>
        <v>101073.44</v>
      </c>
      <c r="G398" s="74">
        <f>1508.27+55.06-150+5684+17500+47500+8000+20000</f>
        <v>100097.33</v>
      </c>
      <c r="H398" s="235"/>
      <c r="I398" s="208">
        <f t="shared" si="125"/>
        <v>201170.77000000002</v>
      </c>
      <c r="J398" s="260">
        <f>854.15+25000</f>
        <v>25854.15</v>
      </c>
      <c r="K398" s="235"/>
      <c r="L398" s="208">
        <f t="shared" si="126"/>
        <v>227024.92</v>
      </c>
      <c r="M398" s="260">
        <f>30676.64-72.6</f>
        <v>30604.04</v>
      </c>
      <c r="N398" s="235"/>
      <c r="O398" s="208">
        <f t="shared" si="127"/>
        <v>257628.96000000002</v>
      </c>
      <c r="P398" s="292"/>
      <c r="Q398" s="167">
        <f t="shared" si="128"/>
        <v>257628.96000000002</v>
      </c>
    </row>
    <row r="399" spans="1:17" ht="12.75">
      <c r="A399" s="16" t="s">
        <v>171</v>
      </c>
      <c r="B399" s="57"/>
      <c r="C399" s="117">
        <v>46200</v>
      </c>
      <c r="D399" s="102">
        <f>111229.84+1787.28+1140.79+2788.49+2538.29</f>
        <v>119484.68999999999</v>
      </c>
      <c r="E399" s="73"/>
      <c r="F399" s="190">
        <f t="shared" si="124"/>
        <v>165684.69</v>
      </c>
      <c r="G399" s="74">
        <f>222.33+4827.41+3484.44+48.4+2262.04+291.51+2915.35+384.44+2533.28+4735.91-10474.59+20000</f>
        <v>31230.52</v>
      </c>
      <c r="H399" s="235"/>
      <c r="I399" s="208">
        <f t="shared" si="125"/>
        <v>196915.21</v>
      </c>
      <c r="J399" s="257">
        <f>1894.44+3794.41+266.2+121+271.67+1460.85+1957.5+12095.31+2127.17+2216.3-4000</f>
        <v>22204.849999999995</v>
      </c>
      <c r="K399" s="235"/>
      <c r="L399" s="208">
        <f t="shared" si="126"/>
        <v>219120.06</v>
      </c>
      <c r="M399" s="260">
        <f>3268.49+479.08+624.43+497.34+154.28+0.02-4404.45+2409.76+1390.72</f>
        <v>4419.670000000001</v>
      </c>
      <c r="N399" s="235"/>
      <c r="O399" s="208">
        <f t="shared" si="127"/>
        <v>223539.73</v>
      </c>
      <c r="P399" s="292"/>
      <c r="Q399" s="167">
        <f t="shared" si="128"/>
        <v>223539.73</v>
      </c>
    </row>
    <row r="400" spans="1:17" ht="12.75" hidden="1">
      <c r="A400" s="16" t="s">
        <v>282</v>
      </c>
      <c r="B400" s="57"/>
      <c r="C400" s="117"/>
      <c r="D400" s="102"/>
      <c r="E400" s="73"/>
      <c r="F400" s="190">
        <f t="shared" si="124"/>
        <v>0</v>
      </c>
      <c r="G400" s="74"/>
      <c r="H400" s="235"/>
      <c r="I400" s="208">
        <f t="shared" si="125"/>
        <v>0</v>
      </c>
      <c r="J400" s="257"/>
      <c r="K400" s="235"/>
      <c r="L400" s="208">
        <f t="shared" si="126"/>
        <v>0</v>
      </c>
      <c r="M400" s="260"/>
      <c r="N400" s="235"/>
      <c r="O400" s="208">
        <f t="shared" si="127"/>
        <v>0</v>
      </c>
      <c r="P400" s="292"/>
      <c r="Q400" s="167">
        <f t="shared" si="128"/>
        <v>0</v>
      </c>
    </row>
    <row r="401" spans="1:17" ht="12.75">
      <c r="A401" s="16" t="s">
        <v>253</v>
      </c>
      <c r="B401" s="57">
        <v>2088</v>
      </c>
      <c r="C401" s="117"/>
      <c r="D401" s="102">
        <f>1620.82+51333.31</f>
        <v>52954.13</v>
      </c>
      <c r="E401" s="73"/>
      <c r="F401" s="190">
        <f t="shared" si="124"/>
        <v>52954.13</v>
      </c>
      <c r="G401" s="74">
        <f>56521.93</f>
        <v>56521.93</v>
      </c>
      <c r="H401" s="235"/>
      <c r="I401" s="208">
        <f t="shared" si="125"/>
        <v>109476.06</v>
      </c>
      <c r="J401" s="257">
        <f>35904.66</f>
        <v>35904.66</v>
      </c>
      <c r="K401" s="235"/>
      <c r="L401" s="208">
        <f t="shared" si="126"/>
        <v>145380.72</v>
      </c>
      <c r="M401" s="260">
        <f>121639.93-155668.24</f>
        <v>-34028.31</v>
      </c>
      <c r="N401" s="235"/>
      <c r="O401" s="208">
        <f t="shared" si="127"/>
        <v>111352.41</v>
      </c>
      <c r="P401" s="292"/>
      <c r="Q401" s="167">
        <f t="shared" si="128"/>
        <v>111352.41</v>
      </c>
    </row>
    <row r="402" spans="1:17" ht="12.75">
      <c r="A402" s="20" t="s">
        <v>220</v>
      </c>
      <c r="B402" s="57">
        <v>2077</v>
      </c>
      <c r="C402" s="117">
        <v>100089.33</v>
      </c>
      <c r="D402" s="102">
        <f>183392.29-1000-3900-36.44-7132.51-1338.77-49.4-13.79-1746.12-29.52-2758.22-491.12-3608.52+6449.08+4741.14+404.5-13.94-100-50000-400</f>
        <v>122368.66000000003</v>
      </c>
      <c r="E402" s="73"/>
      <c r="F402" s="190">
        <f t="shared" si="124"/>
        <v>222457.99000000005</v>
      </c>
      <c r="G402" s="74">
        <f>-51.91-569.78-29.52-53.11-513.74-13.94-1401.84-229.9-15219.74-2494.73-13.94-160.93+3314.05-633.96-105.02-339.5-4155.58-4000-663.43-103.63-2938.65</f>
        <v>-30378.8</v>
      </c>
      <c r="H402" s="235"/>
      <c r="I402" s="208">
        <f t="shared" si="125"/>
        <v>192079.19000000006</v>
      </c>
      <c r="J402" s="257">
        <f>-738.33-19.17-29.53-266.2-121-926.73-24.32-1947.32-114.19-13444.34-31.46-728.07-13.94-3175.48-814.95+4156.41-1230.55-960.73-1382.16-5636.34</f>
        <v>-27448.399999999998</v>
      </c>
      <c r="K402" s="235"/>
      <c r="L402" s="208">
        <f t="shared" si="126"/>
        <v>164630.79000000007</v>
      </c>
      <c r="M402" s="260">
        <f>-740.46-1180.34-699.7-5236.97-7208.43-1252.5-1567.79-584.97-182.68-595.2-1637.21</f>
        <v>-20886.250000000004</v>
      </c>
      <c r="N402" s="235"/>
      <c r="O402" s="208">
        <f t="shared" si="127"/>
        <v>143744.54000000007</v>
      </c>
      <c r="P402" s="292"/>
      <c r="Q402" s="167">
        <f t="shared" si="128"/>
        <v>143744.54000000007</v>
      </c>
    </row>
    <row r="403" spans="1:17" ht="12.75">
      <c r="A403" s="26" t="s">
        <v>254</v>
      </c>
      <c r="B403" s="60">
        <v>2099</v>
      </c>
      <c r="C403" s="181"/>
      <c r="D403" s="172">
        <f>13200+106180.49+3900+34500-2000-4000-37101.69-206.47-10630.94-9.29-34.03-15.25-1787.28-1140.79-1717.5-11.62-14.13+1016.76-2445.98-2782.99-1052.12-4498.66-11.69-2788.49+500+3000-2538.29-9.29+50000+50000</f>
        <v>187500.75</v>
      </c>
      <c r="E403" s="81"/>
      <c r="F403" s="195">
        <f t="shared" si="124"/>
        <v>187500.75</v>
      </c>
      <c r="G403" s="226">
        <f>636.11+179.45+185.45-55.06+13713.98+18707.82-34.61-560.44-11.62-300.94-4827.41-3484.44-342.49-9.29-1378.86-1674.49-2262.04-291.51-668.91-2915.35-1000-82279.84-2453.84-9.29+750+550+1127.46-384.44-2533.28-623.56-4735.91-595.09+1600.68+1337.82-389.09-442.29-932.65-300-2890.48+1344.4</f>
        <v>-78254.04999999997</v>
      </c>
      <c r="H403" s="241">
        <f>-4610.66+4610.66</f>
        <v>0</v>
      </c>
      <c r="I403" s="213">
        <f t="shared" si="125"/>
        <v>109246.70000000003</v>
      </c>
      <c r="J403" s="264">
        <f>-2000-1351.38-4172.83-1894.44-3794.41-394.74-21.49-11.61-617.82-35.94-271.67-5.49-647.07-1500-76184.59-1460.85-1957.5-12095.31-431.09-9.29-2337.58-543.3+47365.51+90.64+13.38+1052.12+457.69+19982.75+19379.21+22.33-6954.72-43.52-921.44-1733.27-2127.17+1300-5000-200-2800-5000</f>
        <v>-46854.889999999985</v>
      </c>
      <c r="K403" s="241">
        <f>-13641.18+13641.18</f>
        <v>0</v>
      </c>
      <c r="L403" s="213">
        <f t="shared" si="126"/>
        <v>62391.81000000004</v>
      </c>
      <c r="M403" s="283">
        <f>994.87-3268.49-479.08-438.43-922.95-2000-414.3-38.72-624.43-25.01-835-615.3-76.5-411.4-497.34-26850.97+26850.97-116.9+116.9+49.01+6313.95-323.08-30676.64+21.89+6029.17+2662.98-352.42-154.28+85.3-20000-6000-5000+1220.82+171295.26-2409.76-1390.72</f>
        <v>111719.40000000001</v>
      </c>
      <c r="N403" s="241"/>
      <c r="O403" s="213">
        <f t="shared" si="127"/>
        <v>174111.21000000005</v>
      </c>
      <c r="P403" s="295"/>
      <c r="Q403" s="168">
        <f t="shared" si="128"/>
        <v>174111.21000000005</v>
      </c>
    </row>
    <row r="404" spans="1:17" ht="12.75">
      <c r="A404" s="13" t="s">
        <v>85</v>
      </c>
      <c r="B404" s="61"/>
      <c r="C404" s="111">
        <f aca="true" t="shared" si="130" ref="C404:Q404">C405+C436</f>
        <v>371434</v>
      </c>
      <c r="D404" s="92">
        <f t="shared" si="130"/>
        <v>1602417.67</v>
      </c>
      <c r="E404" s="72">
        <f t="shared" si="130"/>
        <v>0</v>
      </c>
      <c r="F404" s="189">
        <f t="shared" si="130"/>
        <v>1973851.6700000002</v>
      </c>
      <c r="G404" s="71">
        <f t="shared" si="130"/>
        <v>8301.439999999999</v>
      </c>
      <c r="H404" s="234">
        <f t="shared" si="130"/>
        <v>0</v>
      </c>
      <c r="I404" s="207">
        <f t="shared" si="130"/>
        <v>1982153.1099999999</v>
      </c>
      <c r="J404" s="256">
        <f t="shared" si="130"/>
        <v>31938.64</v>
      </c>
      <c r="K404" s="234">
        <f t="shared" si="130"/>
        <v>0</v>
      </c>
      <c r="L404" s="207">
        <f t="shared" si="130"/>
        <v>2014091.75</v>
      </c>
      <c r="M404" s="256">
        <f>M405+M436</f>
        <v>26834.8</v>
      </c>
      <c r="N404" s="234">
        <f t="shared" si="130"/>
        <v>0</v>
      </c>
      <c r="O404" s="207">
        <f t="shared" si="130"/>
        <v>2040926.5499999998</v>
      </c>
      <c r="P404" s="92">
        <f t="shared" si="130"/>
        <v>0</v>
      </c>
      <c r="Q404" s="150">
        <f t="shared" si="130"/>
        <v>1835224.9599999997</v>
      </c>
    </row>
    <row r="405" spans="1:17" ht="12.75">
      <c r="A405" s="22" t="s">
        <v>48</v>
      </c>
      <c r="B405" s="61"/>
      <c r="C405" s="115">
        <f aca="true" t="shared" si="131" ref="C405:Q405">SUM(C407:C435)</f>
        <v>371434</v>
      </c>
      <c r="D405" s="105">
        <f t="shared" si="131"/>
        <v>1588097.17</v>
      </c>
      <c r="E405" s="80">
        <f t="shared" si="131"/>
        <v>0</v>
      </c>
      <c r="F405" s="193">
        <f t="shared" si="131"/>
        <v>1959531.1700000002</v>
      </c>
      <c r="G405" s="79">
        <f t="shared" si="131"/>
        <v>1765.1599999999999</v>
      </c>
      <c r="H405" s="239">
        <f t="shared" si="131"/>
        <v>0</v>
      </c>
      <c r="I405" s="211">
        <f t="shared" si="131"/>
        <v>1961296.3299999998</v>
      </c>
      <c r="J405" s="262">
        <f t="shared" si="131"/>
        <v>31938.64</v>
      </c>
      <c r="K405" s="239">
        <f t="shared" si="131"/>
        <v>0</v>
      </c>
      <c r="L405" s="211">
        <f t="shared" si="131"/>
        <v>1993234.97</v>
      </c>
      <c r="M405" s="262">
        <f t="shared" si="131"/>
        <v>26834.8</v>
      </c>
      <c r="N405" s="239">
        <f t="shared" si="131"/>
        <v>0</v>
      </c>
      <c r="O405" s="211">
        <f t="shared" si="131"/>
        <v>2020069.7699999998</v>
      </c>
      <c r="P405" s="105">
        <f t="shared" si="131"/>
        <v>0</v>
      </c>
      <c r="Q405" s="154">
        <f t="shared" si="131"/>
        <v>1814368.1799999997</v>
      </c>
    </row>
    <row r="406" spans="1:17" ht="12.75">
      <c r="A406" s="18" t="s">
        <v>26</v>
      </c>
      <c r="B406" s="57"/>
      <c r="C406" s="112"/>
      <c r="D406" s="102"/>
      <c r="E406" s="73"/>
      <c r="F406" s="190"/>
      <c r="G406" s="74"/>
      <c r="H406" s="235"/>
      <c r="I406" s="208"/>
      <c r="J406" s="257"/>
      <c r="K406" s="235"/>
      <c r="L406" s="208"/>
      <c r="M406" s="257"/>
      <c r="N406" s="235"/>
      <c r="O406" s="208"/>
      <c r="P406" s="292"/>
      <c r="Q406" s="167"/>
    </row>
    <row r="407" spans="1:17" ht="12.75">
      <c r="A407" s="127" t="s">
        <v>86</v>
      </c>
      <c r="B407" s="63"/>
      <c r="C407" s="112">
        <v>286700</v>
      </c>
      <c r="D407" s="102">
        <f>23000</f>
        <v>23000</v>
      </c>
      <c r="E407" s="73"/>
      <c r="F407" s="132">
        <f aca="true" t="shared" si="132" ref="F407:F435">C407+D407+E407</f>
        <v>309700</v>
      </c>
      <c r="G407" s="74"/>
      <c r="H407" s="235"/>
      <c r="I407" s="208">
        <f>F407+G407+H407</f>
        <v>309700</v>
      </c>
      <c r="J407" s="257"/>
      <c r="K407" s="235"/>
      <c r="L407" s="208">
        <f>I407+J407+K407</f>
        <v>309700</v>
      </c>
      <c r="M407" s="257">
        <f>-78482.33</f>
        <v>-78482.33</v>
      </c>
      <c r="N407" s="235"/>
      <c r="O407" s="208">
        <f>L407+M407+N407</f>
        <v>231217.66999999998</v>
      </c>
      <c r="P407" s="292"/>
      <c r="Q407" s="167">
        <f>O407+P407</f>
        <v>231217.66999999998</v>
      </c>
    </row>
    <row r="408" spans="1:17" ht="12.75" hidden="1">
      <c r="A408" s="58" t="s">
        <v>191</v>
      </c>
      <c r="B408" s="63"/>
      <c r="C408" s="112"/>
      <c r="D408" s="102"/>
      <c r="E408" s="73"/>
      <c r="F408" s="190">
        <f t="shared" si="132"/>
        <v>0</v>
      </c>
      <c r="G408" s="74"/>
      <c r="H408" s="235"/>
      <c r="I408" s="208">
        <f aca="true" t="shared" si="133" ref="I408:I435">F408+G408+H408</f>
        <v>0</v>
      </c>
      <c r="J408" s="257"/>
      <c r="K408" s="235"/>
      <c r="L408" s="208">
        <f aca="true" t="shared" si="134" ref="L408:L435">I408+J408+K408</f>
        <v>0</v>
      </c>
      <c r="M408" s="257"/>
      <c r="N408" s="235"/>
      <c r="O408" s="208">
        <f aca="true" t="shared" si="135" ref="O408:O435">L408+M408+N408</f>
        <v>0</v>
      </c>
      <c r="P408" s="292"/>
      <c r="Q408" s="167">
        <f aca="true" t="shared" si="136" ref="Q408:Q435">O408+P408</f>
        <v>0</v>
      </c>
    </row>
    <row r="409" spans="1:17" ht="12.75" hidden="1">
      <c r="A409" s="16" t="s">
        <v>136</v>
      </c>
      <c r="B409" s="57"/>
      <c r="C409" s="112"/>
      <c r="D409" s="102"/>
      <c r="E409" s="73"/>
      <c r="F409" s="190">
        <f t="shared" si="132"/>
        <v>0</v>
      </c>
      <c r="G409" s="74"/>
      <c r="H409" s="235"/>
      <c r="I409" s="208">
        <f t="shared" si="133"/>
        <v>0</v>
      </c>
      <c r="J409" s="257"/>
      <c r="K409" s="235"/>
      <c r="L409" s="208">
        <f t="shared" si="134"/>
        <v>0</v>
      </c>
      <c r="M409" s="257"/>
      <c r="N409" s="235"/>
      <c r="O409" s="208">
        <f t="shared" si="135"/>
        <v>0</v>
      </c>
      <c r="P409" s="292"/>
      <c r="Q409" s="167">
        <f t="shared" si="136"/>
        <v>0</v>
      </c>
    </row>
    <row r="410" spans="1:17" ht="12.75">
      <c r="A410" s="16" t="s">
        <v>152</v>
      </c>
      <c r="B410" s="57"/>
      <c r="C410" s="112">
        <v>70000</v>
      </c>
      <c r="D410" s="102">
        <f>-981+5192.63</f>
        <v>4211.63</v>
      </c>
      <c r="E410" s="73"/>
      <c r="F410" s="190">
        <f t="shared" si="132"/>
        <v>74211.63</v>
      </c>
      <c r="G410" s="74">
        <f>822.03-180</f>
        <v>642.03</v>
      </c>
      <c r="H410" s="235"/>
      <c r="I410" s="208">
        <f t="shared" si="133"/>
        <v>74853.66</v>
      </c>
      <c r="J410" s="257">
        <f>-200-60</f>
        <v>-260</v>
      </c>
      <c r="K410" s="235"/>
      <c r="L410" s="208">
        <f t="shared" si="134"/>
        <v>74593.66</v>
      </c>
      <c r="M410" s="257">
        <f>78482.33</f>
        <v>78482.33</v>
      </c>
      <c r="N410" s="235"/>
      <c r="O410" s="208">
        <f t="shared" si="135"/>
        <v>153075.99</v>
      </c>
      <c r="P410" s="292"/>
      <c r="Q410" s="167">
        <f t="shared" si="136"/>
        <v>153075.99</v>
      </c>
    </row>
    <row r="411" spans="1:17" ht="12.75">
      <c r="A411" s="16" t="s">
        <v>50</v>
      </c>
      <c r="B411" s="57"/>
      <c r="C411" s="112">
        <v>14244</v>
      </c>
      <c r="D411" s="102">
        <f>-5500</f>
        <v>-5500</v>
      </c>
      <c r="E411" s="73"/>
      <c r="F411" s="190">
        <f t="shared" si="132"/>
        <v>8744</v>
      </c>
      <c r="G411" s="74"/>
      <c r="H411" s="235"/>
      <c r="I411" s="208">
        <f t="shared" si="133"/>
        <v>8744</v>
      </c>
      <c r="J411" s="257"/>
      <c r="K411" s="235"/>
      <c r="L411" s="208">
        <f t="shared" si="134"/>
        <v>8744</v>
      </c>
      <c r="M411" s="257">
        <f>950.98</f>
        <v>950.98</v>
      </c>
      <c r="N411" s="235"/>
      <c r="O411" s="208">
        <f t="shared" si="135"/>
        <v>9694.98</v>
      </c>
      <c r="P411" s="292"/>
      <c r="Q411" s="167">
        <f t="shared" si="136"/>
        <v>9694.98</v>
      </c>
    </row>
    <row r="412" spans="1:17" ht="12.75" hidden="1">
      <c r="A412" s="16" t="s">
        <v>62</v>
      </c>
      <c r="B412" s="57"/>
      <c r="C412" s="112"/>
      <c r="D412" s="102"/>
      <c r="E412" s="73"/>
      <c r="F412" s="190">
        <f t="shared" si="132"/>
        <v>0</v>
      </c>
      <c r="G412" s="74"/>
      <c r="H412" s="235"/>
      <c r="I412" s="208">
        <f t="shared" si="133"/>
        <v>0</v>
      </c>
      <c r="J412" s="257"/>
      <c r="K412" s="235"/>
      <c r="L412" s="208">
        <f t="shared" si="134"/>
        <v>0</v>
      </c>
      <c r="M412" s="257"/>
      <c r="N412" s="235"/>
      <c r="O412" s="208">
        <f t="shared" si="135"/>
        <v>0</v>
      </c>
      <c r="P412" s="292"/>
      <c r="Q412" s="167">
        <f t="shared" si="136"/>
        <v>0</v>
      </c>
    </row>
    <row r="413" spans="1:17" ht="12.75" hidden="1">
      <c r="A413" s="16" t="s">
        <v>241</v>
      </c>
      <c r="B413" s="57">
        <v>13013</v>
      </c>
      <c r="C413" s="112"/>
      <c r="D413" s="102"/>
      <c r="E413" s="73"/>
      <c r="F413" s="190">
        <f t="shared" si="132"/>
        <v>0</v>
      </c>
      <c r="G413" s="74"/>
      <c r="H413" s="235"/>
      <c r="I413" s="208">
        <f t="shared" si="133"/>
        <v>0</v>
      </c>
      <c r="J413" s="257"/>
      <c r="K413" s="235"/>
      <c r="L413" s="208">
        <f t="shared" si="134"/>
        <v>0</v>
      </c>
      <c r="M413" s="257"/>
      <c r="N413" s="235"/>
      <c r="O413" s="208">
        <f t="shared" si="135"/>
        <v>0</v>
      </c>
      <c r="P413" s="292"/>
      <c r="Q413" s="167">
        <f t="shared" si="136"/>
        <v>0</v>
      </c>
    </row>
    <row r="414" spans="1:17" ht="12.75" hidden="1">
      <c r="A414" s="58" t="s">
        <v>293</v>
      </c>
      <c r="B414" s="57">
        <v>2178</v>
      </c>
      <c r="C414" s="112"/>
      <c r="D414" s="102"/>
      <c r="E414" s="73"/>
      <c r="F414" s="190">
        <f t="shared" si="132"/>
        <v>0</v>
      </c>
      <c r="G414" s="74"/>
      <c r="H414" s="235"/>
      <c r="I414" s="208">
        <f t="shared" si="133"/>
        <v>0</v>
      </c>
      <c r="J414" s="257"/>
      <c r="K414" s="235"/>
      <c r="L414" s="208">
        <f t="shared" si="134"/>
        <v>0</v>
      </c>
      <c r="M414" s="257"/>
      <c r="N414" s="235"/>
      <c r="O414" s="208">
        <f t="shared" si="135"/>
        <v>0</v>
      </c>
      <c r="P414" s="292"/>
      <c r="Q414" s="167">
        <f t="shared" si="136"/>
        <v>0</v>
      </c>
    </row>
    <row r="415" spans="1:17" ht="12.75" hidden="1">
      <c r="A415" s="16" t="s">
        <v>294</v>
      </c>
      <c r="B415" s="57">
        <v>2073</v>
      </c>
      <c r="C415" s="112"/>
      <c r="D415" s="102"/>
      <c r="E415" s="73"/>
      <c r="F415" s="190">
        <f t="shared" si="132"/>
        <v>0</v>
      </c>
      <c r="G415" s="74"/>
      <c r="H415" s="235"/>
      <c r="I415" s="208">
        <f t="shared" si="133"/>
        <v>0</v>
      </c>
      <c r="J415" s="257"/>
      <c r="K415" s="235"/>
      <c r="L415" s="208">
        <f t="shared" si="134"/>
        <v>0</v>
      </c>
      <c r="M415" s="257"/>
      <c r="N415" s="235"/>
      <c r="O415" s="208">
        <f t="shared" si="135"/>
        <v>0</v>
      </c>
      <c r="P415" s="292"/>
      <c r="Q415" s="167">
        <f t="shared" si="136"/>
        <v>0</v>
      </c>
    </row>
    <row r="416" spans="1:17" ht="12.75" hidden="1">
      <c r="A416" s="16" t="s">
        <v>291</v>
      </c>
      <c r="B416" s="57"/>
      <c r="C416" s="112"/>
      <c r="D416" s="102"/>
      <c r="E416" s="73"/>
      <c r="F416" s="190">
        <f t="shared" si="132"/>
        <v>0</v>
      </c>
      <c r="G416" s="74"/>
      <c r="H416" s="235"/>
      <c r="I416" s="208">
        <f t="shared" si="133"/>
        <v>0</v>
      </c>
      <c r="J416" s="257"/>
      <c r="K416" s="235"/>
      <c r="L416" s="208">
        <f t="shared" si="134"/>
        <v>0</v>
      </c>
      <c r="M416" s="257"/>
      <c r="N416" s="235"/>
      <c r="O416" s="208">
        <f t="shared" si="135"/>
        <v>0</v>
      </c>
      <c r="P416" s="292"/>
      <c r="Q416" s="167">
        <f t="shared" si="136"/>
        <v>0</v>
      </c>
    </row>
    <row r="417" spans="1:17" ht="12.75">
      <c r="A417" s="16" t="s">
        <v>325</v>
      </c>
      <c r="B417" s="57">
        <v>1230</v>
      </c>
      <c r="C417" s="112"/>
      <c r="D417" s="102">
        <f>3334.03</f>
        <v>3334.03</v>
      </c>
      <c r="E417" s="73"/>
      <c r="F417" s="190">
        <f t="shared" si="132"/>
        <v>3334.03</v>
      </c>
      <c r="G417" s="74">
        <f>-2748.43</f>
        <v>-2748.43</v>
      </c>
      <c r="H417" s="235"/>
      <c r="I417" s="208">
        <f t="shared" si="133"/>
        <v>585.6000000000004</v>
      </c>
      <c r="J417" s="257"/>
      <c r="K417" s="235"/>
      <c r="L417" s="208">
        <f t="shared" si="134"/>
        <v>585.6000000000004</v>
      </c>
      <c r="M417" s="257"/>
      <c r="N417" s="235"/>
      <c r="O417" s="208">
        <f t="shared" si="135"/>
        <v>585.6000000000004</v>
      </c>
      <c r="P417" s="292"/>
      <c r="Q417" s="167">
        <f t="shared" si="136"/>
        <v>585.6000000000004</v>
      </c>
    </row>
    <row r="418" spans="1:17" ht="12.75">
      <c r="A418" s="16" t="s">
        <v>326</v>
      </c>
      <c r="B418" s="57">
        <v>1238</v>
      </c>
      <c r="C418" s="112"/>
      <c r="D418" s="102">
        <f>72093.82</f>
        <v>72093.82</v>
      </c>
      <c r="E418" s="73"/>
      <c r="F418" s="190">
        <f t="shared" si="132"/>
        <v>72093.82</v>
      </c>
      <c r="G418" s="74"/>
      <c r="H418" s="235"/>
      <c r="I418" s="208">
        <f t="shared" si="133"/>
        <v>72093.82</v>
      </c>
      <c r="J418" s="257"/>
      <c r="K418" s="235"/>
      <c r="L418" s="208">
        <f t="shared" si="134"/>
        <v>72093.82</v>
      </c>
      <c r="M418" s="257"/>
      <c r="N418" s="235"/>
      <c r="O418" s="208">
        <f t="shared" si="135"/>
        <v>72093.82</v>
      </c>
      <c r="P418" s="292"/>
      <c r="Q418" s="167"/>
    </row>
    <row r="419" spans="1:17" ht="12.75">
      <c r="A419" s="16" t="s">
        <v>304</v>
      </c>
      <c r="B419" s="57"/>
      <c r="C419" s="112"/>
      <c r="D419" s="102">
        <f>47237.11</f>
        <v>47237.11</v>
      </c>
      <c r="E419" s="73"/>
      <c r="F419" s="190">
        <f t="shared" si="132"/>
        <v>47237.11</v>
      </c>
      <c r="G419" s="74"/>
      <c r="H419" s="235"/>
      <c r="I419" s="208">
        <f t="shared" si="133"/>
        <v>47237.11</v>
      </c>
      <c r="J419" s="257">
        <f>24274.87</f>
        <v>24274.87</v>
      </c>
      <c r="K419" s="235"/>
      <c r="L419" s="208">
        <f t="shared" si="134"/>
        <v>71511.98</v>
      </c>
      <c r="M419" s="257">
        <f>12191.02</f>
        <v>12191.02</v>
      </c>
      <c r="N419" s="235"/>
      <c r="O419" s="208">
        <f t="shared" si="135"/>
        <v>83703</v>
      </c>
      <c r="P419" s="292"/>
      <c r="Q419" s="167"/>
    </row>
    <row r="420" spans="1:17" ht="12.75">
      <c r="A420" s="25" t="s">
        <v>305</v>
      </c>
      <c r="B420" s="57">
        <v>2090</v>
      </c>
      <c r="C420" s="112"/>
      <c r="D420" s="102">
        <f>5532.56</f>
        <v>5532.56</v>
      </c>
      <c r="E420" s="73"/>
      <c r="F420" s="190">
        <f t="shared" si="132"/>
        <v>5532.56</v>
      </c>
      <c r="G420" s="74"/>
      <c r="H420" s="235"/>
      <c r="I420" s="208">
        <f t="shared" si="133"/>
        <v>5532.56</v>
      </c>
      <c r="J420" s="257"/>
      <c r="K420" s="235"/>
      <c r="L420" s="208">
        <f t="shared" si="134"/>
        <v>5532.56</v>
      </c>
      <c r="M420" s="257">
        <f>712.02</f>
        <v>712.02</v>
      </c>
      <c r="N420" s="235"/>
      <c r="O420" s="208">
        <f t="shared" si="135"/>
        <v>6244.58</v>
      </c>
      <c r="P420" s="292"/>
      <c r="Q420" s="167"/>
    </row>
    <row r="421" spans="1:17" ht="12.75">
      <c r="A421" s="16" t="s">
        <v>322</v>
      </c>
      <c r="B421" s="57">
        <v>1240</v>
      </c>
      <c r="C421" s="112"/>
      <c r="D421" s="102">
        <f>9050.52</f>
        <v>9050.52</v>
      </c>
      <c r="E421" s="73"/>
      <c r="F421" s="190">
        <f t="shared" si="132"/>
        <v>9050.52</v>
      </c>
      <c r="G421" s="74"/>
      <c r="H421" s="235"/>
      <c r="I421" s="208">
        <f t="shared" si="133"/>
        <v>9050.52</v>
      </c>
      <c r="J421" s="257"/>
      <c r="K421" s="235"/>
      <c r="L421" s="208">
        <f t="shared" si="134"/>
        <v>9050.52</v>
      </c>
      <c r="M421" s="257"/>
      <c r="N421" s="235"/>
      <c r="O421" s="208">
        <f t="shared" si="135"/>
        <v>9050.52</v>
      </c>
      <c r="P421" s="292"/>
      <c r="Q421" s="167">
        <f t="shared" si="136"/>
        <v>9050.52</v>
      </c>
    </row>
    <row r="422" spans="1:17" ht="12.75">
      <c r="A422" s="16" t="s">
        <v>365</v>
      </c>
      <c r="B422" s="57"/>
      <c r="C422" s="112"/>
      <c r="D422" s="102"/>
      <c r="E422" s="73"/>
      <c r="F422" s="190">
        <f t="shared" si="132"/>
        <v>0</v>
      </c>
      <c r="G422" s="74"/>
      <c r="H422" s="235"/>
      <c r="I422" s="208">
        <f t="shared" si="133"/>
        <v>0</v>
      </c>
      <c r="J422" s="257">
        <f>45.65</f>
        <v>45.65</v>
      </c>
      <c r="K422" s="235"/>
      <c r="L422" s="208">
        <f t="shared" si="134"/>
        <v>45.65</v>
      </c>
      <c r="M422" s="257"/>
      <c r="N422" s="235"/>
      <c r="O422" s="208">
        <f t="shared" si="135"/>
        <v>45.65</v>
      </c>
      <c r="P422" s="292"/>
      <c r="Q422" s="167">
        <f t="shared" si="136"/>
        <v>45.65</v>
      </c>
    </row>
    <row r="423" spans="1:17" ht="12.75">
      <c r="A423" s="16" t="s">
        <v>323</v>
      </c>
      <c r="B423" s="57">
        <v>1235</v>
      </c>
      <c r="C423" s="112"/>
      <c r="D423" s="102">
        <f>5055.88</f>
        <v>5055.88</v>
      </c>
      <c r="E423" s="73"/>
      <c r="F423" s="190">
        <f t="shared" si="132"/>
        <v>5055.88</v>
      </c>
      <c r="G423" s="74"/>
      <c r="H423" s="235"/>
      <c r="I423" s="208">
        <f t="shared" si="133"/>
        <v>5055.88</v>
      </c>
      <c r="J423" s="257"/>
      <c r="K423" s="235"/>
      <c r="L423" s="208">
        <f t="shared" si="134"/>
        <v>5055.88</v>
      </c>
      <c r="M423" s="257"/>
      <c r="N423" s="235"/>
      <c r="O423" s="208">
        <f t="shared" si="135"/>
        <v>5055.88</v>
      </c>
      <c r="P423" s="292"/>
      <c r="Q423" s="167"/>
    </row>
    <row r="424" spans="1:17" ht="12.75">
      <c r="A424" s="16" t="s">
        <v>363</v>
      </c>
      <c r="B424" s="57"/>
      <c r="C424" s="112"/>
      <c r="D424" s="102"/>
      <c r="E424" s="73"/>
      <c r="F424" s="190"/>
      <c r="G424" s="74"/>
      <c r="H424" s="235"/>
      <c r="I424" s="208">
        <f t="shared" si="133"/>
        <v>0</v>
      </c>
      <c r="J424" s="257">
        <f>8898.72</f>
        <v>8898.72</v>
      </c>
      <c r="K424" s="235"/>
      <c r="L424" s="208">
        <f t="shared" si="134"/>
        <v>8898.72</v>
      </c>
      <c r="M424" s="257">
        <f>7727.61</f>
        <v>7727.61</v>
      </c>
      <c r="N424" s="235"/>
      <c r="O424" s="208">
        <f t="shared" si="135"/>
        <v>16626.329999999998</v>
      </c>
      <c r="P424" s="292"/>
      <c r="Q424" s="167"/>
    </row>
    <row r="425" spans="1:17" ht="12.75">
      <c r="A425" s="16" t="s">
        <v>324</v>
      </c>
      <c r="B425" s="57">
        <v>1236</v>
      </c>
      <c r="C425" s="112"/>
      <c r="D425" s="102">
        <f>11477.99</f>
        <v>11477.99</v>
      </c>
      <c r="E425" s="73"/>
      <c r="F425" s="190">
        <f t="shared" si="132"/>
        <v>11477.99</v>
      </c>
      <c r="G425" s="74"/>
      <c r="H425" s="235"/>
      <c r="I425" s="208">
        <f t="shared" si="133"/>
        <v>11477.99</v>
      </c>
      <c r="J425" s="257"/>
      <c r="K425" s="235"/>
      <c r="L425" s="208">
        <f t="shared" si="134"/>
        <v>11477.99</v>
      </c>
      <c r="M425" s="257"/>
      <c r="N425" s="235"/>
      <c r="O425" s="208">
        <f t="shared" si="135"/>
        <v>11477.99</v>
      </c>
      <c r="P425" s="292"/>
      <c r="Q425" s="167"/>
    </row>
    <row r="426" spans="1:17" ht="12.75">
      <c r="A426" s="16" t="s">
        <v>345</v>
      </c>
      <c r="B426" s="57"/>
      <c r="C426" s="112"/>
      <c r="D426" s="102"/>
      <c r="E426" s="73"/>
      <c r="F426" s="190">
        <f t="shared" si="132"/>
        <v>0</v>
      </c>
      <c r="G426" s="74">
        <f>1667.33</f>
        <v>1667.33</v>
      </c>
      <c r="H426" s="235"/>
      <c r="I426" s="208">
        <f t="shared" si="133"/>
        <v>1667.33</v>
      </c>
      <c r="J426" s="257"/>
      <c r="K426" s="235"/>
      <c r="L426" s="208">
        <f t="shared" si="134"/>
        <v>1667.33</v>
      </c>
      <c r="M426" s="257">
        <f>3457.85</f>
        <v>3457.85</v>
      </c>
      <c r="N426" s="235"/>
      <c r="O426" s="208">
        <f t="shared" si="135"/>
        <v>5125.18</v>
      </c>
      <c r="P426" s="292"/>
      <c r="Q426" s="167"/>
    </row>
    <row r="427" spans="1:17" ht="12.75">
      <c r="A427" s="25" t="s">
        <v>327</v>
      </c>
      <c r="B427" s="57">
        <v>1237</v>
      </c>
      <c r="C427" s="112"/>
      <c r="D427" s="102">
        <f>2664.02</f>
        <v>2664.02</v>
      </c>
      <c r="E427" s="73"/>
      <c r="F427" s="190">
        <f t="shared" si="132"/>
        <v>2664.02</v>
      </c>
      <c r="G427" s="74"/>
      <c r="H427" s="235"/>
      <c r="I427" s="208">
        <f t="shared" si="133"/>
        <v>2664.02</v>
      </c>
      <c r="J427" s="257"/>
      <c r="K427" s="235"/>
      <c r="L427" s="208">
        <f t="shared" si="134"/>
        <v>2664.02</v>
      </c>
      <c r="M427" s="257"/>
      <c r="N427" s="235"/>
      <c r="O427" s="208">
        <f t="shared" si="135"/>
        <v>2664.02</v>
      </c>
      <c r="P427" s="292"/>
      <c r="Q427" s="167"/>
    </row>
    <row r="428" spans="1:17" ht="12.75">
      <c r="A428" s="16" t="s">
        <v>344</v>
      </c>
      <c r="B428" s="57"/>
      <c r="C428" s="112"/>
      <c r="D428" s="102"/>
      <c r="E428" s="73"/>
      <c r="F428" s="190">
        <f t="shared" si="132"/>
        <v>0</v>
      </c>
      <c r="G428" s="74">
        <f>102.41</f>
        <v>102.41</v>
      </c>
      <c r="H428" s="235"/>
      <c r="I428" s="208">
        <f t="shared" si="133"/>
        <v>102.41</v>
      </c>
      <c r="J428" s="257"/>
      <c r="K428" s="235"/>
      <c r="L428" s="208">
        <f t="shared" si="134"/>
        <v>102.41</v>
      </c>
      <c r="M428" s="257">
        <f>795.32</f>
        <v>795.32</v>
      </c>
      <c r="N428" s="235"/>
      <c r="O428" s="208">
        <f t="shared" si="135"/>
        <v>897.73</v>
      </c>
      <c r="P428" s="292"/>
      <c r="Q428" s="167"/>
    </row>
    <row r="429" spans="1:17" ht="12.75">
      <c r="A429" s="16" t="s">
        <v>328</v>
      </c>
      <c r="B429" s="57">
        <v>1241</v>
      </c>
      <c r="C429" s="112"/>
      <c r="D429" s="102">
        <f>1533.66</f>
        <v>1533.66</v>
      </c>
      <c r="E429" s="73"/>
      <c r="F429" s="190">
        <f t="shared" si="132"/>
        <v>1533.66</v>
      </c>
      <c r="G429" s="74"/>
      <c r="H429" s="235"/>
      <c r="I429" s="208">
        <f t="shared" si="133"/>
        <v>1533.66</v>
      </c>
      <c r="J429" s="257"/>
      <c r="K429" s="235"/>
      <c r="L429" s="208">
        <f t="shared" si="134"/>
        <v>1533.66</v>
      </c>
      <c r="M429" s="257"/>
      <c r="N429" s="235"/>
      <c r="O429" s="208">
        <f t="shared" si="135"/>
        <v>1533.66</v>
      </c>
      <c r="P429" s="292"/>
      <c r="Q429" s="167"/>
    </row>
    <row r="430" spans="1:17" ht="12.75">
      <c r="A430" s="16" t="s">
        <v>362</v>
      </c>
      <c r="B430" s="57"/>
      <c r="C430" s="112"/>
      <c r="D430" s="102"/>
      <c r="E430" s="73"/>
      <c r="F430" s="190"/>
      <c r="G430" s="74"/>
      <c r="H430" s="235"/>
      <c r="I430" s="208">
        <f t="shared" si="133"/>
        <v>0</v>
      </c>
      <c r="J430" s="257">
        <f>279.4</f>
        <v>279.4</v>
      </c>
      <c r="K430" s="235"/>
      <c r="L430" s="208">
        <f t="shared" si="134"/>
        <v>279.4</v>
      </c>
      <c r="M430" s="257"/>
      <c r="N430" s="235"/>
      <c r="O430" s="208">
        <f t="shared" si="135"/>
        <v>279.4</v>
      </c>
      <c r="P430" s="292"/>
      <c r="Q430" s="167"/>
    </row>
    <row r="431" spans="1:17" ht="12.75">
      <c r="A431" s="58" t="s">
        <v>187</v>
      </c>
      <c r="B431" s="57">
        <v>13305</v>
      </c>
      <c r="C431" s="112"/>
      <c r="D431" s="102">
        <f>1355855.4</f>
        <v>1355855.4</v>
      </c>
      <c r="E431" s="73"/>
      <c r="F431" s="190">
        <f t="shared" si="132"/>
        <v>1355855.4</v>
      </c>
      <c r="G431" s="74"/>
      <c r="H431" s="235"/>
      <c r="I431" s="208">
        <f t="shared" si="133"/>
        <v>1355855.4</v>
      </c>
      <c r="J431" s="257"/>
      <c r="K431" s="235"/>
      <c r="L431" s="208">
        <f t="shared" si="134"/>
        <v>1355855.4</v>
      </c>
      <c r="M431" s="257"/>
      <c r="N431" s="235"/>
      <c r="O431" s="208">
        <f t="shared" si="135"/>
        <v>1355855.4</v>
      </c>
      <c r="P431" s="292"/>
      <c r="Q431" s="167">
        <f t="shared" si="136"/>
        <v>1355855.4</v>
      </c>
    </row>
    <row r="432" spans="1:17" ht="12.75">
      <c r="A432" s="16" t="s">
        <v>87</v>
      </c>
      <c r="B432" s="57">
        <v>13307</v>
      </c>
      <c r="C432" s="112"/>
      <c r="D432" s="102">
        <f>13300</f>
        <v>13300</v>
      </c>
      <c r="E432" s="73"/>
      <c r="F432" s="190">
        <f t="shared" si="132"/>
        <v>13300</v>
      </c>
      <c r="G432" s="74"/>
      <c r="H432" s="235"/>
      <c r="I432" s="208">
        <f t="shared" si="133"/>
        <v>13300</v>
      </c>
      <c r="J432" s="257"/>
      <c r="K432" s="235"/>
      <c r="L432" s="208">
        <f t="shared" si="134"/>
        <v>13300</v>
      </c>
      <c r="M432" s="257">
        <f>1000</f>
        <v>1000</v>
      </c>
      <c r="N432" s="235"/>
      <c r="O432" s="208">
        <f t="shared" si="135"/>
        <v>14300</v>
      </c>
      <c r="P432" s="292"/>
      <c r="Q432" s="167">
        <f t="shared" si="136"/>
        <v>14300</v>
      </c>
    </row>
    <row r="433" spans="1:17" ht="12.75">
      <c r="A433" s="16" t="s">
        <v>135</v>
      </c>
      <c r="B433" s="57">
        <v>14032</v>
      </c>
      <c r="C433" s="112"/>
      <c r="D433" s="102"/>
      <c r="E433" s="73"/>
      <c r="F433" s="190">
        <f t="shared" si="132"/>
        <v>0</v>
      </c>
      <c r="G433" s="74">
        <f>206.4</f>
        <v>206.4</v>
      </c>
      <c r="H433" s="235"/>
      <c r="I433" s="208">
        <f t="shared" si="133"/>
        <v>206.4</v>
      </c>
      <c r="J433" s="257"/>
      <c r="K433" s="235"/>
      <c r="L433" s="208">
        <f t="shared" si="134"/>
        <v>206.4</v>
      </c>
      <c r="M433" s="257"/>
      <c r="N433" s="235"/>
      <c r="O433" s="208">
        <f t="shared" si="135"/>
        <v>206.4</v>
      </c>
      <c r="P433" s="292"/>
      <c r="Q433" s="167">
        <f t="shared" si="136"/>
        <v>206.4</v>
      </c>
    </row>
    <row r="434" spans="1:17" ht="12.75">
      <c r="A434" s="58" t="s">
        <v>142</v>
      </c>
      <c r="B434" s="57">
        <v>4359</v>
      </c>
      <c r="C434" s="112"/>
      <c r="D434" s="102"/>
      <c r="E434" s="73"/>
      <c r="F434" s="190">
        <f t="shared" si="132"/>
        <v>0</v>
      </c>
      <c r="G434" s="74">
        <f>565+510</f>
        <v>1075</v>
      </c>
      <c r="H434" s="235"/>
      <c r="I434" s="208">
        <f t="shared" si="133"/>
        <v>1075</v>
      </c>
      <c r="J434" s="257"/>
      <c r="K434" s="235"/>
      <c r="L434" s="208">
        <f t="shared" si="134"/>
        <v>1075</v>
      </c>
      <c r="M434" s="257"/>
      <c r="N434" s="235"/>
      <c r="O434" s="208">
        <f t="shared" si="135"/>
        <v>1075</v>
      </c>
      <c r="P434" s="292"/>
      <c r="Q434" s="167">
        <f t="shared" si="136"/>
        <v>1075</v>
      </c>
    </row>
    <row r="435" spans="1:17" ht="12.75">
      <c r="A435" s="16" t="s">
        <v>71</v>
      </c>
      <c r="B435" s="57"/>
      <c r="C435" s="112">
        <v>490</v>
      </c>
      <c r="D435" s="102">
        <f>17130+34500-34500+5500+981+213.31+2879.42+2070.43+747.3+2486.73+5444.59+940.14+857.63</f>
        <v>39250.549999999996</v>
      </c>
      <c r="E435" s="73"/>
      <c r="F435" s="190">
        <f t="shared" si="132"/>
        <v>39740.549999999996</v>
      </c>
      <c r="G435" s="74">
        <f>1000+2748.43+86.04-5314.05+700+700+600+300</f>
        <v>820.4199999999996</v>
      </c>
      <c r="H435" s="235"/>
      <c r="I435" s="208">
        <f t="shared" si="133"/>
        <v>40560.969999999994</v>
      </c>
      <c r="J435" s="257">
        <f>-1300</f>
        <v>-1300</v>
      </c>
      <c r="K435" s="235"/>
      <c r="L435" s="208">
        <f t="shared" si="134"/>
        <v>39260.969999999994</v>
      </c>
      <c r="M435" s="257"/>
      <c r="N435" s="235"/>
      <c r="O435" s="208">
        <f t="shared" si="135"/>
        <v>39260.969999999994</v>
      </c>
      <c r="P435" s="292"/>
      <c r="Q435" s="167">
        <f t="shared" si="136"/>
        <v>39260.969999999994</v>
      </c>
    </row>
    <row r="436" spans="1:17" ht="12.75">
      <c r="A436" s="22" t="s">
        <v>52</v>
      </c>
      <c r="B436" s="61"/>
      <c r="C436" s="115">
        <f>SUM(C438:C440)</f>
        <v>0</v>
      </c>
      <c r="D436" s="105">
        <f aca="true" t="shared" si="137" ref="D436:Q436">SUM(D438:D440)</f>
        <v>14320.5</v>
      </c>
      <c r="E436" s="80">
        <f t="shared" si="137"/>
        <v>0</v>
      </c>
      <c r="F436" s="193">
        <f t="shared" si="137"/>
        <v>14320.5</v>
      </c>
      <c r="G436" s="79">
        <f t="shared" si="137"/>
        <v>6536.28</v>
      </c>
      <c r="H436" s="239">
        <f t="shared" si="137"/>
        <v>0</v>
      </c>
      <c r="I436" s="211">
        <f t="shared" si="137"/>
        <v>20856.78</v>
      </c>
      <c r="J436" s="262">
        <f t="shared" si="137"/>
        <v>0</v>
      </c>
      <c r="K436" s="239">
        <f t="shared" si="137"/>
        <v>0</v>
      </c>
      <c r="L436" s="211">
        <f t="shared" si="137"/>
        <v>20856.78</v>
      </c>
      <c r="M436" s="262">
        <f t="shared" si="137"/>
        <v>0</v>
      </c>
      <c r="N436" s="239">
        <f t="shared" si="137"/>
        <v>0</v>
      </c>
      <c r="O436" s="211">
        <f t="shared" si="137"/>
        <v>20856.78</v>
      </c>
      <c r="P436" s="105">
        <f t="shared" si="137"/>
        <v>0</v>
      </c>
      <c r="Q436" s="154">
        <f t="shared" si="137"/>
        <v>20856.78</v>
      </c>
    </row>
    <row r="437" spans="1:17" ht="12.75">
      <c r="A437" s="18" t="s">
        <v>26</v>
      </c>
      <c r="B437" s="57"/>
      <c r="C437" s="112"/>
      <c r="D437" s="102"/>
      <c r="E437" s="73"/>
      <c r="F437" s="190"/>
      <c r="G437" s="74"/>
      <c r="H437" s="235"/>
      <c r="I437" s="208"/>
      <c r="J437" s="257"/>
      <c r="K437" s="235"/>
      <c r="L437" s="208"/>
      <c r="M437" s="257"/>
      <c r="N437" s="235"/>
      <c r="O437" s="208"/>
      <c r="P437" s="292"/>
      <c r="Q437" s="167"/>
    </row>
    <row r="438" spans="1:17" ht="12.75" hidden="1">
      <c r="A438" s="16" t="s">
        <v>79</v>
      </c>
      <c r="B438" s="57"/>
      <c r="C438" s="112"/>
      <c r="D438" s="102"/>
      <c r="E438" s="73"/>
      <c r="F438" s="190">
        <f>C438+D438+E438</f>
        <v>0</v>
      </c>
      <c r="G438" s="74"/>
      <c r="H438" s="235"/>
      <c r="I438" s="208">
        <f>F438+G438+H438</f>
        <v>0</v>
      </c>
      <c r="J438" s="257"/>
      <c r="K438" s="235"/>
      <c r="L438" s="208">
        <f>I438+J438+K438</f>
        <v>0</v>
      </c>
      <c r="M438" s="257"/>
      <c r="N438" s="235"/>
      <c r="O438" s="208">
        <f>L438+M438+N438</f>
        <v>0</v>
      </c>
      <c r="P438" s="292"/>
      <c r="Q438" s="167">
        <f>O438+P438</f>
        <v>0</v>
      </c>
    </row>
    <row r="439" spans="1:17" ht="12.75">
      <c r="A439" s="16" t="s">
        <v>53</v>
      </c>
      <c r="B439" s="57"/>
      <c r="C439" s="112"/>
      <c r="D439" s="102">
        <f>14320.5</f>
        <v>14320.5</v>
      </c>
      <c r="E439" s="73"/>
      <c r="F439" s="190">
        <f>C439+D439+E439</f>
        <v>14320.5</v>
      </c>
      <c r="G439" s="133">
        <f>5500</f>
        <v>5500</v>
      </c>
      <c r="H439" s="235"/>
      <c r="I439" s="208">
        <f>F439+G439+H439</f>
        <v>19820.5</v>
      </c>
      <c r="J439" s="257"/>
      <c r="K439" s="235"/>
      <c r="L439" s="208">
        <f>I439+J439+K439</f>
        <v>19820.5</v>
      </c>
      <c r="M439" s="257"/>
      <c r="N439" s="235"/>
      <c r="O439" s="208">
        <f>L439+M439+N439</f>
        <v>19820.5</v>
      </c>
      <c r="P439" s="292"/>
      <c r="Q439" s="167">
        <f>O439+P439</f>
        <v>19820.5</v>
      </c>
    </row>
    <row r="440" spans="1:17" ht="12.75">
      <c r="A440" s="19" t="s">
        <v>71</v>
      </c>
      <c r="B440" s="60"/>
      <c r="C440" s="181"/>
      <c r="D440" s="172"/>
      <c r="E440" s="81"/>
      <c r="F440" s="195">
        <f>C440+D440+E440</f>
        <v>0</v>
      </c>
      <c r="G440" s="226">
        <f>1036.28</f>
        <v>1036.28</v>
      </c>
      <c r="H440" s="241"/>
      <c r="I440" s="213">
        <f>F440+G440+H440</f>
        <v>1036.28</v>
      </c>
      <c r="J440" s="264"/>
      <c r="K440" s="241"/>
      <c r="L440" s="213">
        <f>I440+J440+K440</f>
        <v>1036.28</v>
      </c>
      <c r="M440" s="264"/>
      <c r="N440" s="241"/>
      <c r="O440" s="213">
        <f>L440+M440+N440</f>
        <v>1036.28</v>
      </c>
      <c r="P440" s="295"/>
      <c r="Q440" s="168">
        <f>O440+P440</f>
        <v>1036.28</v>
      </c>
    </row>
    <row r="441" spans="1:17" ht="12.75">
      <c r="A441" s="17" t="s">
        <v>281</v>
      </c>
      <c r="B441" s="61"/>
      <c r="C441" s="111">
        <f>C442+C453</f>
        <v>9532.35</v>
      </c>
      <c r="D441" s="92">
        <f aca="true" t="shared" si="138" ref="D441:Q441">D442+D453</f>
        <v>14285.8</v>
      </c>
      <c r="E441" s="72">
        <f t="shared" si="138"/>
        <v>0</v>
      </c>
      <c r="F441" s="189">
        <f t="shared" si="138"/>
        <v>23818.149999999998</v>
      </c>
      <c r="G441" s="71">
        <f t="shared" si="138"/>
        <v>8187.969999999999</v>
      </c>
      <c r="H441" s="234">
        <f t="shared" si="138"/>
        <v>0</v>
      </c>
      <c r="I441" s="207">
        <f t="shared" si="138"/>
        <v>32006.119999999995</v>
      </c>
      <c r="J441" s="256">
        <f t="shared" si="138"/>
        <v>7800</v>
      </c>
      <c r="K441" s="234">
        <f t="shared" si="138"/>
        <v>0</v>
      </c>
      <c r="L441" s="207">
        <f t="shared" si="138"/>
        <v>39806.119999999995</v>
      </c>
      <c r="M441" s="256">
        <f t="shared" si="138"/>
        <v>30905.82</v>
      </c>
      <c r="N441" s="234">
        <f t="shared" si="138"/>
        <v>0</v>
      </c>
      <c r="O441" s="207">
        <f t="shared" si="138"/>
        <v>70711.94</v>
      </c>
      <c r="P441" s="92">
        <f t="shared" si="138"/>
        <v>0</v>
      </c>
      <c r="Q441" s="150">
        <f t="shared" si="138"/>
        <v>70395.12</v>
      </c>
    </row>
    <row r="442" spans="1:17" ht="12.75">
      <c r="A442" s="22" t="s">
        <v>48</v>
      </c>
      <c r="B442" s="61"/>
      <c r="C442" s="115">
        <f>SUM(C444:C452)</f>
        <v>9532.35</v>
      </c>
      <c r="D442" s="105">
        <f aca="true" t="shared" si="139" ref="D442:Q442">SUM(D444:D452)</f>
        <v>14285.8</v>
      </c>
      <c r="E442" s="80">
        <f t="shared" si="139"/>
        <v>0</v>
      </c>
      <c r="F442" s="193">
        <f t="shared" si="139"/>
        <v>23818.149999999998</v>
      </c>
      <c r="G442" s="79">
        <f t="shared" si="139"/>
        <v>3582.56</v>
      </c>
      <c r="H442" s="239">
        <f t="shared" si="139"/>
        <v>0</v>
      </c>
      <c r="I442" s="211">
        <f t="shared" si="139"/>
        <v>27400.709999999995</v>
      </c>
      <c r="J442" s="262">
        <f t="shared" si="139"/>
        <v>7800</v>
      </c>
      <c r="K442" s="239">
        <f t="shared" si="139"/>
        <v>-5000</v>
      </c>
      <c r="L442" s="211">
        <f t="shared" si="139"/>
        <v>30200.709999999995</v>
      </c>
      <c r="M442" s="262">
        <f t="shared" si="139"/>
        <v>1220.82</v>
      </c>
      <c r="N442" s="239">
        <f t="shared" si="139"/>
        <v>0</v>
      </c>
      <c r="O442" s="211">
        <f t="shared" si="139"/>
        <v>31421.529999999995</v>
      </c>
      <c r="P442" s="105">
        <f t="shared" si="139"/>
        <v>0</v>
      </c>
      <c r="Q442" s="154">
        <f t="shared" si="139"/>
        <v>31104.709999999995</v>
      </c>
    </row>
    <row r="443" spans="1:17" ht="12.75">
      <c r="A443" s="18" t="s">
        <v>26</v>
      </c>
      <c r="B443" s="57"/>
      <c r="C443" s="112"/>
      <c r="D443" s="102"/>
      <c r="E443" s="73"/>
      <c r="F443" s="189"/>
      <c r="G443" s="74"/>
      <c r="H443" s="235"/>
      <c r="I443" s="207"/>
      <c r="J443" s="257"/>
      <c r="K443" s="235"/>
      <c r="L443" s="207"/>
      <c r="M443" s="257"/>
      <c r="N443" s="235"/>
      <c r="O443" s="207"/>
      <c r="P443" s="292"/>
      <c r="Q443" s="167"/>
    </row>
    <row r="444" spans="1:17" ht="12.75">
      <c r="A444" s="16" t="s">
        <v>50</v>
      </c>
      <c r="B444" s="57"/>
      <c r="C444" s="112">
        <v>9532.35</v>
      </c>
      <c r="D444" s="102">
        <f>10000+1123</f>
        <v>11123</v>
      </c>
      <c r="E444" s="73"/>
      <c r="F444" s="190">
        <f aca="true" t="shared" si="140" ref="F444:F452">C444+D444+E444</f>
        <v>20655.35</v>
      </c>
      <c r="G444" s="74">
        <f>62.64+400+392.46+1600</f>
        <v>2455.1</v>
      </c>
      <c r="H444" s="235"/>
      <c r="I444" s="208">
        <f>F444+G444+H444</f>
        <v>23110.449999999997</v>
      </c>
      <c r="J444" s="257"/>
      <c r="K444" s="235"/>
      <c r="L444" s="208">
        <f>I444+J444+K444</f>
        <v>23110.449999999997</v>
      </c>
      <c r="M444" s="257"/>
      <c r="N444" s="235"/>
      <c r="O444" s="208">
        <f>L444+M444+N444</f>
        <v>23110.449999999997</v>
      </c>
      <c r="P444" s="292"/>
      <c r="Q444" s="167">
        <f>O444+P444</f>
        <v>23110.449999999997</v>
      </c>
    </row>
    <row r="445" spans="1:17" ht="12.75">
      <c r="A445" s="16" t="s">
        <v>71</v>
      </c>
      <c r="B445" s="57"/>
      <c r="C445" s="112"/>
      <c r="D445" s="174">
        <f>400+2445.98</f>
        <v>2845.98</v>
      </c>
      <c r="E445" s="73"/>
      <c r="F445" s="190">
        <f t="shared" si="140"/>
        <v>2845.98</v>
      </c>
      <c r="G445" s="74"/>
      <c r="H445" s="235"/>
      <c r="I445" s="208">
        <f aca="true" t="shared" si="141" ref="I445:I452">F445+G445+H445</f>
        <v>2845.98</v>
      </c>
      <c r="J445" s="257">
        <f>2800+5000</f>
        <v>7800</v>
      </c>
      <c r="K445" s="235">
        <f>-5000</f>
        <v>-5000</v>
      </c>
      <c r="L445" s="208">
        <f aca="true" t="shared" si="142" ref="L445:L452">I445+J445+K445</f>
        <v>5645.98</v>
      </c>
      <c r="M445" s="257"/>
      <c r="N445" s="235"/>
      <c r="O445" s="208">
        <f aca="true" t="shared" si="143" ref="O445:O452">L445+M445+N445</f>
        <v>5645.98</v>
      </c>
      <c r="P445" s="292"/>
      <c r="Q445" s="167">
        <f aca="true" t="shared" si="144" ref="Q445:Q452">O445+P445</f>
        <v>5645.98</v>
      </c>
    </row>
    <row r="446" spans="1:17" ht="12.75" hidden="1">
      <c r="A446" s="16" t="s">
        <v>62</v>
      </c>
      <c r="B446" s="57"/>
      <c r="C446" s="112"/>
      <c r="D446" s="102"/>
      <c r="E446" s="73"/>
      <c r="F446" s="190">
        <f t="shared" si="140"/>
        <v>0</v>
      </c>
      <c r="G446" s="74"/>
      <c r="H446" s="235"/>
      <c r="I446" s="208">
        <f t="shared" si="141"/>
        <v>0</v>
      </c>
      <c r="J446" s="260"/>
      <c r="K446" s="235"/>
      <c r="L446" s="208">
        <f t="shared" si="142"/>
        <v>0</v>
      </c>
      <c r="M446" s="257"/>
      <c r="N446" s="235"/>
      <c r="O446" s="208">
        <f t="shared" si="143"/>
        <v>0</v>
      </c>
      <c r="P446" s="292"/>
      <c r="Q446" s="167">
        <f t="shared" si="144"/>
        <v>0</v>
      </c>
    </row>
    <row r="447" spans="1:17" ht="12.75" hidden="1">
      <c r="A447" s="16" t="s">
        <v>148</v>
      </c>
      <c r="B447" s="57"/>
      <c r="C447" s="112"/>
      <c r="D447" s="102"/>
      <c r="E447" s="73"/>
      <c r="F447" s="190">
        <f t="shared" si="140"/>
        <v>0</v>
      </c>
      <c r="G447" s="74"/>
      <c r="H447" s="235"/>
      <c r="I447" s="208">
        <f t="shared" si="141"/>
        <v>0</v>
      </c>
      <c r="J447" s="260"/>
      <c r="K447" s="235"/>
      <c r="L447" s="208">
        <f t="shared" si="142"/>
        <v>0</v>
      </c>
      <c r="M447" s="257"/>
      <c r="N447" s="235"/>
      <c r="O447" s="208">
        <f t="shared" si="143"/>
        <v>0</v>
      </c>
      <c r="P447" s="292"/>
      <c r="Q447" s="167">
        <f t="shared" si="144"/>
        <v>0</v>
      </c>
    </row>
    <row r="448" spans="1:17" ht="12.75">
      <c r="A448" s="25" t="s">
        <v>332</v>
      </c>
      <c r="B448" s="57"/>
      <c r="C448" s="112"/>
      <c r="D448" s="102">
        <f>316.82</f>
        <v>316.82</v>
      </c>
      <c r="E448" s="73"/>
      <c r="F448" s="190">
        <f t="shared" si="140"/>
        <v>316.82</v>
      </c>
      <c r="G448" s="74"/>
      <c r="H448" s="235"/>
      <c r="I448" s="208">
        <f t="shared" si="141"/>
        <v>316.82</v>
      </c>
      <c r="J448" s="260"/>
      <c r="K448" s="235"/>
      <c r="L448" s="208">
        <f t="shared" si="142"/>
        <v>316.82</v>
      </c>
      <c r="M448" s="257"/>
      <c r="N448" s="235"/>
      <c r="O448" s="208">
        <f t="shared" si="143"/>
        <v>316.82</v>
      </c>
      <c r="P448" s="292"/>
      <c r="Q448" s="167"/>
    </row>
    <row r="449" spans="1:17" ht="13.5" customHeight="1" hidden="1">
      <c r="A449" s="16" t="s">
        <v>264</v>
      </c>
      <c r="B449" s="57">
        <v>14034</v>
      </c>
      <c r="C449" s="112"/>
      <c r="D449" s="102"/>
      <c r="E449" s="73"/>
      <c r="F449" s="190">
        <f t="shared" si="140"/>
        <v>0</v>
      </c>
      <c r="G449" s="74"/>
      <c r="H449" s="235"/>
      <c r="I449" s="208">
        <f t="shared" si="141"/>
        <v>0</v>
      </c>
      <c r="J449" s="260"/>
      <c r="K449" s="235"/>
      <c r="L449" s="208">
        <f t="shared" si="142"/>
        <v>0</v>
      </c>
      <c r="M449" s="257"/>
      <c r="N449" s="235"/>
      <c r="O449" s="208">
        <f t="shared" si="143"/>
        <v>0</v>
      </c>
      <c r="P449" s="292"/>
      <c r="Q449" s="167">
        <f t="shared" si="144"/>
        <v>0</v>
      </c>
    </row>
    <row r="450" spans="1:17" ht="12.75" hidden="1">
      <c r="A450" s="16" t="s">
        <v>232</v>
      </c>
      <c r="B450" s="57">
        <v>98035</v>
      </c>
      <c r="C450" s="112"/>
      <c r="D450" s="102"/>
      <c r="E450" s="73"/>
      <c r="F450" s="190">
        <f t="shared" si="140"/>
        <v>0</v>
      </c>
      <c r="G450" s="74"/>
      <c r="H450" s="235"/>
      <c r="I450" s="208">
        <f t="shared" si="141"/>
        <v>0</v>
      </c>
      <c r="J450" s="260"/>
      <c r="K450" s="235"/>
      <c r="L450" s="208">
        <f t="shared" si="142"/>
        <v>0</v>
      </c>
      <c r="M450" s="257"/>
      <c r="N450" s="235"/>
      <c r="O450" s="208">
        <f t="shared" si="143"/>
        <v>0</v>
      </c>
      <c r="P450" s="292"/>
      <c r="Q450" s="167">
        <f t="shared" si="144"/>
        <v>0</v>
      </c>
    </row>
    <row r="451" spans="1:17" ht="12.75">
      <c r="A451" s="16" t="s">
        <v>213</v>
      </c>
      <c r="B451" s="101" t="s">
        <v>214</v>
      </c>
      <c r="C451" s="112"/>
      <c r="D451" s="102"/>
      <c r="E451" s="73"/>
      <c r="F451" s="190">
        <f t="shared" si="140"/>
        <v>0</v>
      </c>
      <c r="G451" s="74">
        <f>1127.46</f>
        <v>1127.46</v>
      </c>
      <c r="H451" s="235"/>
      <c r="I451" s="208">
        <f t="shared" si="141"/>
        <v>1127.46</v>
      </c>
      <c r="J451" s="260"/>
      <c r="K451" s="235"/>
      <c r="L451" s="208">
        <f t="shared" si="142"/>
        <v>1127.46</v>
      </c>
      <c r="M451" s="257">
        <f>1220.82</f>
        <v>1220.82</v>
      </c>
      <c r="N451" s="235"/>
      <c r="O451" s="208">
        <f t="shared" si="143"/>
        <v>2348.2799999999997</v>
      </c>
      <c r="P451" s="292"/>
      <c r="Q451" s="167">
        <f t="shared" si="144"/>
        <v>2348.2799999999997</v>
      </c>
    </row>
    <row r="452" spans="1:17" ht="12.75" hidden="1">
      <c r="A452" s="16" t="s">
        <v>212</v>
      </c>
      <c r="B452" s="57">
        <v>33064</v>
      </c>
      <c r="C452" s="112"/>
      <c r="D452" s="102"/>
      <c r="E452" s="73"/>
      <c r="F452" s="190">
        <f t="shared" si="140"/>
        <v>0</v>
      </c>
      <c r="G452" s="74"/>
      <c r="H452" s="235"/>
      <c r="I452" s="208">
        <f t="shared" si="141"/>
        <v>0</v>
      </c>
      <c r="J452" s="260"/>
      <c r="K452" s="235"/>
      <c r="L452" s="208">
        <f t="shared" si="142"/>
        <v>0</v>
      </c>
      <c r="M452" s="257"/>
      <c r="N452" s="235"/>
      <c r="O452" s="208">
        <f t="shared" si="143"/>
        <v>0</v>
      </c>
      <c r="P452" s="292"/>
      <c r="Q452" s="167">
        <f t="shared" si="144"/>
        <v>0</v>
      </c>
    </row>
    <row r="453" spans="1:17" ht="12.75">
      <c r="A453" s="22" t="s">
        <v>52</v>
      </c>
      <c r="B453" s="61"/>
      <c r="C453" s="115">
        <f>SUM(C455:C461)</f>
        <v>0</v>
      </c>
      <c r="D453" s="105">
        <f aca="true" t="shared" si="145" ref="D453:Q453">SUM(D455:D461)</f>
        <v>0</v>
      </c>
      <c r="E453" s="80">
        <f t="shared" si="145"/>
        <v>0</v>
      </c>
      <c r="F453" s="193">
        <f t="shared" si="145"/>
        <v>0</v>
      </c>
      <c r="G453" s="79">
        <f t="shared" si="145"/>
        <v>4605.41</v>
      </c>
      <c r="H453" s="239">
        <f t="shared" si="145"/>
        <v>0</v>
      </c>
      <c r="I453" s="211">
        <f t="shared" si="145"/>
        <v>4605.41</v>
      </c>
      <c r="J453" s="262">
        <f t="shared" si="145"/>
        <v>0</v>
      </c>
      <c r="K453" s="239">
        <f t="shared" si="145"/>
        <v>5000</v>
      </c>
      <c r="L453" s="211">
        <f t="shared" si="145"/>
        <v>9605.41</v>
      </c>
      <c r="M453" s="262">
        <f t="shared" si="145"/>
        <v>29685</v>
      </c>
      <c r="N453" s="239">
        <f t="shared" si="145"/>
        <v>0</v>
      </c>
      <c r="O453" s="211">
        <f t="shared" si="145"/>
        <v>39290.41</v>
      </c>
      <c r="P453" s="105">
        <f t="shared" si="145"/>
        <v>0</v>
      </c>
      <c r="Q453" s="154">
        <f t="shared" si="145"/>
        <v>39290.41</v>
      </c>
    </row>
    <row r="454" spans="1:17" ht="12.75">
      <c r="A454" s="18" t="s">
        <v>26</v>
      </c>
      <c r="B454" s="57"/>
      <c r="C454" s="112"/>
      <c r="D454" s="102"/>
      <c r="E454" s="73"/>
      <c r="F454" s="190"/>
      <c r="G454" s="74"/>
      <c r="H454" s="235"/>
      <c r="I454" s="208"/>
      <c r="J454" s="257"/>
      <c r="K454" s="235"/>
      <c r="L454" s="208"/>
      <c r="M454" s="257"/>
      <c r="N454" s="235"/>
      <c r="O454" s="208"/>
      <c r="P454" s="292"/>
      <c r="Q454" s="167"/>
    </row>
    <row r="455" spans="1:17" ht="12.75" hidden="1">
      <c r="A455" s="20" t="s">
        <v>64</v>
      </c>
      <c r="B455" s="57"/>
      <c r="C455" s="112"/>
      <c r="D455" s="102"/>
      <c r="E455" s="73"/>
      <c r="F455" s="190">
        <f aca="true" t="shared" si="146" ref="F455:F461">C455+D455+E455</f>
        <v>0</v>
      </c>
      <c r="G455" s="74"/>
      <c r="H455" s="235"/>
      <c r="I455" s="208">
        <f aca="true" t="shared" si="147" ref="I455:I461">F455+G455+H455</f>
        <v>0</v>
      </c>
      <c r="J455" s="257"/>
      <c r="K455" s="235"/>
      <c r="L455" s="208">
        <f aca="true" t="shared" si="148" ref="L455:L461">I455+J455+K455</f>
        <v>0</v>
      </c>
      <c r="M455" s="257"/>
      <c r="N455" s="235"/>
      <c r="O455" s="208">
        <f aca="true" t="shared" si="149" ref="O455:O461">L455+M455+N455</f>
        <v>0</v>
      </c>
      <c r="P455" s="292"/>
      <c r="Q455" s="167">
        <f aca="true" t="shared" si="150" ref="Q455:Q461">O455+P455</f>
        <v>0</v>
      </c>
    </row>
    <row r="456" spans="1:17" ht="12.75">
      <c r="A456" s="52" t="s">
        <v>354</v>
      </c>
      <c r="B456" s="57"/>
      <c r="C456" s="112"/>
      <c r="D456" s="102"/>
      <c r="E456" s="73"/>
      <c r="F456" s="190">
        <f t="shared" si="146"/>
        <v>0</v>
      </c>
      <c r="G456" s="74">
        <f>4605.41</f>
        <v>4605.41</v>
      </c>
      <c r="H456" s="235"/>
      <c r="I456" s="208">
        <f t="shared" si="147"/>
        <v>4605.41</v>
      </c>
      <c r="J456" s="257"/>
      <c r="K456" s="235"/>
      <c r="L456" s="208">
        <f t="shared" si="148"/>
        <v>4605.41</v>
      </c>
      <c r="M456" s="257"/>
      <c r="N456" s="235"/>
      <c r="O456" s="208">
        <f t="shared" si="149"/>
        <v>4605.41</v>
      </c>
      <c r="P456" s="292"/>
      <c r="Q456" s="167">
        <f t="shared" si="150"/>
        <v>4605.41</v>
      </c>
    </row>
    <row r="457" spans="1:17" ht="12.75" hidden="1">
      <c r="A457" s="20" t="s">
        <v>177</v>
      </c>
      <c r="B457" s="57"/>
      <c r="C457" s="112"/>
      <c r="D457" s="102"/>
      <c r="E457" s="73"/>
      <c r="F457" s="190">
        <f t="shared" si="146"/>
        <v>0</v>
      </c>
      <c r="G457" s="74"/>
      <c r="H457" s="235"/>
      <c r="I457" s="208">
        <f t="shared" si="147"/>
        <v>0</v>
      </c>
      <c r="J457" s="257"/>
      <c r="K457" s="235"/>
      <c r="L457" s="208">
        <f t="shared" si="148"/>
        <v>0</v>
      </c>
      <c r="M457" s="257"/>
      <c r="N457" s="235"/>
      <c r="O457" s="208">
        <f t="shared" si="149"/>
        <v>0</v>
      </c>
      <c r="P457" s="292"/>
      <c r="Q457" s="167">
        <f t="shared" si="150"/>
        <v>0</v>
      </c>
    </row>
    <row r="458" spans="1:17" ht="12.75" hidden="1">
      <c r="A458" s="20" t="s">
        <v>169</v>
      </c>
      <c r="B458" s="57"/>
      <c r="C458" s="112"/>
      <c r="D458" s="102"/>
      <c r="E458" s="73"/>
      <c r="F458" s="190">
        <f t="shared" si="146"/>
        <v>0</v>
      </c>
      <c r="G458" s="74"/>
      <c r="H458" s="235"/>
      <c r="I458" s="208">
        <f t="shared" si="147"/>
        <v>0</v>
      </c>
      <c r="J458" s="257"/>
      <c r="K458" s="235"/>
      <c r="L458" s="208">
        <f t="shared" si="148"/>
        <v>0</v>
      </c>
      <c r="M458" s="257"/>
      <c r="N458" s="235"/>
      <c r="O458" s="208">
        <f t="shared" si="149"/>
        <v>0</v>
      </c>
      <c r="P458" s="292"/>
      <c r="Q458" s="167">
        <f t="shared" si="150"/>
        <v>0</v>
      </c>
    </row>
    <row r="459" spans="1:17" ht="12.75">
      <c r="A459" s="16" t="s">
        <v>53</v>
      </c>
      <c r="B459" s="57"/>
      <c r="C459" s="112"/>
      <c r="D459" s="102"/>
      <c r="E459" s="73"/>
      <c r="F459" s="190">
        <f t="shared" si="146"/>
        <v>0</v>
      </c>
      <c r="G459" s="74"/>
      <c r="H459" s="235"/>
      <c r="I459" s="208">
        <f t="shared" si="147"/>
        <v>0</v>
      </c>
      <c r="J459" s="257"/>
      <c r="K459" s="235"/>
      <c r="L459" s="208">
        <f t="shared" si="148"/>
        <v>0</v>
      </c>
      <c r="M459" s="257">
        <f>3685</f>
        <v>3685</v>
      </c>
      <c r="N459" s="235"/>
      <c r="O459" s="208">
        <f t="shared" si="149"/>
        <v>3685</v>
      </c>
      <c r="P459" s="292"/>
      <c r="Q459" s="167">
        <f t="shared" si="150"/>
        <v>3685</v>
      </c>
    </row>
    <row r="460" spans="1:17" ht="12.75">
      <c r="A460" s="19" t="s">
        <v>71</v>
      </c>
      <c r="B460" s="60"/>
      <c r="C460" s="181"/>
      <c r="D460" s="172"/>
      <c r="E460" s="81"/>
      <c r="F460" s="195">
        <f t="shared" si="146"/>
        <v>0</v>
      </c>
      <c r="G460" s="226"/>
      <c r="H460" s="241"/>
      <c r="I460" s="213">
        <f t="shared" si="147"/>
        <v>0</v>
      </c>
      <c r="J460" s="264"/>
      <c r="K460" s="241">
        <f>5000</f>
        <v>5000</v>
      </c>
      <c r="L460" s="213">
        <f t="shared" si="148"/>
        <v>5000</v>
      </c>
      <c r="M460" s="264">
        <f>20000+6000</f>
        <v>26000</v>
      </c>
      <c r="N460" s="241"/>
      <c r="O460" s="213">
        <f t="shared" si="149"/>
        <v>31000</v>
      </c>
      <c r="P460" s="292"/>
      <c r="Q460" s="167">
        <f t="shared" si="150"/>
        <v>31000</v>
      </c>
    </row>
    <row r="461" spans="1:17" ht="12.75" hidden="1">
      <c r="A461" s="126" t="s">
        <v>170</v>
      </c>
      <c r="B461" s="60"/>
      <c r="C461" s="181"/>
      <c r="D461" s="172"/>
      <c r="E461" s="81"/>
      <c r="F461" s="195">
        <f t="shared" si="146"/>
        <v>0</v>
      </c>
      <c r="G461" s="226"/>
      <c r="H461" s="241"/>
      <c r="I461" s="213">
        <f t="shared" si="147"/>
        <v>0</v>
      </c>
      <c r="J461" s="264"/>
      <c r="K461" s="241"/>
      <c r="L461" s="213">
        <f t="shared" si="148"/>
        <v>0</v>
      </c>
      <c r="M461" s="264"/>
      <c r="N461" s="241"/>
      <c r="O461" s="213">
        <f t="shared" si="149"/>
        <v>0</v>
      </c>
      <c r="P461" s="295"/>
      <c r="Q461" s="168">
        <f t="shared" si="150"/>
        <v>0</v>
      </c>
    </row>
    <row r="462" spans="1:17" ht="12.75">
      <c r="A462" s="13" t="s">
        <v>88</v>
      </c>
      <c r="B462" s="61"/>
      <c r="C462" s="111">
        <f>C463+C466</f>
        <v>3238.8</v>
      </c>
      <c r="D462" s="92">
        <f aca="true" t="shared" si="151" ref="D462:Q462">D463+D466</f>
        <v>0</v>
      </c>
      <c r="E462" s="72">
        <f t="shared" si="151"/>
        <v>0</v>
      </c>
      <c r="F462" s="189">
        <f t="shared" si="151"/>
        <v>3238.8</v>
      </c>
      <c r="G462" s="71">
        <f t="shared" si="151"/>
        <v>0</v>
      </c>
      <c r="H462" s="234">
        <f t="shared" si="151"/>
        <v>0</v>
      </c>
      <c r="I462" s="207">
        <f t="shared" si="151"/>
        <v>3238.8</v>
      </c>
      <c r="J462" s="256">
        <f t="shared" si="151"/>
        <v>0</v>
      </c>
      <c r="K462" s="234">
        <f t="shared" si="151"/>
        <v>0</v>
      </c>
      <c r="L462" s="207">
        <f t="shared" si="151"/>
        <v>3238.8</v>
      </c>
      <c r="M462" s="256">
        <f t="shared" si="151"/>
        <v>0</v>
      </c>
      <c r="N462" s="234">
        <f t="shared" si="151"/>
        <v>0</v>
      </c>
      <c r="O462" s="207">
        <f t="shared" si="151"/>
        <v>3238.8</v>
      </c>
      <c r="P462" s="92">
        <f t="shared" si="151"/>
        <v>0</v>
      </c>
      <c r="Q462" s="150">
        <f t="shared" si="151"/>
        <v>3238.8</v>
      </c>
    </row>
    <row r="463" spans="1:17" ht="12.75">
      <c r="A463" s="22" t="s">
        <v>48</v>
      </c>
      <c r="B463" s="61"/>
      <c r="C463" s="115">
        <f>SUM(C465:C465)</f>
        <v>3238.8</v>
      </c>
      <c r="D463" s="105">
        <f aca="true" t="shared" si="152" ref="D463:Q463">SUM(D465:D465)</f>
        <v>0</v>
      </c>
      <c r="E463" s="80">
        <f t="shared" si="152"/>
        <v>0</v>
      </c>
      <c r="F463" s="193">
        <f t="shared" si="152"/>
        <v>3238.8</v>
      </c>
      <c r="G463" s="79">
        <f t="shared" si="152"/>
        <v>0</v>
      </c>
      <c r="H463" s="239">
        <f t="shared" si="152"/>
        <v>0</v>
      </c>
      <c r="I463" s="211">
        <f t="shared" si="152"/>
        <v>3238.8</v>
      </c>
      <c r="J463" s="262">
        <f t="shared" si="152"/>
        <v>0</v>
      </c>
      <c r="K463" s="239">
        <f t="shared" si="152"/>
        <v>0</v>
      </c>
      <c r="L463" s="211">
        <f t="shared" si="152"/>
        <v>3238.8</v>
      </c>
      <c r="M463" s="262">
        <f t="shared" si="152"/>
        <v>0</v>
      </c>
      <c r="N463" s="239">
        <f t="shared" si="152"/>
        <v>0</v>
      </c>
      <c r="O463" s="211">
        <f t="shared" si="152"/>
        <v>3238.8</v>
      </c>
      <c r="P463" s="105">
        <f t="shared" si="152"/>
        <v>0</v>
      </c>
      <c r="Q463" s="154">
        <f t="shared" si="152"/>
        <v>3238.8</v>
      </c>
    </row>
    <row r="464" spans="1:17" ht="12.75">
      <c r="A464" s="18" t="s">
        <v>26</v>
      </c>
      <c r="B464" s="57"/>
      <c r="C464" s="112"/>
      <c r="D464" s="102"/>
      <c r="E464" s="73"/>
      <c r="F464" s="189"/>
      <c r="G464" s="74"/>
      <c r="H464" s="235"/>
      <c r="I464" s="207"/>
      <c r="J464" s="257"/>
      <c r="K464" s="235"/>
      <c r="L464" s="207"/>
      <c r="M464" s="257"/>
      <c r="N464" s="235"/>
      <c r="O464" s="207"/>
      <c r="P464" s="292"/>
      <c r="Q464" s="167"/>
    </row>
    <row r="465" spans="1:17" ht="12.75">
      <c r="A465" s="19" t="s">
        <v>50</v>
      </c>
      <c r="B465" s="60"/>
      <c r="C465" s="185">
        <v>3238.8</v>
      </c>
      <c r="D465" s="172"/>
      <c r="E465" s="81"/>
      <c r="F465" s="195">
        <f>C465+D465+E465</f>
        <v>3238.8</v>
      </c>
      <c r="G465" s="226"/>
      <c r="H465" s="241"/>
      <c r="I465" s="213">
        <f>F465+G465+H465</f>
        <v>3238.8</v>
      </c>
      <c r="J465" s="264"/>
      <c r="K465" s="241"/>
      <c r="L465" s="213">
        <f>I465+J465+K465</f>
        <v>3238.8</v>
      </c>
      <c r="M465" s="264"/>
      <c r="N465" s="241"/>
      <c r="O465" s="213">
        <f>L465+M465+N465</f>
        <v>3238.8</v>
      </c>
      <c r="P465" s="292"/>
      <c r="Q465" s="167">
        <f>O465+P465</f>
        <v>3238.8</v>
      </c>
    </row>
    <row r="466" spans="1:17" ht="15" customHeight="1" hidden="1">
      <c r="A466" s="22" t="s">
        <v>52</v>
      </c>
      <c r="B466" s="61"/>
      <c r="C466" s="115">
        <f aca="true" t="shared" si="153" ref="C466:Q466">SUM(C468:C468)</f>
        <v>0</v>
      </c>
      <c r="D466" s="105">
        <f t="shared" si="153"/>
        <v>0</v>
      </c>
      <c r="E466" s="80">
        <f t="shared" si="153"/>
        <v>0</v>
      </c>
      <c r="F466" s="193">
        <f t="shared" si="153"/>
        <v>0</v>
      </c>
      <c r="G466" s="79">
        <f t="shared" si="153"/>
        <v>0</v>
      </c>
      <c r="H466" s="239">
        <f t="shared" si="153"/>
        <v>0</v>
      </c>
      <c r="I466" s="211">
        <f t="shared" si="153"/>
        <v>0</v>
      </c>
      <c r="J466" s="262">
        <f t="shared" si="153"/>
        <v>0</v>
      </c>
      <c r="K466" s="239">
        <f t="shared" si="153"/>
        <v>0</v>
      </c>
      <c r="L466" s="211">
        <f t="shared" si="153"/>
        <v>0</v>
      </c>
      <c r="M466" s="262">
        <f t="shared" si="153"/>
        <v>0</v>
      </c>
      <c r="N466" s="239">
        <f t="shared" si="153"/>
        <v>0</v>
      </c>
      <c r="O466" s="211">
        <f t="shared" si="153"/>
        <v>0</v>
      </c>
      <c r="P466" s="105">
        <f t="shared" si="153"/>
        <v>0</v>
      </c>
      <c r="Q466" s="154">
        <f t="shared" si="153"/>
        <v>0</v>
      </c>
    </row>
    <row r="467" spans="1:17" ht="12.75" hidden="1">
      <c r="A467" s="18" t="s">
        <v>26</v>
      </c>
      <c r="B467" s="57"/>
      <c r="C467" s="112"/>
      <c r="D467" s="102"/>
      <c r="E467" s="73"/>
      <c r="F467" s="190"/>
      <c r="G467" s="74"/>
      <c r="H467" s="235"/>
      <c r="I467" s="208"/>
      <c r="J467" s="257"/>
      <c r="K467" s="235"/>
      <c r="L467" s="208"/>
      <c r="M467" s="257"/>
      <c r="N467" s="235"/>
      <c r="O467" s="208"/>
      <c r="P467" s="292"/>
      <c r="Q467" s="167"/>
    </row>
    <row r="468" spans="1:17" ht="12.75" hidden="1">
      <c r="A468" s="19" t="s">
        <v>53</v>
      </c>
      <c r="B468" s="60"/>
      <c r="C468" s="181"/>
      <c r="D468" s="172"/>
      <c r="E468" s="81"/>
      <c r="F468" s="195">
        <f>C468+D468+E468</f>
        <v>0</v>
      </c>
      <c r="G468" s="226"/>
      <c r="H468" s="241"/>
      <c r="I468" s="213">
        <f>F468+G468+H468</f>
        <v>0</v>
      </c>
      <c r="J468" s="264"/>
      <c r="K468" s="241"/>
      <c r="L468" s="213">
        <f>I468+J468+K468</f>
        <v>0</v>
      </c>
      <c r="M468" s="264"/>
      <c r="N468" s="241"/>
      <c r="O468" s="213">
        <f>L468+M468+N468</f>
        <v>0</v>
      </c>
      <c r="P468" s="295"/>
      <c r="Q468" s="168">
        <f>O468+P468</f>
        <v>0</v>
      </c>
    </row>
    <row r="469" spans="1:17" ht="12.75">
      <c r="A469" s="13" t="s">
        <v>89</v>
      </c>
      <c r="B469" s="61"/>
      <c r="C469" s="111">
        <f aca="true" t="shared" si="154" ref="C469:Q469">C470</f>
        <v>245035.05</v>
      </c>
      <c r="D469" s="92">
        <f t="shared" si="154"/>
        <v>-154582.38999999998</v>
      </c>
      <c r="E469" s="72">
        <f t="shared" si="154"/>
        <v>0</v>
      </c>
      <c r="F469" s="189">
        <f t="shared" si="154"/>
        <v>90452.66000000002</v>
      </c>
      <c r="G469" s="71">
        <f t="shared" si="154"/>
        <v>73231.82</v>
      </c>
      <c r="H469" s="234">
        <f t="shared" si="154"/>
        <v>212152.59</v>
      </c>
      <c r="I469" s="207">
        <f t="shared" si="154"/>
        <v>375837.07</v>
      </c>
      <c r="J469" s="256">
        <f t="shared" si="154"/>
        <v>64856.869999999995</v>
      </c>
      <c r="K469" s="234">
        <f t="shared" si="154"/>
        <v>0</v>
      </c>
      <c r="L469" s="207">
        <f t="shared" si="154"/>
        <v>440693.94</v>
      </c>
      <c r="M469" s="256">
        <f t="shared" si="154"/>
        <v>11014</v>
      </c>
      <c r="N469" s="234">
        <f t="shared" si="154"/>
        <v>0</v>
      </c>
      <c r="O469" s="207">
        <f t="shared" si="154"/>
        <v>451707.94</v>
      </c>
      <c r="P469" s="92">
        <f t="shared" si="154"/>
        <v>0</v>
      </c>
      <c r="Q469" s="150">
        <f t="shared" si="154"/>
        <v>451707.94</v>
      </c>
    </row>
    <row r="470" spans="1:17" ht="12.75">
      <c r="A470" s="22" t="s">
        <v>48</v>
      </c>
      <c r="B470" s="61"/>
      <c r="C470" s="115">
        <f>SUM(C472:C476)</f>
        <v>245035.05</v>
      </c>
      <c r="D470" s="105">
        <f aca="true" t="shared" si="155" ref="D470:Q470">SUM(D472:D476)</f>
        <v>-154582.38999999998</v>
      </c>
      <c r="E470" s="80">
        <f t="shared" si="155"/>
        <v>0</v>
      </c>
      <c r="F470" s="193">
        <f t="shared" si="155"/>
        <v>90452.66000000002</v>
      </c>
      <c r="G470" s="79">
        <f t="shared" si="155"/>
        <v>73231.82</v>
      </c>
      <c r="H470" s="239">
        <f t="shared" si="155"/>
        <v>212152.59</v>
      </c>
      <c r="I470" s="211">
        <f t="shared" si="155"/>
        <v>375837.07</v>
      </c>
      <c r="J470" s="262">
        <f t="shared" si="155"/>
        <v>64856.869999999995</v>
      </c>
      <c r="K470" s="239">
        <f t="shared" si="155"/>
        <v>0</v>
      </c>
      <c r="L470" s="211">
        <f t="shared" si="155"/>
        <v>440693.94</v>
      </c>
      <c r="M470" s="262">
        <f t="shared" si="155"/>
        <v>11014</v>
      </c>
      <c r="N470" s="239">
        <f t="shared" si="155"/>
        <v>0</v>
      </c>
      <c r="O470" s="211">
        <f t="shared" si="155"/>
        <v>451707.94</v>
      </c>
      <c r="P470" s="105">
        <f t="shared" si="155"/>
        <v>0</v>
      </c>
      <c r="Q470" s="154">
        <f t="shared" si="155"/>
        <v>451707.94</v>
      </c>
    </row>
    <row r="471" spans="1:17" ht="12.75">
      <c r="A471" s="18" t="s">
        <v>26</v>
      </c>
      <c r="B471" s="57"/>
      <c r="C471" s="111"/>
      <c r="D471" s="92"/>
      <c r="E471" s="72"/>
      <c r="F471" s="189"/>
      <c r="G471" s="71"/>
      <c r="H471" s="234"/>
      <c r="I471" s="207"/>
      <c r="J471" s="256"/>
      <c r="K471" s="234"/>
      <c r="L471" s="207"/>
      <c r="M471" s="256"/>
      <c r="N471" s="234"/>
      <c r="O471" s="207"/>
      <c r="P471" s="292"/>
      <c r="Q471" s="167"/>
    </row>
    <row r="472" spans="1:17" ht="12.75">
      <c r="A472" s="58" t="s">
        <v>178</v>
      </c>
      <c r="B472" s="57"/>
      <c r="C472" s="112">
        <v>9535.05</v>
      </c>
      <c r="D472" s="102"/>
      <c r="E472" s="73"/>
      <c r="F472" s="190">
        <f>C472+D472+E472</f>
        <v>9535.05</v>
      </c>
      <c r="G472" s="74">
        <f>33331.85+72.68-505.74-680+32659</f>
        <v>64877.79</v>
      </c>
      <c r="H472" s="235">
        <f>212152.59</f>
        <v>212152.59</v>
      </c>
      <c r="I472" s="208">
        <f>F472+G472+H472</f>
        <v>286565.43</v>
      </c>
      <c r="J472" s="260">
        <f>31636.6+3898.25+101.75+109.92+29110.35</f>
        <v>64856.869999999995</v>
      </c>
      <c r="K472" s="235"/>
      <c r="L472" s="208">
        <f>I472+J472+K472</f>
        <v>351422.3</v>
      </c>
      <c r="M472" s="257">
        <f>11845.75+732+8886.25-450-10000</f>
        <v>11014</v>
      </c>
      <c r="N472" s="235"/>
      <c r="O472" s="208">
        <f>L472+M472+N472</f>
        <v>362436.3</v>
      </c>
      <c r="P472" s="292"/>
      <c r="Q472" s="167">
        <f>O472+P472</f>
        <v>362436.3</v>
      </c>
    </row>
    <row r="473" spans="1:17" ht="12.75">
      <c r="A473" s="58" t="s">
        <v>90</v>
      </c>
      <c r="B473" s="57"/>
      <c r="C473" s="112"/>
      <c r="D473" s="142">
        <f>45003.16</f>
        <v>45003.16</v>
      </c>
      <c r="E473" s="73"/>
      <c r="F473" s="190">
        <f>C473+D473+E473</f>
        <v>45003.16</v>
      </c>
      <c r="G473" s="74"/>
      <c r="H473" s="235"/>
      <c r="I473" s="208">
        <f>F473+G473+H473</f>
        <v>45003.16</v>
      </c>
      <c r="J473" s="257"/>
      <c r="K473" s="235"/>
      <c r="L473" s="208">
        <f>I473+J473+K473</f>
        <v>45003.16</v>
      </c>
      <c r="M473" s="257"/>
      <c r="N473" s="235"/>
      <c r="O473" s="208">
        <f>L473+M473+N473</f>
        <v>45003.16</v>
      </c>
      <c r="P473" s="292"/>
      <c r="Q473" s="167">
        <f>O473+P473</f>
        <v>45003.16</v>
      </c>
    </row>
    <row r="474" spans="1:17" ht="12.75">
      <c r="A474" s="58" t="s">
        <v>91</v>
      </c>
      <c r="B474" s="57"/>
      <c r="C474" s="112"/>
      <c r="D474" s="102"/>
      <c r="E474" s="73"/>
      <c r="F474" s="190">
        <f>C474+D474+E474</f>
        <v>0</v>
      </c>
      <c r="G474" s="74">
        <f>548.52+7805.51</f>
        <v>8354.03</v>
      </c>
      <c r="H474" s="235"/>
      <c r="I474" s="208">
        <f>F474+G474+H474</f>
        <v>8354.03</v>
      </c>
      <c r="J474" s="257"/>
      <c r="K474" s="235"/>
      <c r="L474" s="208">
        <f>I474+J474+K474</f>
        <v>8354.03</v>
      </c>
      <c r="M474" s="257"/>
      <c r="N474" s="235"/>
      <c r="O474" s="208">
        <f>L474+M474+N474</f>
        <v>8354.03</v>
      </c>
      <c r="P474" s="292"/>
      <c r="Q474" s="167">
        <f>O474+P474</f>
        <v>8354.03</v>
      </c>
    </row>
    <row r="475" spans="1:17" ht="12.75">
      <c r="A475" s="58" t="s">
        <v>301</v>
      </c>
      <c r="B475" s="57"/>
      <c r="C475" s="112">
        <v>200000</v>
      </c>
      <c r="D475" s="102">
        <f>-6097.55-119488+9000-23000-60000</f>
        <v>-199585.55</v>
      </c>
      <c r="E475" s="73"/>
      <c r="F475" s="190">
        <f>C475+D475+E475</f>
        <v>414.45000000001164</v>
      </c>
      <c r="G475" s="74"/>
      <c r="H475" s="235"/>
      <c r="I475" s="208">
        <f>F475+G475+H475</f>
        <v>414.45000000001164</v>
      </c>
      <c r="J475" s="257"/>
      <c r="K475" s="235"/>
      <c r="L475" s="208">
        <f>I475+J475+K475</f>
        <v>414.45000000001164</v>
      </c>
      <c r="M475" s="257"/>
      <c r="N475" s="235"/>
      <c r="O475" s="208">
        <f>L475+M475+N475</f>
        <v>414.45000000001164</v>
      </c>
      <c r="P475" s="292"/>
      <c r="Q475" s="167">
        <f>O475+P475</f>
        <v>414.45000000001164</v>
      </c>
    </row>
    <row r="476" spans="1:17" ht="12.75">
      <c r="A476" s="19" t="s">
        <v>50</v>
      </c>
      <c r="B476" s="60"/>
      <c r="C476" s="181">
        <v>35500</v>
      </c>
      <c r="D476" s="172"/>
      <c r="E476" s="81"/>
      <c r="F476" s="195">
        <f>C476+D476+E476</f>
        <v>35500</v>
      </c>
      <c r="G476" s="226"/>
      <c r="H476" s="241"/>
      <c r="I476" s="213">
        <f>F476+G476+H476</f>
        <v>35500</v>
      </c>
      <c r="J476" s="264"/>
      <c r="K476" s="241"/>
      <c r="L476" s="213">
        <f>I476+J476+K476</f>
        <v>35500</v>
      </c>
      <c r="M476" s="264"/>
      <c r="N476" s="241"/>
      <c r="O476" s="213">
        <f>L476+M476+N476</f>
        <v>35500</v>
      </c>
      <c r="P476" s="295"/>
      <c r="Q476" s="168">
        <f>O476+P476</f>
        <v>35500</v>
      </c>
    </row>
    <row r="477" spans="1:17" ht="12.75">
      <c r="A477" s="13" t="s">
        <v>156</v>
      </c>
      <c r="B477" s="61"/>
      <c r="C477" s="111">
        <f>C478+C491</f>
        <v>97752</v>
      </c>
      <c r="D477" s="92">
        <f aca="true" t="shared" si="156" ref="D477:Q477">D478+D491</f>
        <v>112286.25</v>
      </c>
      <c r="E477" s="72">
        <f t="shared" si="156"/>
        <v>67442.82</v>
      </c>
      <c r="F477" s="189">
        <f t="shared" si="156"/>
        <v>277481.07</v>
      </c>
      <c r="G477" s="71">
        <f t="shared" si="156"/>
        <v>69464.66</v>
      </c>
      <c r="H477" s="234">
        <f t="shared" si="156"/>
        <v>162517.88</v>
      </c>
      <c r="I477" s="207">
        <f t="shared" si="156"/>
        <v>509463.61</v>
      </c>
      <c r="J477" s="256">
        <f t="shared" si="156"/>
        <v>59260.33</v>
      </c>
      <c r="K477" s="234">
        <f t="shared" si="156"/>
        <v>20964.41</v>
      </c>
      <c r="L477" s="207">
        <f t="shared" si="156"/>
        <v>589688.35</v>
      </c>
      <c r="M477" s="256">
        <f t="shared" si="156"/>
        <v>8358.69</v>
      </c>
      <c r="N477" s="234">
        <f t="shared" si="156"/>
        <v>0</v>
      </c>
      <c r="O477" s="207">
        <f t="shared" si="156"/>
        <v>598047.04</v>
      </c>
      <c r="P477" s="92">
        <f t="shared" si="156"/>
        <v>0</v>
      </c>
      <c r="Q477" s="150">
        <f t="shared" si="156"/>
        <v>592981.5</v>
      </c>
    </row>
    <row r="478" spans="1:17" ht="12.75">
      <c r="A478" s="22" t="s">
        <v>48</v>
      </c>
      <c r="B478" s="61"/>
      <c r="C478" s="115">
        <f>SUM(C480:C490)</f>
        <v>63302</v>
      </c>
      <c r="D478" s="105">
        <f aca="true" t="shared" si="157" ref="D478:Q478">SUM(D480:D490)</f>
        <v>15780.25</v>
      </c>
      <c r="E478" s="80">
        <f t="shared" si="157"/>
        <v>44249.32</v>
      </c>
      <c r="F478" s="193">
        <f t="shared" si="157"/>
        <v>123331.57</v>
      </c>
      <c r="G478" s="79">
        <f t="shared" si="157"/>
        <v>6732.92</v>
      </c>
      <c r="H478" s="239">
        <f t="shared" si="157"/>
        <v>6606.88</v>
      </c>
      <c r="I478" s="211">
        <f t="shared" si="157"/>
        <v>136671.37000000002</v>
      </c>
      <c r="J478" s="262">
        <f t="shared" si="157"/>
        <v>7207.91</v>
      </c>
      <c r="K478" s="239">
        <f t="shared" si="157"/>
        <v>5002.45</v>
      </c>
      <c r="L478" s="211">
        <f t="shared" si="157"/>
        <v>148881.73</v>
      </c>
      <c r="M478" s="262">
        <f t="shared" si="157"/>
        <v>6432.67</v>
      </c>
      <c r="N478" s="239">
        <f t="shared" si="157"/>
        <v>0</v>
      </c>
      <c r="O478" s="211">
        <f t="shared" si="157"/>
        <v>155314.4</v>
      </c>
      <c r="P478" s="105">
        <f t="shared" si="157"/>
        <v>0</v>
      </c>
      <c r="Q478" s="154">
        <f t="shared" si="157"/>
        <v>155314.4</v>
      </c>
    </row>
    <row r="479" spans="1:17" ht="12.75">
      <c r="A479" s="18" t="s">
        <v>26</v>
      </c>
      <c r="B479" s="57"/>
      <c r="C479" s="112"/>
      <c r="D479" s="102"/>
      <c r="E479" s="73"/>
      <c r="F479" s="190"/>
      <c r="G479" s="74"/>
      <c r="H479" s="235"/>
      <c r="I479" s="208"/>
      <c r="J479" s="257"/>
      <c r="K479" s="235"/>
      <c r="L479" s="208"/>
      <c r="M479" s="257"/>
      <c r="N479" s="235"/>
      <c r="O479" s="208"/>
      <c r="P479" s="292"/>
      <c r="Q479" s="167"/>
    </row>
    <row r="480" spans="1:17" ht="12.75">
      <c r="A480" s="16" t="s">
        <v>228</v>
      </c>
      <c r="B480" s="57">
        <v>1202</v>
      </c>
      <c r="C480" s="112">
        <v>2950</v>
      </c>
      <c r="D480" s="102">
        <f>149.93+350</f>
        <v>499.93</v>
      </c>
      <c r="E480" s="73">
        <f>-524.5</f>
        <v>-524.5</v>
      </c>
      <c r="F480" s="190">
        <f aca="true" t="shared" si="158" ref="F480:F490">C480+D480+E480</f>
        <v>2925.43</v>
      </c>
      <c r="G480" s="74"/>
      <c r="H480" s="235"/>
      <c r="I480" s="208">
        <f>F480+G480+H480</f>
        <v>2925.43</v>
      </c>
      <c r="J480" s="257"/>
      <c r="K480" s="235"/>
      <c r="L480" s="208">
        <f aca="true" t="shared" si="159" ref="L480:L490">I480+J480+K480</f>
        <v>2925.43</v>
      </c>
      <c r="M480" s="257"/>
      <c r="N480" s="235"/>
      <c r="O480" s="208">
        <f aca="true" t="shared" si="160" ref="O480:O490">L480+M480+N480</f>
        <v>2925.43</v>
      </c>
      <c r="P480" s="292"/>
      <c r="Q480" s="167">
        <f aca="true" t="shared" si="161" ref="Q480:Q490">O480+P480</f>
        <v>2925.43</v>
      </c>
    </row>
    <row r="481" spans="1:17" ht="12.75">
      <c r="A481" s="16" t="s">
        <v>173</v>
      </c>
      <c r="B481" s="57">
        <v>1207</v>
      </c>
      <c r="C481" s="112">
        <v>9800</v>
      </c>
      <c r="D481" s="102">
        <f>1008.06</f>
        <v>1008.06</v>
      </c>
      <c r="E481" s="73"/>
      <c r="F481" s="190">
        <f t="shared" si="158"/>
        <v>10808.06</v>
      </c>
      <c r="G481" s="74">
        <f>-134+14</f>
        <v>-120</v>
      </c>
      <c r="H481" s="235"/>
      <c r="I481" s="208">
        <f aca="true" t="shared" si="162" ref="I481:I490">F481+G481+H481</f>
        <v>10688.06</v>
      </c>
      <c r="J481" s="257">
        <f>15</f>
        <v>15</v>
      </c>
      <c r="K481" s="235"/>
      <c r="L481" s="208">
        <f t="shared" si="159"/>
        <v>10703.06</v>
      </c>
      <c r="M481" s="257">
        <f>87.74</f>
        <v>87.74</v>
      </c>
      <c r="N481" s="235"/>
      <c r="O481" s="208">
        <f t="shared" si="160"/>
        <v>10790.8</v>
      </c>
      <c r="P481" s="292"/>
      <c r="Q481" s="167">
        <f t="shared" si="161"/>
        <v>10790.8</v>
      </c>
    </row>
    <row r="482" spans="1:17" ht="12.75">
      <c r="A482" s="20" t="s">
        <v>286</v>
      </c>
      <c r="B482" s="57">
        <v>1209</v>
      </c>
      <c r="C482" s="112">
        <v>2180</v>
      </c>
      <c r="D482" s="102">
        <f>140.53</f>
        <v>140.53</v>
      </c>
      <c r="E482" s="73"/>
      <c r="F482" s="190">
        <f t="shared" si="158"/>
        <v>2320.53</v>
      </c>
      <c r="G482" s="74">
        <f>28</f>
        <v>28</v>
      </c>
      <c r="H482" s="235"/>
      <c r="I482" s="208">
        <f t="shared" si="162"/>
        <v>2348.53</v>
      </c>
      <c r="J482" s="257"/>
      <c r="K482" s="235"/>
      <c r="L482" s="208">
        <f t="shared" si="159"/>
        <v>2348.53</v>
      </c>
      <c r="M482" s="257"/>
      <c r="N482" s="235"/>
      <c r="O482" s="208">
        <f t="shared" si="160"/>
        <v>2348.53</v>
      </c>
      <c r="P482" s="292"/>
      <c r="Q482" s="167">
        <f t="shared" si="161"/>
        <v>2348.53</v>
      </c>
    </row>
    <row r="483" spans="1:17" ht="12.75">
      <c r="A483" s="16" t="s">
        <v>174</v>
      </c>
      <c r="B483" s="57">
        <v>1211</v>
      </c>
      <c r="C483" s="112">
        <v>2320</v>
      </c>
      <c r="D483" s="142">
        <f>306.25</f>
        <v>306.25</v>
      </c>
      <c r="E483" s="84"/>
      <c r="F483" s="190">
        <f t="shared" si="158"/>
        <v>2626.25</v>
      </c>
      <c r="G483" s="74">
        <f>-2065.54</f>
        <v>-2065.54</v>
      </c>
      <c r="H483" s="235"/>
      <c r="I483" s="208">
        <f t="shared" si="162"/>
        <v>560.71</v>
      </c>
      <c r="J483" s="257">
        <f>203.37</f>
        <v>203.37</v>
      </c>
      <c r="K483" s="235"/>
      <c r="L483" s="208">
        <f t="shared" si="159"/>
        <v>764.08</v>
      </c>
      <c r="M483" s="257">
        <f>1.58</f>
        <v>1.58</v>
      </c>
      <c r="N483" s="235"/>
      <c r="O483" s="208">
        <f t="shared" si="160"/>
        <v>765.6600000000001</v>
      </c>
      <c r="P483" s="292"/>
      <c r="Q483" s="167">
        <f t="shared" si="161"/>
        <v>765.6600000000001</v>
      </c>
    </row>
    <row r="484" spans="1:17" ht="12.75">
      <c r="A484" s="16" t="s">
        <v>359</v>
      </c>
      <c r="B484" s="57">
        <v>1214</v>
      </c>
      <c r="C484" s="112">
        <v>2850</v>
      </c>
      <c r="D484" s="142">
        <f>10.13+2.62+800</f>
        <v>812.75</v>
      </c>
      <c r="E484" s="73"/>
      <c r="F484" s="190">
        <f t="shared" si="158"/>
        <v>3662.75</v>
      </c>
      <c r="G484" s="74">
        <f>3.85</f>
        <v>3.85</v>
      </c>
      <c r="H484" s="235"/>
      <c r="I484" s="208">
        <f t="shared" si="162"/>
        <v>3666.6</v>
      </c>
      <c r="J484" s="257"/>
      <c r="K484" s="235"/>
      <c r="L484" s="208">
        <f t="shared" si="159"/>
        <v>3666.6</v>
      </c>
      <c r="M484" s="257"/>
      <c r="N484" s="235"/>
      <c r="O484" s="208">
        <f t="shared" si="160"/>
        <v>3666.6</v>
      </c>
      <c r="P484" s="292"/>
      <c r="Q484" s="167">
        <f t="shared" si="161"/>
        <v>3666.6</v>
      </c>
    </row>
    <row r="485" spans="1:17" ht="12.75" hidden="1">
      <c r="A485" s="16" t="s">
        <v>217</v>
      </c>
      <c r="B485" s="57">
        <v>1213</v>
      </c>
      <c r="C485" s="112"/>
      <c r="D485" s="142">
        <f>2.62-2.62</f>
        <v>0</v>
      </c>
      <c r="E485" s="73"/>
      <c r="F485" s="190">
        <f t="shared" si="158"/>
        <v>0</v>
      </c>
      <c r="G485" s="74"/>
      <c r="H485" s="235"/>
      <c r="I485" s="208">
        <f t="shared" si="162"/>
        <v>0</v>
      </c>
      <c r="J485" s="257"/>
      <c r="K485" s="235"/>
      <c r="L485" s="208">
        <f t="shared" si="159"/>
        <v>0</v>
      </c>
      <c r="M485" s="257"/>
      <c r="N485" s="235"/>
      <c r="O485" s="208">
        <f t="shared" si="160"/>
        <v>0</v>
      </c>
      <c r="P485" s="292"/>
      <c r="Q485" s="167">
        <f t="shared" si="161"/>
        <v>0</v>
      </c>
    </row>
    <row r="486" spans="1:17" ht="12.75">
      <c r="A486" s="16" t="s">
        <v>246</v>
      </c>
      <c r="B486" s="57">
        <v>1216</v>
      </c>
      <c r="C486" s="112">
        <v>22300</v>
      </c>
      <c r="D486" s="102">
        <f>2238.06</f>
        <v>2238.06</v>
      </c>
      <c r="E486" s="73">
        <f>-219+4000</f>
        <v>3781</v>
      </c>
      <c r="F486" s="190">
        <f t="shared" si="158"/>
        <v>28319.06</v>
      </c>
      <c r="G486" s="74">
        <f>59.73</f>
        <v>59.73</v>
      </c>
      <c r="H486" s="235"/>
      <c r="I486" s="208">
        <f t="shared" si="162"/>
        <v>28378.79</v>
      </c>
      <c r="J486" s="257">
        <f>6000+2</f>
        <v>6002</v>
      </c>
      <c r="K486" s="235"/>
      <c r="L486" s="208">
        <f t="shared" si="159"/>
        <v>34380.79</v>
      </c>
      <c r="M486" s="257">
        <f>2000+2.2</f>
        <v>2002.2</v>
      </c>
      <c r="N486" s="235"/>
      <c r="O486" s="208">
        <f t="shared" si="160"/>
        <v>36382.99</v>
      </c>
      <c r="P486" s="292"/>
      <c r="Q486" s="167">
        <f t="shared" si="161"/>
        <v>36382.99</v>
      </c>
    </row>
    <row r="487" spans="1:17" ht="12.75">
      <c r="A487" s="16" t="s">
        <v>175</v>
      </c>
      <c r="B487" s="57">
        <v>1239</v>
      </c>
      <c r="C487" s="112">
        <v>6600</v>
      </c>
      <c r="D487" s="102">
        <f>775.83+2650</f>
        <v>3425.83</v>
      </c>
      <c r="E487" s="73">
        <f>6400</f>
        <v>6400</v>
      </c>
      <c r="F487" s="190">
        <f t="shared" si="158"/>
        <v>16425.83</v>
      </c>
      <c r="G487" s="74">
        <f>3900+34.88</f>
        <v>3934.88</v>
      </c>
      <c r="H487" s="235"/>
      <c r="I487" s="208">
        <f t="shared" si="162"/>
        <v>20360.710000000003</v>
      </c>
      <c r="J487" s="257">
        <f>71.03+51-101.75</f>
        <v>20.28</v>
      </c>
      <c r="K487" s="235"/>
      <c r="L487" s="208">
        <f t="shared" si="159"/>
        <v>20380.99</v>
      </c>
      <c r="M487" s="257">
        <f>50+45.1</f>
        <v>95.1</v>
      </c>
      <c r="N487" s="235"/>
      <c r="O487" s="208">
        <f t="shared" si="160"/>
        <v>20476.09</v>
      </c>
      <c r="P487" s="292"/>
      <c r="Q487" s="167">
        <f t="shared" si="161"/>
        <v>20476.09</v>
      </c>
    </row>
    <row r="488" spans="1:17" ht="12.75">
      <c r="A488" s="16" t="s">
        <v>192</v>
      </c>
      <c r="B488" s="57">
        <v>1300</v>
      </c>
      <c r="C488" s="112">
        <v>9500</v>
      </c>
      <c r="D488" s="102">
        <f>400+2767.68+1333.33</f>
        <v>4501.01</v>
      </c>
      <c r="E488" s="73">
        <f>-1300+12210+5487+100+750+7145.82+2200+8000</f>
        <v>34592.82</v>
      </c>
      <c r="F488" s="190">
        <f t="shared" si="158"/>
        <v>48593.83</v>
      </c>
      <c r="G488" s="74"/>
      <c r="H488" s="235">
        <f>3300+950+2356.88</f>
        <v>6606.88</v>
      </c>
      <c r="I488" s="208">
        <f t="shared" si="162"/>
        <v>55200.71</v>
      </c>
      <c r="J488" s="257"/>
      <c r="K488" s="235">
        <f>202.45+800+2500+1500</f>
        <v>5002.45</v>
      </c>
      <c r="L488" s="208">
        <f t="shared" si="159"/>
        <v>60203.159999999996</v>
      </c>
      <c r="M488" s="257">
        <f>1448.5+800-202.45+2200</f>
        <v>4246.05</v>
      </c>
      <c r="N488" s="235"/>
      <c r="O488" s="208">
        <f t="shared" si="160"/>
        <v>64449.21</v>
      </c>
      <c r="P488" s="292"/>
      <c r="Q488" s="167">
        <f t="shared" si="161"/>
        <v>64449.21</v>
      </c>
    </row>
    <row r="489" spans="1:17" ht="12.75">
      <c r="A489" s="16" t="s">
        <v>176</v>
      </c>
      <c r="B489" s="57">
        <v>1110</v>
      </c>
      <c r="C489" s="112">
        <v>4800</v>
      </c>
      <c r="D489" s="102">
        <f>1870.13</f>
        <v>1870.13</v>
      </c>
      <c r="E489" s="73"/>
      <c r="F489" s="190">
        <f t="shared" si="158"/>
        <v>6670.13</v>
      </c>
      <c r="G489" s="74">
        <f>4892</f>
        <v>4892</v>
      </c>
      <c r="H489" s="235"/>
      <c r="I489" s="208">
        <f t="shared" si="162"/>
        <v>11562.130000000001</v>
      </c>
      <c r="J489" s="257">
        <f>6</f>
        <v>6</v>
      </c>
      <c r="K489" s="235"/>
      <c r="L489" s="208">
        <f t="shared" si="159"/>
        <v>11568.130000000001</v>
      </c>
      <c r="M489" s="257"/>
      <c r="N489" s="235"/>
      <c r="O489" s="208">
        <f t="shared" si="160"/>
        <v>11568.130000000001</v>
      </c>
      <c r="P489" s="292"/>
      <c r="Q489" s="167">
        <f t="shared" si="161"/>
        <v>11568.130000000001</v>
      </c>
    </row>
    <row r="490" spans="1:17" ht="12.75">
      <c r="A490" s="16" t="s">
        <v>279</v>
      </c>
      <c r="B490" s="57"/>
      <c r="C490" s="112">
        <v>2</v>
      </c>
      <c r="D490" s="102">
        <f>977.7</f>
        <v>977.7</v>
      </c>
      <c r="E490" s="73"/>
      <c r="F490" s="190">
        <f t="shared" si="158"/>
        <v>979.7</v>
      </c>
      <c r="G490" s="74"/>
      <c r="H490" s="235"/>
      <c r="I490" s="208">
        <f t="shared" si="162"/>
        <v>979.7</v>
      </c>
      <c r="J490" s="257">
        <f>961.26</f>
        <v>961.26</v>
      </c>
      <c r="K490" s="235"/>
      <c r="L490" s="208">
        <f t="shared" si="159"/>
        <v>1940.96</v>
      </c>
      <c r="M490" s="257"/>
      <c r="N490" s="235"/>
      <c r="O490" s="208">
        <f t="shared" si="160"/>
        <v>1940.96</v>
      </c>
      <c r="P490" s="292"/>
      <c r="Q490" s="167">
        <f t="shared" si="161"/>
        <v>1940.96</v>
      </c>
    </row>
    <row r="491" spans="1:17" ht="12.75">
      <c r="A491" s="22" t="s">
        <v>52</v>
      </c>
      <c r="B491" s="61"/>
      <c r="C491" s="115">
        <f>SUM(C493:C501)</f>
        <v>34450</v>
      </c>
      <c r="D491" s="105">
        <f aca="true" t="shared" si="163" ref="D491:Q491">SUM(D493:D501)</f>
        <v>96506</v>
      </c>
      <c r="E491" s="80">
        <f t="shared" si="163"/>
        <v>23193.5</v>
      </c>
      <c r="F491" s="193">
        <f t="shared" si="163"/>
        <v>154149.5</v>
      </c>
      <c r="G491" s="79">
        <f t="shared" si="163"/>
        <v>62731.74</v>
      </c>
      <c r="H491" s="239">
        <f t="shared" si="163"/>
        <v>155911</v>
      </c>
      <c r="I491" s="211">
        <f t="shared" si="163"/>
        <v>372792.24</v>
      </c>
      <c r="J491" s="262">
        <f t="shared" si="163"/>
        <v>52052.42</v>
      </c>
      <c r="K491" s="239">
        <f t="shared" si="163"/>
        <v>15961.96</v>
      </c>
      <c r="L491" s="211">
        <f t="shared" si="163"/>
        <v>440806.62</v>
      </c>
      <c r="M491" s="262">
        <f t="shared" si="163"/>
        <v>1926.02</v>
      </c>
      <c r="N491" s="239">
        <f t="shared" si="163"/>
        <v>0</v>
      </c>
      <c r="O491" s="211">
        <f t="shared" si="163"/>
        <v>442732.64</v>
      </c>
      <c r="P491" s="105">
        <f t="shared" si="163"/>
        <v>0</v>
      </c>
      <c r="Q491" s="154">
        <f t="shared" si="163"/>
        <v>437667.10000000003</v>
      </c>
    </row>
    <row r="492" spans="1:17" ht="12.75">
      <c r="A492" s="18" t="s">
        <v>26</v>
      </c>
      <c r="B492" s="57"/>
      <c r="C492" s="112"/>
      <c r="D492" s="102"/>
      <c r="E492" s="73"/>
      <c r="F492" s="190"/>
      <c r="G492" s="74"/>
      <c r="H492" s="235"/>
      <c r="I492" s="208"/>
      <c r="J492" s="257"/>
      <c r="K492" s="235"/>
      <c r="L492" s="208"/>
      <c r="M492" s="257"/>
      <c r="N492" s="235"/>
      <c r="O492" s="208"/>
      <c r="P492" s="292"/>
      <c r="Q492" s="167"/>
    </row>
    <row r="493" spans="1:17" ht="13.5" thickBot="1">
      <c r="A493" s="309" t="s">
        <v>255</v>
      </c>
      <c r="B493" s="300">
        <v>1207</v>
      </c>
      <c r="C493" s="301">
        <v>2600</v>
      </c>
      <c r="D493" s="302">
        <f>3400</f>
        <v>3400</v>
      </c>
      <c r="E493" s="303"/>
      <c r="F493" s="304">
        <f aca="true" t="shared" si="164" ref="F493:F501">C493+D493+E493</f>
        <v>6000</v>
      </c>
      <c r="G493" s="305">
        <f>134</f>
        <v>134</v>
      </c>
      <c r="H493" s="306"/>
      <c r="I493" s="307">
        <f aca="true" t="shared" si="165" ref="I493:I501">F493+G493+H493</f>
        <v>6134</v>
      </c>
      <c r="J493" s="308"/>
      <c r="K493" s="306"/>
      <c r="L493" s="307">
        <f aca="true" t="shared" si="166" ref="L493:L501">I493+J493+K493</f>
        <v>6134</v>
      </c>
      <c r="M493" s="308"/>
      <c r="N493" s="306"/>
      <c r="O493" s="307">
        <f aca="true" t="shared" si="167" ref="O493:O501">L493+M493+N493</f>
        <v>6134</v>
      </c>
      <c r="P493" s="292"/>
      <c r="Q493" s="167">
        <f aca="true" t="shared" si="168" ref="Q493:Q501">O493+P493</f>
        <v>6134</v>
      </c>
    </row>
    <row r="494" spans="1:17" ht="12.75" hidden="1">
      <c r="A494" s="16" t="s">
        <v>297</v>
      </c>
      <c r="B494" s="57">
        <v>1214</v>
      </c>
      <c r="C494" s="112"/>
      <c r="D494" s="102"/>
      <c r="E494" s="73"/>
      <c r="F494" s="190">
        <f t="shared" si="164"/>
        <v>0</v>
      </c>
      <c r="G494" s="74"/>
      <c r="H494" s="235"/>
      <c r="I494" s="208">
        <f t="shared" si="165"/>
        <v>0</v>
      </c>
      <c r="J494" s="257"/>
      <c r="K494" s="235"/>
      <c r="L494" s="208">
        <f t="shared" si="166"/>
        <v>0</v>
      </c>
      <c r="M494" s="257"/>
      <c r="N494" s="235"/>
      <c r="O494" s="208">
        <f t="shared" si="167"/>
        <v>0</v>
      </c>
      <c r="P494" s="292"/>
      <c r="Q494" s="167">
        <f t="shared" si="168"/>
        <v>0</v>
      </c>
    </row>
    <row r="495" spans="1:17" ht="12.75">
      <c r="A495" s="16" t="s">
        <v>355</v>
      </c>
      <c r="B495" s="57">
        <v>1211</v>
      </c>
      <c r="C495" s="112"/>
      <c r="D495" s="102"/>
      <c r="E495" s="73"/>
      <c r="F495" s="190">
        <f t="shared" si="164"/>
        <v>0</v>
      </c>
      <c r="G495" s="74">
        <f>3000+2065.54</f>
        <v>5065.54</v>
      </c>
      <c r="H495" s="235"/>
      <c r="I495" s="208">
        <f t="shared" si="165"/>
        <v>5065.54</v>
      </c>
      <c r="J495" s="257"/>
      <c r="K495" s="235"/>
      <c r="L495" s="208">
        <f t="shared" si="166"/>
        <v>5065.54</v>
      </c>
      <c r="M495" s="257"/>
      <c r="N495" s="235"/>
      <c r="O495" s="208">
        <f t="shared" si="167"/>
        <v>5065.54</v>
      </c>
      <c r="P495" s="292"/>
      <c r="Q495" s="167"/>
    </row>
    <row r="496" spans="1:17" ht="12.75">
      <c r="A496" s="20" t="s">
        <v>287</v>
      </c>
      <c r="B496" s="57">
        <v>1209</v>
      </c>
      <c r="C496" s="112"/>
      <c r="D496" s="102">
        <f>600</f>
        <v>600</v>
      </c>
      <c r="E496" s="73"/>
      <c r="F496" s="190">
        <f t="shared" si="164"/>
        <v>600</v>
      </c>
      <c r="G496" s="74">
        <f>-28</f>
        <v>-28</v>
      </c>
      <c r="H496" s="235"/>
      <c r="I496" s="208">
        <f t="shared" si="165"/>
        <v>572</v>
      </c>
      <c r="J496" s="257"/>
      <c r="K496" s="235"/>
      <c r="L496" s="208">
        <f t="shared" si="166"/>
        <v>572</v>
      </c>
      <c r="M496" s="257"/>
      <c r="N496" s="235"/>
      <c r="O496" s="208">
        <f t="shared" si="167"/>
        <v>572</v>
      </c>
      <c r="P496" s="292"/>
      <c r="Q496" s="167">
        <f t="shared" si="168"/>
        <v>572</v>
      </c>
    </row>
    <row r="497" spans="1:17" ht="12.75">
      <c r="A497" s="16" t="s">
        <v>256</v>
      </c>
      <c r="B497" s="57">
        <v>1202</v>
      </c>
      <c r="C497" s="112"/>
      <c r="D497" s="102"/>
      <c r="E497" s="73">
        <f>524.5</f>
        <v>524.5</v>
      </c>
      <c r="F497" s="190">
        <f t="shared" si="164"/>
        <v>524.5</v>
      </c>
      <c r="G497" s="74"/>
      <c r="H497" s="235"/>
      <c r="I497" s="208">
        <f t="shared" si="165"/>
        <v>524.5</v>
      </c>
      <c r="J497" s="257"/>
      <c r="K497" s="235"/>
      <c r="L497" s="208">
        <f t="shared" si="166"/>
        <v>524.5</v>
      </c>
      <c r="M497" s="257">
        <f>88.9</f>
        <v>88.9</v>
      </c>
      <c r="N497" s="235"/>
      <c r="O497" s="208">
        <f t="shared" si="167"/>
        <v>613.4</v>
      </c>
      <c r="P497" s="292"/>
      <c r="Q497" s="167">
        <f t="shared" si="168"/>
        <v>613.4</v>
      </c>
    </row>
    <row r="498" spans="1:17" ht="12.75">
      <c r="A498" s="16" t="s">
        <v>268</v>
      </c>
      <c r="B498" s="57">
        <v>1216</v>
      </c>
      <c r="C498" s="112"/>
      <c r="D498" s="102">
        <f>4000</f>
        <v>4000</v>
      </c>
      <c r="E498" s="73">
        <f>219-4000</f>
        <v>-3781</v>
      </c>
      <c r="F498" s="190">
        <f t="shared" si="164"/>
        <v>219</v>
      </c>
      <c r="G498" s="74"/>
      <c r="H498" s="235"/>
      <c r="I498" s="208">
        <f t="shared" si="165"/>
        <v>219</v>
      </c>
      <c r="J498" s="257"/>
      <c r="K498" s="235"/>
      <c r="L498" s="208">
        <f t="shared" si="166"/>
        <v>219</v>
      </c>
      <c r="M498" s="257"/>
      <c r="N498" s="235"/>
      <c r="O498" s="208">
        <f t="shared" si="167"/>
        <v>219</v>
      </c>
      <c r="P498" s="292"/>
      <c r="Q498" s="167">
        <f t="shared" si="168"/>
        <v>219</v>
      </c>
    </row>
    <row r="499" spans="1:17" ht="12.75">
      <c r="A499" s="16" t="s">
        <v>272</v>
      </c>
      <c r="B499" s="57">
        <v>1239</v>
      </c>
      <c r="C499" s="112">
        <v>19850</v>
      </c>
      <c r="D499" s="102">
        <f>13000-3000+2500</f>
        <v>12500</v>
      </c>
      <c r="E499" s="73">
        <f>-6400</f>
        <v>-6400</v>
      </c>
      <c r="F499" s="190">
        <f t="shared" si="164"/>
        <v>25950</v>
      </c>
      <c r="G499" s="74">
        <f>-3900+28581+22.79+8000</f>
        <v>32703.79</v>
      </c>
      <c r="H499" s="235"/>
      <c r="I499" s="208">
        <f t="shared" si="165"/>
        <v>58653.79</v>
      </c>
      <c r="J499" s="257">
        <f>353.42-51</f>
        <v>302.42</v>
      </c>
      <c r="K499" s="235"/>
      <c r="L499" s="208">
        <f t="shared" si="166"/>
        <v>58956.21</v>
      </c>
      <c r="M499" s="257">
        <f>-50+168.7</f>
        <v>118.69999999999999</v>
      </c>
      <c r="N499" s="235"/>
      <c r="O499" s="208">
        <f t="shared" si="167"/>
        <v>59074.909999999996</v>
      </c>
      <c r="P499" s="292"/>
      <c r="Q499" s="167">
        <f t="shared" si="168"/>
        <v>59074.909999999996</v>
      </c>
    </row>
    <row r="500" spans="1:17" ht="12.75">
      <c r="A500" s="20" t="s">
        <v>257</v>
      </c>
      <c r="B500" s="57">
        <v>1300</v>
      </c>
      <c r="C500" s="112"/>
      <c r="D500" s="102">
        <f>100+3706+3000+2200+8000+10000+1000+30000</f>
        <v>58006</v>
      </c>
      <c r="E500" s="73">
        <f>1300+7350+3000-100+31500-2200-8000</f>
        <v>32850</v>
      </c>
      <c r="F500" s="190">
        <f t="shared" si="164"/>
        <v>90856</v>
      </c>
      <c r="G500" s="74">
        <f>700+8000+1500+5000+270.23</f>
        <v>15470.23</v>
      </c>
      <c r="H500" s="235">
        <f>61000+4321+60000+15000+7890+5600+2100</f>
        <v>155911</v>
      </c>
      <c r="I500" s="208">
        <f t="shared" si="165"/>
        <v>262237.23</v>
      </c>
      <c r="J500" s="257">
        <f>4250+500+47000</f>
        <v>51750</v>
      </c>
      <c r="K500" s="235">
        <f>2756.76+13271.76+1433.44-1500</f>
        <v>15961.96</v>
      </c>
      <c r="L500" s="208">
        <f t="shared" si="166"/>
        <v>329949.19</v>
      </c>
      <c r="M500" s="257">
        <f>1800-800+202.45</f>
        <v>1202.45</v>
      </c>
      <c r="N500" s="235"/>
      <c r="O500" s="208">
        <f t="shared" si="167"/>
        <v>331151.64</v>
      </c>
      <c r="P500" s="292"/>
      <c r="Q500" s="167">
        <f t="shared" si="168"/>
        <v>331151.64</v>
      </c>
    </row>
    <row r="501" spans="1:17" ht="12.75">
      <c r="A501" s="19" t="s">
        <v>267</v>
      </c>
      <c r="B501" s="60">
        <v>1110</v>
      </c>
      <c r="C501" s="290">
        <v>12000</v>
      </c>
      <c r="D501" s="172">
        <f>18000</f>
        <v>18000</v>
      </c>
      <c r="E501" s="81"/>
      <c r="F501" s="195">
        <f t="shared" si="164"/>
        <v>30000</v>
      </c>
      <c r="G501" s="226">
        <f>9382+4.18</f>
        <v>9386.18</v>
      </c>
      <c r="H501" s="241"/>
      <c r="I501" s="213">
        <f t="shared" si="165"/>
        <v>39386.18</v>
      </c>
      <c r="J501" s="264"/>
      <c r="K501" s="241"/>
      <c r="L501" s="213">
        <f t="shared" si="166"/>
        <v>39386.18</v>
      </c>
      <c r="M501" s="264">
        <f>515.97</f>
        <v>515.97</v>
      </c>
      <c r="N501" s="241"/>
      <c r="O501" s="213">
        <f t="shared" si="167"/>
        <v>39902.15</v>
      </c>
      <c r="P501" s="295"/>
      <c r="Q501" s="168">
        <f t="shared" si="168"/>
        <v>39902.15</v>
      </c>
    </row>
    <row r="502" spans="1:17" ht="12.75">
      <c r="A502" s="13" t="s">
        <v>371</v>
      </c>
      <c r="B502" s="61"/>
      <c r="C502" s="111">
        <f aca="true" t="shared" si="169" ref="C502:Q502">C503</f>
        <v>1</v>
      </c>
      <c r="D502" s="92">
        <f t="shared" si="169"/>
        <v>2458.05</v>
      </c>
      <c r="E502" s="72">
        <f t="shared" si="169"/>
        <v>0</v>
      </c>
      <c r="F502" s="189">
        <f t="shared" si="169"/>
        <v>2459.05</v>
      </c>
      <c r="G502" s="71">
        <f t="shared" si="169"/>
        <v>0</v>
      </c>
      <c r="H502" s="234">
        <f t="shared" si="169"/>
        <v>0</v>
      </c>
      <c r="I502" s="207">
        <f t="shared" si="169"/>
        <v>2459.05</v>
      </c>
      <c r="J502" s="256">
        <f t="shared" si="169"/>
        <v>0</v>
      </c>
      <c r="K502" s="234">
        <f t="shared" si="169"/>
        <v>0</v>
      </c>
      <c r="L502" s="207">
        <f t="shared" si="169"/>
        <v>2459.05</v>
      </c>
      <c r="M502" s="256">
        <f t="shared" si="169"/>
        <v>0</v>
      </c>
      <c r="N502" s="234">
        <f t="shared" si="169"/>
        <v>0</v>
      </c>
      <c r="O502" s="207">
        <f t="shared" si="169"/>
        <v>2459.05</v>
      </c>
      <c r="P502" s="92">
        <f t="shared" si="169"/>
        <v>0</v>
      </c>
      <c r="Q502" s="150">
        <f t="shared" si="169"/>
        <v>2459.05</v>
      </c>
    </row>
    <row r="503" spans="1:17" ht="12.75">
      <c r="A503" s="22" t="s">
        <v>48</v>
      </c>
      <c r="B503" s="61"/>
      <c r="C503" s="115">
        <f>C505</f>
        <v>1</v>
      </c>
      <c r="D503" s="105">
        <f aca="true" t="shared" si="170" ref="D503:Q503">D505</f>
        <v>2458.05</v>
      </c>
      <c r="E503" s="80">
        <f t="shared" si="170"/>
        <v>0</v>
      </c>
      <c r="F503" s="193">
        <f t="shared" si="170"/>
        <v>2459.05</v>
      </c>
      <c r="G503" s="79">
        <f t="shared" si="170"/>
        <v>0</v>
      </c>
      <c r="H503" s="239">
        <f t="shared" si="170"/>
        <v>0</v>
      </c>
      <c r="I503" s="211">
        <f t="shared" si="170"/>
        <v>2459.05</v>
      </c>
      <c r="J503" s="262">
        <f t="shared" si="170"/>
        <v>0</v>
      </c>
      <c r="K503" s="239">
        <f t="shared" si="170"/>
        <v>0</v>
      </c>
      <c r="L503" s="211">
        <f t="shared" si="170"/>
        <v>2459.05</v>
      </c>
      <c r="M503" s="262">
        <f t="shared" si="170"/>
        <v>0</v>
      </c>
      <c r="N503" s="239">
        <f t="shared" si="170"/>
        <v>0</v>
      </c>
      <c r="O503" s="211">
        <f t="shared" si="170"/>
        <v>2459.05</v>
      </c>
      <c r="P503" s="105">
        <f t="shared" si="170"/>
        <v>0</v>
      </c>
      <c r="Q503" s="154">
        <f t="shared" si="170"/>
        <v>2459.05</v>
      </c>
    </row>
    <row r="504" spans="1:17" ht="12.75">
      <c r="A504" s="18" t="s">
        <v>26</v>
      </c>
      <c r="B504" s="57"/>
      <c r="C504" s="112"/>
      <c r="D504" s="102"/>
      <c r="E504" s="73"/>
      <c r="F504" s="190"/>
      <c r="G504" s="74"/>
      <c r="H504" s="235"/>
      <c r="I504" s="208"/>
      <c r="J504" s="257"/>
      <c r="K504" s="235"/>
      <c r="L504" s="208"/>
      <c r="M504" s="257"/>
      <c r="N504" s="235"/>
      <c r="O504" s="208"/>
      <c r="P504" s="292"/>
      <c r="Q504" s="167"/>
    </row>
    <row r="505" spans="1:17" ht="12.75">
      <c r="A505" s="126" t="s">
        <v>50</v>
      </c>
      <c r="B505" s="229"/>
      <c r="C505" s="181">
        <v>1</v>
      </c>
      <c r="D505" s="172">
        <f>2458.05</f>
        <v>2458.05</v>
      </c>
      <c r="E505" s="230"/>
      <c r="F505" s="195">
        <f>C505+D505+E505</f>
        <v>2459.05</v>
      </c>
      <c r="G505" s="226"/>
      <c r="H505" s="241"/>
      <c r="I505" s="213">
        <f>F505+G505+H505</f>
        <v>2459.05</v>
      </c>
      <c r="J505" s="264"/>
      <c r="K505" s="241"/>
      <c r="L505" s="213">
        <f>I505+J505+K505</f>
        <v>2459.05</v>
      </c>
      <c r="M505" s="264"/>
      <c r="N505" s="241"/>
      <c r="O505" s="213">
        <f>L505+M505+N505</f>
        <v>2459.05</v>
      </c>
      <c r="P505" s="295"/>
      <c r="Q505" s="168">
        <f>O505+P505</f>
        <v>2459.05</v>
      </c>
    </row>
    <row r="506" spans="1:17" ht="12.75">
      <c r="A506" s="13" t="s">
        <v>92</v>
      </c>
      <c r="B506" s="61"/>
      <c r="C506" s="111">
        <f>C508+C509</f>
        <v>666648</v>
      </c>
      <c r="D506" s="92">
        <f aca="true" t="shared" si="171" ref="D506:Q506">D508+D509</f>
        <v>773220.8600000001</v>
      </c>
      <c r="E506" s="72">
        <f t="shared" si="171"/>
        <v>0</v>
      </c>
      <c r="F506" s="189">
        <f t="shared" si="171"/>
        <v>1439868.8599999996</v>
      </c>
      <c r="G506" s="71">
        <f t="shared" si="171"/>
        <v>197285.56</v>
      </c>
      <c r="H506" s="234">
        <f t="shared" si="171"/>
        <v>0</v>
      </c>
      <c r="I506" s="207">
        <f t="shared" si="171"/>
        <v>1637154.42</v>
      </c>
      <c r="J506" s="256">
        <f t="shared" si="171"/>
        <v>54877.880000000005</v>
      </c>
      <c r="K506" s="234">
        <f t="shared" si="171"/>
        <v>0</v>
      </c>
      <c r="L506" s="207">
        <f t="shared" si="171"/>
        <v>1692032.2999999996</v>
      </c>
      <c r="M506" s="256">
        <f t="shared" si="171"/>
        <v>105117</v>
      </c>
      <c r="N506" s="234">
        <f t="shared" si="171"/>
        <v>0</v>
      </c>
      <c r="O506" s="207">
        <f t="shared" si="171"/>
        <v>1797149.2999999996</v>
      </c>
      <c r="P506" s="92">
        <f t="shared" si="171"/>
        <v>0</v>
      </c>
      <c r="Q506" s="150">
        <f t="shared" si="171"/>
        <v>1797149.2999999996</v>
      </c>
    </row>
    <row r="507" spans="1:17" ht="12.75">
      <c r="A507" s="15" t="s">
        <v>26</v>
      </c>
      <c r="B507" s="57"/>
      <c r="C507" s="111"/>
      <c r="D507" s="92"/>
      <c r="E507" s="72"/>
      <c r="F507" s="189"/>
      <c r="G507" s="71"/>
      <c r="H507" s="234"/>
      <c r="I507" s="207"/>
      <c r="J507" s="256"/>
      <c r="K507" s="234"/>
      <c r="L507" s="207"/>
      <c r="M507" s="256"/>
      <c r="N507" s="234"/>
      <c r="O507" s="207"/>
      <c r="P507" s="92"/>
      <c r="Q507" s="150"/>
    </row>
    <row r="508" spans="1:17" ht="12.75">
      <c r="A508" s="13" t="s">
        <v>48</v>
      </c>
      <c r="B508" s="61"/>
      <c r="C508" s="113">
        <f>C512+C519+C521+C533+C535+C540+C552+C536+C526+C554+C528+C558+C542</f>
        <v>38780</v>
      </c>
      <c r="D508" s="113">
        <f aca="true" t="shared" si="172" ref="D508:L508">D512+D519+D521+D533+D535+D540+D552+D536+D526+D554+D528+D558+D542</f>
        <v>78707.63</v>
      </c>
      <c r="E508" s="113">
        <f t="shared" si="172"/>
        <v>0</v>
      </c>
      <c r="F508" s="113">
        <f t="shared" si="172"/>
        <v>117487.62999999999</v>
      </c>
      <c r="G508" s="113">
        <f t="shared" si="172"/>
        <v>132348.46</v>
      </c>
      <c r="H508" s="113">
        <f t="shared" si="172"/>
        <v>0</v>
      </c>
      <c r="I508" s="113">
        <f t="shared" si="172"/>
        <v>249836.09</v>
      </c>
      <c r="J508" s="75">
        <f t="shared" si="172"/>
        <v>-29281.81</v>
      </c>
      <c r="K508" s="237">
        <f t="shared" si="172"/>
        <v>0</v>
      </c>
      <c r="L508" s="280">
        <f t="shared" si="172"/>
        <v>220554.28</v>
      </c>
      <c r="M508" s="259">
        <f>M512+M519+M521+M533+M535+M540+M552+M536+M526+M554+M528+M558</f>
        <v>8629.810000000001</v>
      </c>
      <c r="N508" s="237">
        <f>N512+N519+N521+N533+N535+N540+N552+N536+N526+N554+N528+N558</f>
        <v>0</v>
      </c>
      <c r="O508" s="209">
        <f>O512+O519+O521+O533+O535+O540+O552+O536+O526+O554+O528+O558</f>
        <v>229184.09</v>
      </c>
      <c r="P508" s="103">
        <f>P512+P519+P521+P533+P535+P540+P552+P536+P526+P554+P528+P558</f>
        <v>0</v>
      </c>
      <c r="Q508" s="152">
        <f>Q512+Q519+Q521+Q533+Q535+Q540+Q552+Q536+Q526+Q554+Q528+Q558</f>
        <v>229184.09</v>
      </c>
    </row>
    <row r="509" spans="1:17" ht="12.75">
      <c r="A509" s="13" t="s">
        <v>52</v>
      </c>
      <c r="B509" s="61"/>
      <c r="C509" s="113">
        <f>+C513+C514+C516+C517+C518+C522+C523+C525+C527+C529+C531+C532+C534+C537+C539+C541+C543+C545+C546+C548+C549+C551+C553+C555+C557</f>
        <v>627868</v>
      </c>
      <c r="D509" s="103">
        <f aca="true" t="shared" si="173" ref="D509:Q509">+D513+D514+D516+D517+D518+D522+D523+D525+D527+D529+D531+D532+D534+D537+D539+D541+D543+D545+D546+D548+D549+D551+D553+D555+D557</f>
        <v>694513.2300000001</v>
      </c>
      <c r="E509" s="76">
        <f t="shared" si="173"/>
        <v>0</v>
      </c>
      <c r="F509" s="191">
        <f t="shared" si="173"/>
        <v>1322381.2299999997</v>
      </c>
      <c r="G509" s="75">
        <f t="shared" si="173"/>
        <v>64937.100000000006</v>
      </c>
      <c r="H509" s="237">
        <f t="shared" si="173"/>
        <v>0</v>
      </c>
      <c r="I509" s="209">
        <f t="shared" si="173"/>
        <v>1387318.3299999998</v>
      </c>
      <c r="J509" s="259">
        <f t="shared" si="173"/>
        <v>84159.69</v>
      </c>
      <c r="K509" s="237">
        <f t="shared" si="173"/>
        <v>0</v>
      </c>
      <c r="L509" s="209">
        <f t="shared" si="173"/>
        <v>1471478.0199999996</v>
      </c>
      <c r="M509" s="259">
        <f t="shared" si="173"/>
        <v>96487.19</v>
      </c>
      <c r="N509" s="237">
        <f t="shared" si="173"/>
        <v>0</v>
      </c>
      <c r="O509" s="209">
        <f t="shared" si="173"/>
        <v>1567965.2099999995</v>
      </c>
      <c r="P509" s="103">
        <f t="shared" si="173"/>
        <v>0</v>
      </c>
      <c r="Q509" s="152">
        <f t="shared" si="173"/>
        <v>1567965.2099999995</v>
      </c>
    </row>
    <row r="510" spans="1:17" ht="12.75">
      <c r="A510" s="14" t="s">
        <v>93</v>
      </c>
      <c r="B510" s="57"/>
      <c r="C510" s="111"/>
      <c r="D510" s="92"/>
      <c r="E510" s="72"/>
      <c r="F510" s="189"/>
      <c r="G510" s="71"/>
      <c r="H510" s="234"/>
      <c r="I510" s="207"/>
      <c r="J510" s="256"/>
      <c r="K510" s="234"/>
      <c r="L510" s="207"/>
      <c r="M510" s="256"/>
      <c r="N510" s="234"/>
      <c r="O510" s="207"/>
      <c r="P510" s="292"/>
      <c r="Q510" s="167"/>
    </row>
    <row r="511" spans="1:17" ht="12.75">
      <c r="A511" s="58" t="s">
        <v>289</v>
      </c>
      <c r="B511" s="57"/>
      <c r="C511" s="112">
        <f>C512+C513+C514</f>
        <v>33977</v>
      </c>
      <c r="D511" s="102">
        <f aca="true" t="shared" si="174" ref="D511:Q511">D512+D513+D514</f>
        <v>28400.73</v>
      </c>
      <c r="E511" s="73">
        <f t="shared" si="174"/>
        <v>0</v>
      </c>
      <c r="F511" s="190">
        <f t="shared" si="174"/>
        <v>62377.729999999996</v>
      </c>
      <c r="G511" s="74">
        <f t="shared" si="174"/>
        <v>0</v>
      </c>
      <c r="H511" s="235">
        <f t="shared" si="174"/>
        <v>0</v>
      </c>
      <c r="I511" s="208">
        <f t="shared" si="174"/>
        <v>62377.729999999996</v>
      </c>
      <c r="J511" s="257">
        <f t="shared" si="174"/>
        <v>0</v>
      </c>
      <c r="K511" s="235">
        <f t="shared" si="174"/>
        <v>0</v>
      </c>
      <c r="L511" s="208">
        <f t="shared" si="174"/>
        <v>62377.729999999996</v>
      </c>
      <c r="M511" s="257">
        <f t="shared" si="174"/>
        <v>0</v>
      </c>
      <c r="N511" s="235">
        <f t="shared" si="174"/>
        <v>0</v>
      </c>
      <c r="O511" s="208">
        <f t="shared" si="174"/>
        <v>62377.729999999996</v>
      </c>
      <c r="P511" s="102">
        <f t="shared" si="174"/>
        <v>0</v>
      </c>
      <c r="Q511" s="151">
        <f t="shared" si="174"/>
        <v>62377.729999999996</v>
      </c>
    </row>
    <row r="512" spans="1:17" ht="12.75" hidden="1">
      <c r="A512" s="15" t="s">
        <v>101</v>
      </c>
      <c r="B512" s="57"/>
      <c r="C512" s="111"/>
      <c r="D512" s="92"/>
      <c r="E512" s="72"/>
      <c r="F512" s="190">
        <f>C512+D512+E512</f>
        <v>0</v>
      </c>
      <c r="G512" s="71"/>
      <c r="H512" s="234"/>
      <c r="I512" s="208">
        <f>F512+G512+H512</f>
        <v>0</v>
      </c>
      <c r="J512" s="256"/>
      <c r="K512" s="234"/>
      <c r="L512" s="208">
        <f>I512+J512+K512</f>
        <v>0</v>
      </c>
      <c r="M512" s="256"/>
      <c r="N512" s="234"/>
      <c r="O512" s="208">
        <f>L512+M512+N512</f>
        <v>0</v>
      </c>
      <c r="P512" s="292"/>
      <c r="Q512" s="167">
        <f>O512+P512</f>
        <v>0</v>
      </c>
    </row>
    <row r="513" spans="1:17" ht="12.75">
      <c r="A513" s="15" t="s">
        <v>95</v>
      </c>
      <c r="B513" s="57"/>
      <c r="C513" s="112">
        <v>33977</v>
      </c>
      <c r="D513" s="102">
        <f>17490.32+1634</f>
        <v>19124.32</v>
      </c>
      <c r="E513" s="72"/>
      <c r="F513" s="190">
        <f>C513+D513+E513</f>
        <v>53101.32</v>
      </c>
      <c r="G513" s="74">
        <f>700+2000</f>
        <v>2700</v>
      </c>
      <c r="H513" s="234"/>
      <c r="I513" s="208">
        <f>F513+G513+H513</f>
        <v>55801.32</v>
      </c>
      <c r="J513" s="256"/>
      <c r="K513" s="234"/>
      <c r="L513" s="208">
        <f>I513+J513+K513</f>
        <v>55801.32</v>
      </c>
      <c r="M513" s="256"/>
      <c r="N513" s="234"/>
      <c r="O513" s="208">
        <f>L513+M513+N513</f>
        <v>55801.32</v>
      </c>
      <c r="P513" s="292"/>
      <c r="Q513" s="167">
        <f>O513+P513</f>
        <v>55801.32</v>
      </c>
    </row>
    <row r="514" spans="1:17" ht="12.75">
      <c r="A514" s="15" t="s">
        <v>106</v>
      </c>
      <c r="B514" s="57"/>
      <c r="C514" s="111"/>
      <c r="D514" s="102">
        <f>10910.41-1634</f>
        <v>9276.41</v>
      </c>
      <c r="E514" s="72"/>
      <c r="F514" s="190">
        <f>C514+D514+E514</f>
        <v>9276.41</v>
      </c>
      <c r="G514" s="74">
        <f>-700-2000</f>
        <v>-2700</v>
      </c>
      <c r="H514" s="234"/>
      <c r="I514" s="208">
        <f>F514+G514+H514</f>
        <v>6576.41</v>
      </c>
      <c r="J514" s="256"/>
      <c r="K514" s="234"/>
      <c r="L514" s="208">
        <f>I514+J514+K514</f>
        <v>6576.41</v>
      </c>
      <c r="M514" s="256"/>
      <c r="N514" s="234"/>
      <c r="O514" s="208">
        <f>L514+M514+N514</f>
        <v>6576.41</v>
      </c>
      <c r="P514" s="292"/>
      <c r="Q514" s="167">
        <f>O514+P514</f>
        <v>6576.41</v>
      </c>
    </row>
    <row r="515" spans="1:17" ht="12.75">
      <c r="A515" s="15" t="s">
        <v>97</v>
      </c>
      <c r="B515" s="57">
        <v>10</v>
      </c>
      <c r="C515" s="112">
        <f>SUM(C516:C519)</f>
        <v>100000</v>
      </c>
      <c r="D515" s="102">
        <f aca="true" t="shared" si="175" ref="D515:Q515">SUM(D516:D519)</f>
        <v>346443.79</v>
      </c>
      <c r="E515" s="73">
        <f t="shared" si="175"/>
        <v>0</v>
      </c>
      <c r="F515" s="190">
        <f t="shared" si="175"/>
        <v>446443.79</v>
      </c>
      <c r="G515" s="74">
        <f t="shared" si="175"/>
        <v>0</v>
      </c>
      <c r="H515" s="235">
        <f t="shared" si="175"/>
        <v>0</v>
      </c>
      <c r="I515" s="208">
        <f t="shared" si="175"/>
        <v>446443.79000000004</v>
      </c>
      <c r="J515" s="257">
        <f t="shared" si="175"/>
        <v>0</v>
      </c>
      <c r="K515" s="235">
        <f t="shared" si="175"/>
        <v>0</v>
      </c>
      <c r="L515" s="208">
        <f t="shared" si="175"/>
        <v>446443.79000000004</v>
      </c>
      <c r="M515" s="257">
        <f t="shared" si="175"/>
        <v>0</v>
      </c>
      <c r="N515" s="235">
        <f t="shared" si="175"/>
        <v>0</v>
      </c>
      <c r="O515" s="208">
        <f t="shared" si="175"/>
        <v>446443.79000000004</v>
      </c>
      <c r="P515" s="102">
        <f t="shared" si="175"/>
        <v>0</v>
      </c>
      <c r="Q515" s="151">
        <f t="shared" si="175"/>
        <v>446443.79000000004</v>
      </c>
    </row>
    <row r="516" spans="1:17" ht="12.75" hidden="1">
      <c r="A516" s="15" t="s">
        <v>98</v>
      </c>
      <c r="B516" s="57"/>
      <c r="C516" s="112"/>
      <c r="D516" s="102"/>
      <c r="E516" s="73"/>
      <c r="F516" s="190">
        <f aca="true" t="shared" si="176" ref="F516:F561">C516+D516+E516</f>
        <v>0</v>
      </c>
      <c r="G516" s="74"/>
      <c r="H516" s="235"/>
      <c r="I516" s="208">
        <f>F516+G516+H516</f>
        <v>0</v>
      </c>
      <c r="J516" s="257"/>
      <c r="K516" s="235"/>
      <c r="L516" s="208">
        <f>I516+J516+K516</f>
        <v>0</v>
      </c>
      <c r="M516" s="257"/>
      <c r="N516" s="235"/>
      <c r="O516" s="208">
        <f>L516+M516+N516</f>
        <v>0</v>
      </c>
      <c r="P516" s="292"/>
      <c r="Q516" s="167">
        <f>O516+P516</f>
        <v>0</v>
      </c>
    </row>
    <row r="517" spans="1:17" ht="12.75">
      <c r="A517" s="58" t="s">
        <v>95</v>
      </c>
      <c r="B517" s="57"/>
      <c r="C517" s="112">
        <v>80000</v>
      </c>
      <c r="D517" s="142">
        <f>20000+1000+318000</f>
        <v>339000</v>
      </c>
      <c r="E517" s="84"/>
      <c r="F517" s="190">
        <f t="shared" si="176"/>
        <v>419000</v>
      </c>
      <c r="G517" s="74">
        <f>-150000</f>
        <v>-150000</v>
      </c>
      <c r="H517" s="235"/>
      <c r="I517" s="208">
        <f>F517+G517+H517</f>
        <v>269000</v>
      </c>
      <c r="J517" s="257">
        <f>30000</f>
        <v>30000</v>
      </c>
      <c r="K517" s="235"/>
      <c r="L517" s="208">
        <f>I517+J517+K517</f>
        <v>299000</v>
      </c>
      <c r="M517" s="257"/>
      <c r="N517" s="235"/>
      <c r="O517" s="208">
        <f>L517+M517+N517</f>
        <v>299000</v>
      </c>
      <c r="P517" s="292"/>
      <c r="Q517" s="167">
        <f>O517+P517</f>
        <v>299000</v>
      </c>
    </row>
    <row r="518" spans="1:17" ht="12.75">
      <c r="A518" s="15" t="s">
        <v>96</v>
      </c>
      <c r="B518" s="57"/>
      <c r="C518" s="112"/>
      <c r="D518" s="102">
        <f>755.69</f>
        <v>755.69</v>
      </c>
      <c r="E518" s="73"/>
      <c r="F518" s="190">
        <f t="shared" si="176"/>
        <v>755.69</v>
      </c>
      <c r="G518" s="74"/>
      <c r="H518" s="235"/>
      <c r="I518" s="208">
        <f>F518+G518+H518</f>
        <v>755.69</v>
      </c>
      <c r="J518" s="257"/>
      <c r="K518" s="235"/>
      <c r="L518" s="208">
        <f>I518+J518+K518</f>
        <v>755.69</v>
      </c>
      <c r="M518" s="257"/>
      <c r="N518" s="235"/>
      <c r="O518" s="208">
        <f>L518+M518+N518</f>
        <v>755.69</v>
      </c>
      <c r="P518" s="292"/>
      <c r="Q518" s="167">
        <f>O518+P518</f>
        <v>755.69</v>
      </c>
    </row>
    <row r="519" spans="1:17" ht="12.75">
      <c r="A519" s="16" t="s">
        <v>125</v>
      </c>
      <c r="B519" s="57"/>
      <c r="C519" s="112">
        <v>20000</v>
      </c>
      <c r="D519" s="171">
        <f>6688.1</f>
        <v>6688.1</v>
      </c>
      <c r="E519" s="73"/>
      <c r="F519" s="190">
        <f t="shared" si="176"/>
        <v>26688.1</v>
      </c>
      <c r="G519" s="74">
        <f>150000</f>
        <v>150000</v>
      </c>
      <c r="H519" s="235"/>
      <c r="I519" s="208">
        <f>F519+G519+H519</f>
        <v>176688.1</v>
      </c>
      <c r="J519" s="257">
        <f>-30000</f>
        <v>-30000</v>
      </c>
      <c r="K519" s="235"/>
      <c r="L519" s="208">
        <f>I519+J519+K519</f>
        <v>146688.1</v>
      </c>
      <c r="M519" s="257"/>
      <c r="N519" s="235"/>
      <c r="O519" s="208">
        <f>L519+M519+N519</f>
        <v>146688.1</v>
      </c>
      <c r="P519" s="292"/>
      <c r="Q519" s="167">
        <f>O519+P519</f>
        <v>146688.1</v>
      </c>
    </row>
    <row r="520" spans="1:17" ht="12.75">
      <c r="A520" s="15" t="s">
        <v>100</v>
      </c>
      <c r="B520" s="57">
        <v>12</v>
      </c>
      <c r="C520" s="112">
        <f aca="true" t="shared" si="177" ref="C520:Q520">C521+C522+C523</f>
        <v>19000</v>
      </c>
      <c r="D520" s="102">
        <f t="shared" si="177"/>
        <v>36129</v>
      </c>
      <c r="E520" s="73">
        <f t="shared" si="177"/>
        <v>0</v>
      </c>
      <c r="F520" s="190">
        <f t="shared" si="177"/>
        <v>55129.00000000001</v>
      </c>
      <c r="G520" s="74">
        <f t="shared" si="177"/>
        <v>-18820</v>
      </c>
      <c r="H520" s="235">
        <f t="shared" si="177"/>
        <v>0</v>
      </c>
      <c r="I520" s="208">
        <f t="shared" si="177"/>
        <v>36309.00000000001</v>
      </c>
      <c r="J520" s="257">
        <f t="shared" si="177"/>
        <v>0</v>
      </c>
      <c r="K520" s="235">
        <f t="shared" si="177"/>
        <v>0</v>
      </c>
      <c r="L520" s="208">
        <f t="shared" si="177"/>
        <v>36309.00000000001</v>
      </c>
      <c r="M520" s="257">
        <f t="shared" si="177"/>
        <v>0</v>
      </c>
      <c r="N520" s="235">
        <f t="shared" si="177"/>
        <v>0</v>
      </c>
      <c r="O520" s="208">
        <f t="shared" si="177"/>
        <v>36309.00000000001</v>
      </c>
      <c r="P520" s="102">
        <f t="shared" si="177"/>
        <v>0</v>
      </c>
      <c r="Q520" s="151">
        <f t="shared" si="177"/>
        <v>36309.00000000001</v>
      </c>
    </row>
    <row r="521" spans="1:17" ht="12.75">
      <c r="A521" s="15" t="s">
        <v>101</v>
      </c>
      <c r="B521" s="57"/>
      <c r="C521" s="112">
        <v>5500</v>
      </c>
      <c r="D521" s="102">
        <f>24956.38</f>
        <v>24956.38</v>
      </c>
      <c r="E521" s="73"/>
      <c r="F521" s="190">
        <f t="shared" si="176"/>
        <v>30456.38</v>
      </c>
      <c r="G521" s="74">
        <f>-5200</f>
        <v>-5200</v>
      </c>
      <c r="H521" s="235"/>
      <c r="I521" s="208">
        <f>F521+G521+H521</f>
        <v>25256.38</v>
      </c>
      <c r="J521" s="257">
        <f>-500</f>
        <v>-500</v>
      </c>
      <c r="K521" s="235"/>
      <c r="L521" s="208">
        <f>I521+J521+K521</f>
        <v>24756.38</v>
      </c>
      <c r="M521" s="257">
        <f>-2500</f>
        <v>-2500</v>
      </c>
      <c r="N521" s="235"/>
      <c r="O521" s="208">
        <f>L521+M521+N521</f>
        <v>22256.38</v>
      </c>
      <c r="P521" s="292"/>
      <c r="Q521" s="167">
        <f>O521+P521</f>
        <v>22256.38</v>
      </c>
    </row>
    <row r="522" spans="1:17" ht="12.75">
      <c r="A522" s="15" t="s">
        <v>99</v>
      </c>
      <c r="B522" s="57"/>
      <c r="C522" s="112">
        <v>13500</v>
      </c>
      <c r="D522" s="102">
        <f>10143.19</f>
        <v>10143.19</v>
      </c>
      <c r="E522" s="73"/>
      <c r="F522" s="190">
        <f t="shared" si="176"/>
        <v>23643.190000000002</v>
      </c>
      <c r="G522" s="74">
        <f>-13120</f>
        <v>-13120</v>
      </c>
      <c r="H522" s="235"/>
      <c r="I522" s="208">
        <f>F522+G522+H522</f>
        <v>10523.190000000002</v>
      </c>
      <c r="J522" s="257">
        <f>1000</f>
        <v>1000</v>
      </c>
      <c r="K522" s="235"/>
      <c r="L522" s="208">
        <f>I522+J522+K522</f>
        <v>11523.190000000002</v>
      </c>
      <c r="M522" s="257">
        <f>2500</f>
        <v>2500</v>
      </c>
      <c r="N522" s="235"/>
      <c r="O522" s="208">
        <f>L522+M522+N522</f>
        <v>14023.190000000002</v>
      </c>
      <c r="P522" s="292"/>
      <c r="Q522" s="167">
        <f>O522+P522</f>
        <v>14023.190000000002</v>
      </c>
    </row>
    <row r="523" spans="1:17" ht="12.75" customHeight="1">
      <c r="A523" s="15" t="s">
        <v>96</v>
      </c>
      <c r="B523" s="57"/>
      <c r="C523" s="112"/>
      <c r="D523" s="102">
        <f>1029.43</f>
        <v>1029.43</v>
      </c>
      <c r="E523" s="73"/>
      <c r="F523" s="190">
        <f t="shared" si="176"/>
        <v>1029.43</v>
      </c>
      <c r="G523" s="74">
        <f>-500</f>
        <v>-500</v>
      </c>
      <c r="H523" s="235"/>
      <c r="I523" s="208">
        <f>F523+G523+H523</f>
        <v>529.4300000000001</v>
      </c>
      <c r="J523" s="257">
        <f>-500</f>
        <v>-500</v>
      </c>
      <c r="K523" s="235"/>
      <c r="L523" s="208">
        <f>I523+J523+K523</f>
        <v>29.430000000000064</v>
      </c>
      <c r="M523" s="257"/>
      <c r="N523" s="235"/>
      <c r="O523" s="208">
        <f>L523+M523+N523</f>
        <v>29.430000000000064</v>
      </c>
      <c r="P523" s="292"/>
      <c r="Q523" s="167">
        <f>O523+P523</f>
        <v>29.430000000000064</v>
      </c>
    </row>
    <row r="524" spans="1:17" ht="12.75">
      <c r="A524" s="15" t="s">
        <v>102</v>
      </c>
      <c r="B524" s="57">
        <v>14</v>
      </c>
      <c r="C524" s="112">
        <f>SUM(C525:C529)</f>
        <v>95000</v>
      </c>
      <c r="D524" s="102">
        <f aca="true" t="shared" si="178" ref="D524:Q524">SUM(D525:D529)</f>
        <v>152400</v>
      </c>
      <c r="E524" s="73">
        <f t="shared" si="178"/>
        <v>0</v>
      </c>
      <c r="F524" s="190">
        <f t="shared" si="178"/>
        <v>247400</v>
      </c>
      <c r="G524" s="74">
        <f t="shared" si="178"/>
        <v>40959.5</v>
      </c>
      <c r="H524" s="235">
        <f t="shared" si="178"/>
        <v>0</v>
      </c>
      <c r="I524" s="208">
        <f t="shared" si="178"/>
        <v>288359.5</v>
      </c>
      <c r="J524" s="257">
        <f t="shared" si="178"/>
        <v>15852.68</v>
      </c>
      <c r="K524" s="235">
        <f t="shared" si="178"/>
        <v>0</v>
      </c>
      <c r="L524" s="208">
        <f t="shared" si="178"/>
        <v>304212.18000000005</v>
      </c>
      <c r="M524" s="257">
        <f t="shared" si="178"/>
        <v>14817</v>
      </c>
      <c r="N524" s="235">
        <f t="shared" si="178"/>
        <v>0</v>
      </c>
      <c r="O524" s="208">
        <f t="shared" si="178"/>
        <v>319029.18000000005</v>
      </c>
      <c r="P524" s="102">
        <f t="shared" si="178"/>
        <v>0</v>
      </c>
      <c r="Q524" s="151">
        <f t="shared" si="178"/>
        <v>319029.18000000005</v>
      </c>
    </row>
    <row r="525" spans="1:17" ht="12.75">
      <c r="A525" s="15" t="s">
        <v>103</v>
      </c>
      <c r="B525" s="57"/>
      <c r="C525" s="112">
        <v>79500</v>
      </c>
      <c r="D525" s="142">
        <f>29774+700+3850+400+27800</f>
        <v>62524</v>
      </c>
      <c r="E525" s="84"/>
      <c r="F525" s="190">
        <f t="shared" si="176"/>
        <v>142024</v>
      </c>
      <c r="G525" s="74">
        <f>-225+7610+987.7+339.5+4000+4180+9800</f>
        <v>26692.2</v>
      </c>
      <c r="H525" s="235"/>
      <c r="I525" s="208">
        <f>F525+G525+H525</f>
        <v>168716.2</v>
      </c>
      <c r="J525" s="257">
        <f>396-270+7175.11+2203.81+695.88+7000</f>
        <v>17200.8</v>
      </c>
      <c r="K525" s="235"/>
      <c r="L525" s="208">
        <f>I525+J525+K525</f>
        <v>185917</v>
      </c>
      <c r="M525" s="257">
        <f>-1040+8266-4538.81</f>
        <v>2687.1899999999996</v>
      </c>
      <c r="N525" s="235"/>
      <c r="O525" s="208">
        <f>L525+M525+N525</f>
        <v>188604.19</v>
      </c>
      <c r="P525" s="292"/>
      <c r="Q525" s="167">
        <f aca="true" t="shared" si="179" ref="Q525:Q572">O525+P525</f>
        <v>188604.19</v>
      </c>
    </row>
    <row r="526" spans="1:17" ht="12.75">
      <c r="A526" s="15" t="s">
        <v>104</v>
      </c>
      <c r="B526" s="57"/>
      <c r="C526" s="112">
        <v>10500</v>
      </c>
      <c r="D526" s="102">
        <f>15699+1700</f>
        <v>17399</v>
      </c>
      <c r="E526" s="73"/>
      <c r="F526" s="190">
        <f t="shared" si="176"/>
        <v>27899</v>
      </c>
      <c r="G526" s="74">
        <f>305+490-987.7+820-10030.9</f>
        <v>-9403.6</v>
      </c>
      <c r="H526" s="235"/>
      <c r="I526" s="208">
        <f>F526+G526+H526</f>
        <v>18495.4</v>
      </c>
      <c r="J526" s="257">
        <f>452+270-2203.81</f>
        <v>-1481.81</v>
      </c>
      <c r="K526" s="235"/>
      <c r="L526" s="208">
        <f>I526+J526+K526</f>
        <v>17013.59</v>
      </c>
      <c r="M526" s="257">
        <f>1040+3734+6538.81</f>
        <v>11312.810000000001</v>
      </c>
      <c r="N526" s="235"/>
      <c r="O526" s="208">
        <f>L526+M526+N526</f>
        <v>28326.4</v>
      </c>
      <c r="P526" s="292"/>
      <c r="Q526" s="167">
        <f t="shared" si="179"/>
        <v>28326.4</v>
      </c>
    </row>
    <row r="527" spans="1:17" ht="13.5" customHeight="1">
      <c r="A527" s="15" t="s">
        <v>105</v>
      </c>
      <c r="B527" s="57"/>
      <c r="C527" s="112"/>
      <c r="D527" s="102">
        <f>53033+500+15000</f>
        <v>68533</v>
      </c>
      <c r="E527" s="73"/>
      <c r="F527" s="190">
        <f t="shared" si="176"/>
        <v>68533</v>
      </c>
      <c r="G527" s="74">
        <f>-4000+13120+7000+11500</f>
        <v>27620</v>
      </c>
      <c r="H527" s="235"/>
      <c r="I527" s="208">
        <f>F527+G527+H527</f>
        <v>96153</v>
      </c>
      <c r="J527" s="281">
        <f>-848+981.69</f>
        <v>133.69000000000005</v>
      </c>
      <c r="K527" s="235"/>
      <c r="L527" s="208">
        <f>I527+J527+K527</f>
        <v>96286.69</v>
      </c>
      <c r="M527" s="257"/>
      <c r="N527" s="235"/>
      <c r="O527" s="208">
        <f>L527+M527+N527</f>
        <v>96286.69</v>
      </c>
      <c r="P527" s="292"/>
      <c r="Q527" s="167">
        <f t="shared" si="179"/>
        <v>96286.69</v>
      </c>
    </row>
    <row r="528" spans="1:17" ht="13.5" customHeight="1">
      <c r="A528" s="16" t="s">
        <v>125</v>
      </c>
      <c r="B528" s="57"/>
      <c r="C528" s="112"/>
      <c r="D528" s="102">
        <f>8944</f>
        <v>8944</v>
      </c>
      <c r="E528" s="73"/>
      <c r="F528" s="190">
        <f t="shared" si="176"/>
        <v>8944</v>
      </c>
      <c r="G528" s="74">
        <f>-80-4100+230.9</f>
        <v>-3949.1</v>
      </c>
      <c r="H528" s="235"/>
      <c r="I528" s="208">
        <f>F528+G528+H528</f>
        <v>4994.9</v>
      </c>
      <c r="J528" s="257"/>
      <c r="K528" s="235"/>
      <c r="L528" s="208">
        <f>I528+J528+K528</f>
        <v>4994.9</v>
      </c>
      <c r="M528" s="257">
        <f>2817-300-1700</f>
        <v>817</v>
      </c>
      <c r="N528" s="235"/>
      <c r="O528" s="208">
        <f>L528+M528+N528</f>
        <v>5811.9</v>
      </c>
      <c r="P528" s="292"/>
      <c r="Q528" s="167">
        <f t="shared" si="179"/>
        <v>5811.9</v>
      </c>
    </row>
    <row r="529" spans="1:17" ht="12.75">
      <c r="A529" s="15" t="s">
        <v>106</v>
      </c>
      <c r="B529" s="57"/>
      <c r="C529" s="112">
        <v>5000</v>
      </c>
      <c r="D529" s="102">
        <f>-5000</f>
        <v>-5000</v>
      </c>
      <c r="E529" s="73"/>
      <c r="F529" s="190">
        <f t="shared" si="176"/>
        <v>0</v>
      </c>
      <c r="G529" s="74"/>
      <c r="H529" s="235"/>
      <c r="I529" s="208">
        <f>F529+G529+H529</f>
        <v>0</v>
      </c>
      <c r="J529" s="257"/>
      <c r="K529" s="235"/>
      <c r="L529" s="208">
        <f>I529+J529+K529</f>
        <v>0</v>
      </c>
      <c r="M529" s="257"/>
      <c r="N529" s="235"/>
      <c r="O529" s="208">
        <f>L529+M529+N529</f>
        <v>0</v>
      </c>
      <c r="P529" s="292"/>
      <c r="Q529" s="167">
        <f t="shared" si="179"/>
        <v>0</v>
      </c>
    </row>
    <row r="530" spans="1:17" ht="12.75">
      <c r="A530" s="15" t="s">
        <v>107</v>
      </c>
      <c r="B530" s="57">
        <v>15</v>
      </c>
      <c r="C530" s="112">
        <f>SUM(C531:C537)</f>
        <v>50000</v>
      </c>
      <c r="D530" s="102">
        <f aca="true" t="shared" si="180" ref="D530:Q530">SUM(D531:D537)</f>
        <v>436122.12</v>
      </c>
      <c r="E530" s="73">
        <f t="shared" si="180"/>
        <v>0</v>
      </c>
      <c r="F530" s="190">
        <f t="shared" si="180"/>
        <v>486122.12</v>
      </c>
      <c r="G530" s="74">
        <f t="shared" si="180"/>
        <v>189616</v>
      </c>
      <c r="H530" s="235">
        <f t="shared" si="180"/>
        <v>0</v>
      </c>
      <c r="I530" s="208">
        <f t="shared" si="180"/>
        <v>675738.12</v>
      </c>
      <c r="J530" s="257">
        <f t="shared" si="180"/>
        <v>71241.5</v>
      </c>
      <c r="K530" s="235">
        <f t="shared" si="180"/>
        <v>0</v>
      </c>
      <c r="L530" s="208">
        <f t="shared" si="180"/>
        <v>746979.62</v>
      </c>
      <c r="M530" s="257">
        <f t="shared" si="180"/>
        <v>93000</v>
      </c>
      <c r="N530" s="235">
        <f t="shared" si="180"/>
        <v>0</v>
      </c>
      <c r="O530" s="208">
        <f t="shared" si="180"/>
        <v>839979.62</v>
      </c>
      <c r="P530" s="102">
        <f t="shared" si="180"/>
        <v>0</v>
      </c>
      <c r="Q530" s="151">
        <f t="shared" si="180"/>
        <v>839979.62</v>
      </c>
    </row>
    <row r="531" spans="1:17" ht="12.75">
      <c r="A531" s="15" t="s">
        <v>108</v>
      </c>
      <c r="B531" s="57"/>
      <c r="C531" s="112">
        <v>16340</v>
      </c>
      <c r="D531" s="102">
        <f>51487.06+221833+70000-605+42427</f>
        <v>385142.06</v>
      </c>
      <c r="E531" s="73"/>
      <c r="F531" s="190">
        <f t="shared" si="176"/>
        <v>401482.06</v>
      </c>
      <c r="G531" s="74">
        <f>750+70000+500+122500+3178.9</f>
        <v>196928.9</v>
      </c>
      <c r="H531" s="235"/>
      <c r="I531" s="208">
        <f aca="true" t="shared" si="181" ref="I531:I537">F531+G531+H531</f>
        <v>598410.96</v>
      </c>
      <c r="J531" s="257">
        <f>50+10791.5+30000+27800</f>
        <v>68641.5</v>
      </c>
      <c r="K531" s="235"/>
      <c r="L531" s="208">
        <f aca="true" t="shared" si="182" ref="L531:L537">I531+J531+K531</f>
        <v>667052.46</v>
      </c>
      <c r="M531" s="257">
        <f>1000+7300+20000+3000+60000-900+700</f>
        <v>91100</v>
      </c>
      <c r="N531" s="235"/>
      <c r="O531" s="208">
        <f aca="true" t="shared" si="183" ref="O531:O537">L531+M531+N531</f>
        <v>758152.46</v>
      </c>
      <c r="P531" s="292"/>
      <c r="Q531" s="167">
        <f t="shared" si="179"/>
        <v>758152.46</v>
      </c>
    </row>
    <row r="532" spans="1:17" ht="12.75" hidden="1">
      <c r="A532" s="15" t="s">
        <v>109</v>
      </c>
      <c r="B532" s="57"/>
      <c r="C532" s="112"/>
      <c r="D532" s="102"/>
      <c r="E532" s="73"/>
      <c r="F532" s="190">
        <f t="shared" si="176"/>
        <v>0</v>
      </c>
      <c r="G532" s="74"/>
      <c r="H532" s="235"/>
      <c r="I532" s="208">
        <f t="shared" si="181"/>
        <v>0</v>
      </c>
      <c r="J532" s="257"/>
      <c r="K532" s="235"/>
      <c r="L532" s="208">
        <f t="shared" si="182"/>
        <v>0</v>
      </c>
      <c r="M532" s="257"/>
      <c r="N532" s="235"/>
      <c r="O532" s="208">
        <f t="shared" si="183"/>
        <v>0</v>
      </c>
      <c r="P532" s="292"/>
      <c r="Q532" s="167">
        <f t="shared" si="179"/>
        <v>0</v>
      </c>
    </row>
    <row r="533" spans="1:17" ht="12.75" hidden="1">
      <c r="A533" s="15" t="s">
        <v>110</v>
      </c>
      <c r="B533" s="57"/>
      <c r="C533" s="112"/>
      <c r="D533" s="142"/>
      <c r="E533" s="84"/>
      <c r="F533" s="190">
        <f t="shared" si="176"/>
        <v>0</v>
      </c>
      <c r="G533" s="74"/>
      <c r="H533" s="235"/>
      <c r="I533" s="208">
        <f t="shared" si="181"/>
        <v>0</v>
      </c>
      <c r="J533" s="257"/>
      <c r="K533" s="235"/>
      <c r="L533" s="208">
        <f t="shared" si="182"/>
        <v>0</v>
      </c>
      <c r="M533" s="257"/>
      <c r="N533" s="235"/>
      <c r="O533" s="208">
        <f t="shared" si="183"/>
        <v>0</v>
      </c>
      <c r="P533" s="292"/>
      <c r="Q533" s="167">
        <f t="shared" si="179"/>
        <v>0</v>
      </c>
    </row>
    <row r="534" spans="1:17" ht="12.75">
      <c r="A534" s="15" t="s">
        <v>111</v>
      </c>
      <c r="B534" s="57"/>
      <c r="C534" s="112">
        <v>30396</v>
      </c>
      <c r="D534" s="102">
        <f>37957.66</f>
        <v>37957.66</v>
      </c>
      <c r="E534" s="73"/>
      <c r="F534" s="190">
        <f t="shared" si="176"/>
        <v>68353.66</v>
      </c>
      <c r="G534" s="74">
        <f>-5684</f>
        <v>-5684</v>
      </c>
      <c r="H534" s="235"/>
      <c r="I534" s="208">
        <f t="shared" si="181"/>
        <v>62669.66</v>
      </c>
      <c r="J534" s="257"/>
      <c r="K534" s="235"/>
      <c r="L534" s="208">
        <f t="shared" si="182"/>
        <v>62669.66</v>
      </c>
      <c r="M534" s="257"/>
      <c r="N534" s="235"/>
      <c r="O534" s="208">
        <f t="shared" si="183"/>
        <v>62669.66</v>
      </c>
      <c r="P534" s="292"/>
      <c r="Q534" s="167">
        <f t="shared" si="179"/>
        <v>62669.66</v>
      </c>
    </row>
    <row r="535" spans="1:17" ht="12.75">
      <c r="A535" s="15" t="s">
        <v>112</v>
      </c>
      <c r="B535" s="57"/>
      <c r="C535" s="112">
        <v>1979</v>
      </c>
      <c r="D535" s="102">
        <f>401.5</f>
        <v>401.5</v>
      </c>
      <c r="E535" s="73"/>
      <c r="F535" s="190">
        <f t="shared" si="176"/>
        <v>2380.5</v>
      </c>
      <c r="G535" s="74"/>
      <c r="H535" s="235"/>
      <c r="I535" s="208">
        <f t="shared" si="181"/>
        <v>2380.5</v>
      </c>
      <c r="J535" s="260"/>
      <c r="K535" s="235"/>
      <c r="L535" s="208">
        <f t="shared" si="182"/>
        <v>2380.5</v>
      </c>
      <c r="M535" s="257"/>
      <c r="N535" s="235"/>
      <c r="O535" s="208">
        <f t="shared" si="183"/>
        <v>2380.5</v>
      </c>
      <c r="P535" s="292"/>
      <c r="Q535" s="167">
        <f t="shared" si="179"/>
        <v>2380.5</v>
      </c>
    </row>
    <row r="536" spans="1:17" ht="12.75">
      <c r="A536" s="15" t="s">
        <v>113</v>
      </c>
      <c r="B536" s="57"/>
      <c r="C536" s="112"/>
      <c r="D536" s="102">
        <f>4473.9+8167+605</f>
        <v>13245.9</v>
      </c>
      <c r="E536" s="73"/>
      <c r="F536" s="190">
        <f t="shared" si="176"/>
        <v>13245.9</v>
      </c>
      <c r="G536" s="74">
        <f>550+1000-3178.9</f>
        <v>-1628.9</v>
      </c>
      <c r="H536" s="235"/>
      <c r="I536" s="208">
        <f t="shared" si="181"/>
        <v>11617</v>
      </c>
      <c r="J536" s="257">
        <f>50+2650</f>
        <v>2700</v>
      </c>
      <c r="K536" s="235"/>
      <c r="L536" s="208">
        <f t="shared" si="182"/>
        <v>14317</v>
      </c>
      <c r="M536" s="257">
        <f>1900</f>
        <v>1900</v>
      </c>
      <c r="N536" s="235"/>
      <c r="O536" s="208">
        <f t="shared" si="183"/>
        <v>16217</v>
      </c>
      <c r="P536" s="292"/>
      <c r="Q536" s="167">
        <f t="shared" si="179"/>
        <v>16217</v>
      </c>
    </row>
    <row r="537" spans="1:17" ht="12.75">
      <c r="A537" s="15" t="s">
        <v>106</v>
      </c>
      <c r="B537" s="57"/>
      <c r="C537" s="112">
        <v>1285</v>
      </c>
      <c r="D537" s="102">
        <f>-625</f>
        <v>-625</v>
      </c>
      <c r="E537" s="73"/>
      <c r="F537" s="190">
        <f t="shared" si="176"/>
        <v>660</v>
      </c>
      <c r="G537" s="74"/>
      <c r="H537" s="235"/>
      <c r="I537" s="208">
        <f t="shared" si="181"/>
        <v>660</v>
      </c>
      <c r="J537" s="257">
        <f>-100</f>
        <v>-100</v>
      </c>
      <c r="K537" s="235"/>
      <c r="L537" s="208">
        <f t="shared" si="182"/>
        <v>560</v>
      </c>
      <c r="M537" s="257"/>
      <c r="N537" s="235"/>
      <c r="O537" s="208">
        <f t="shared" si="183"/>
        <v>560</v>
      </c>
      <c r="P537" s="292"/>
      <c r="Q537" s="167">
        <f t="shared" si="179"/>
        <v>560</v>
      </c>
    </row>
    <row r="538" spans="1:17" ht="12.75">
      <c r="A538" s="15" t="s">
        <v>114</v>
      </c>
      <c r="B538" s="57">
        <v>16</v>
      </c>
      <c r="C538" s="112">
        <f>SUM(C539:C543)</f>
        <v>5000</v>
      </c>
      <c r="D538" s="102">
        <f aca="true" t="shared" si="184" ref="D538:Q538">SUM(D539:D543)</f>
        <v>4013.59</v>
      </c>
      <c r="E538" s="73">
        <f t="shared" si="184"/>
        <v>0</v>
      </c>
      <c r="F538" s="190">
        <f t="shared" si="184"/>
        <v>9013.59</v>
      </c>
      <c r="G538" s="74">
        <f t="shared" si="184"/>
        <v>0</v>
      </c>
      <c r="H538" s="235">
        <f t="shared" si="184"/>
        <v>0</v>
      </c>
      <c r="I538" s="208">
        <f t="shared" si="184"/>
        <v>9013.59</v>
      </c>
      <c r="J538" s="257">
        <f t="shared" si="184"/>
        <v>3250</v>
      </c>
      <c r="K538" s="235">
        <f t="shared" si="184"/>
        <v>0</v>
      </c>
      <c r="L538" s="208">
        <f t="shared" si="184"/>
        <v>12263.59</v>
      </c>
      <c r="M538" s="257">
        <f t="shared" si="184"/>
        <v>0</v>
      </c>
      <c r="N538" s="235">
        <f t="shared" si="184"/>
        <v>0</v>
      </c>
      <c r="O538" s="208">
        <f t="shared" si="184"/>
        <v>12263.59</v>
      </c>
      <c r="P538" s="102">
        <f t="shared" si="184"/>
        <v>0</v>
      </c>
      <c r="Q538" s="151">
        <f t="shared" si="184"/>
        <v>12263.59</v>
      </c>
    </row>
    <row r="539" spans="1:17" ht="12.75">
      <c r="A539" s="15" t="s">
        <v>103</v>
      </c>
      <c r="B539" s="57"/>
      <c r="C539" s="112">
        <v>4927</v>
      </c>
      <c r="D539" s="102">
        <f>60+350+900</f>
        <v>1310</v>
      </c>
      <c r="E539" s="73"/>
      <c r="F539" s="190">
        <f t="shared" si="176"/>
        <v>6237</v>
      </c>
      <c r="G539" s="74">
        <f>-764.4</f>
        <v>-764.4</v>
      </c>
      <c r="H539" s="235"/>
      <c r="I539" s="208">
        <f>F539+G539+H539</f>
        <v>5472.6</v>
      </c>
      <c r="J539" s="257">
        <f>-24.2</f>
        <v>-24.2</v>
      </c>
      <c r="K539" s="235"/>
      <c r="L539" s="208">
        <f>I539+J539+K539</f>
        <v>5448.400000000001</v>
      </c>
      <c r="M539" s="257"/>
      <c r="N539" s="235"/>
      <c r="O539" s="208">
        <f>L539+M539+N539</f>
        <v>5448.400000000001</v>
      </c>
      <c r="P539" s="292"/>
      <c r="Q539" s="167">
        <f t="shared" si="179"/>
        <v>5448.400000000001</v>
      </c>
    </row>
    <row r="540" spans="1:17" ht="12.75">
      <c r="A540" s="15" t="s">
        <v>104</v>
      </c>
      <c r="B540" s="57"/>
      <c r="C540" s="112"/>
      <c r="D540" s="102">
        <f>200+350</f>
        <v>550</v>
      </c>
      <c r="E540" s="73"/>
      <c r="F540" s="190">
        <f t="shared" si="176"/>
        <v>550</v>
      </c>
      <c r="G540" s="74"/>
      <c r="H540" s="235"/>
      <c r="I540" s="208">
        <f>F540+G540+H540</f>
        <v>550</v>
      </c>
      <c r="J540" s="257">
        <f>750</f>
        <v>750</v>
      </c>
      <c r="K540" s="235"/>
      <c r="L540" s="208">
        <f>I540+J540+K540</f>
        <v>1300</v>
      </c>
      <c r="M540" s="257"/>
      <c r="N540" s="235"/>
      <c r="O540" s="208">
        <f>L540+M540+N540</f>
        <v>1300</v>
      </c>
      <c r="P540" s="292"/>
      <c r="Q540" s="167">
        <f t="shared" si="179"/>
        <v>1300</v>
      </c>
    </row>
    <row r="541" spans="1:17" ht="12.75">
      <c r="A541" s="15" t="s">
        <v>105</v>
      </c>
      <c r="B541" s="57"/>
      <c r="C541" s="112"/>
      <c r="D541" s="102">
        <f>1959.44+100</f>
        <v>2059.44</v>
      </c>
      <c r="E541" s="73"/>
      <c r="F541" s="190">
        <f t="shared" si="176"/>
        <v>2059.44</v>
      </c>
      <c r="G541" s="74">
        <f>50+864.4</f>
        <v>914.4</v>
      </c>
      <c r="H541" s="235"/>
      <c r="I541" s="208">
        <f>F541+G541+H541</f>
        <v>2973.84</v>
      </c>
      <c r="J541" s="257">
        <f>24.2+2500</f>
        <v>2524.2</v>
      </c>
      <c r="K541" s="235"/>
      <c r="L541" s="208">
        <f>I541+J541+K541</f>
        <v>5498.04</v>
      </c>
      <c r="M541" s="257"/>
      <c r="N541" s="235"/>
      <c r="O541" s="208">
        <f>L541+M541+N541</f>
        <v>5498.04</v>
      </c>
      <c r="P541" s="292"/>
      <c r="Q541" s="167">
        <f t="shared" si="179"/>
        <v>5498.04</v>
      </c>
    </row>
    <row r="542" spans="1:17" ht="12.75" hidden="1">
      <c r="A542" s="15" t="s">
        <v>113</v>
      </c>
      <c r="B542" s="57"/>
      <c r="C542" s="112"/>
      <c r="D542" s="102"/>
      <c r="E542" s="73"/>
      <c r="F542" s="190"/>
      <c r="G542" s="74"/>
      <c r="H542" s="235"/>
      <c r="I542" s="208">
        <f>F542+G542+H542</f>
        <v>0</v>
      </c>
      <c r="J542" s="260"/>
      <c r="K542" s="235"/>
      <c r="L542" s="208">
        <f>I542+J542+K542</f>
        <v>0</v>
      </c>
      <c r="M542" s="257"/>
      <c r="N542" s="235"/>
      <c r="O542" s="208">
        <f>L542+M542+N542</f>
        <v>0</v>
      </c>
      <c r="P542" s="292"/>
      <c r="Q542" s="167"/>
    </row>
    <row r="543" spans="1:17" ht="12.75">
      <c r="A543" s="15" t="s">
        <v>106</v>
      </c>
      <c r="B543" s="57"/>
      <c r="C543" s="112">
        <v>73</v>
      </c>
      <c r="D543" s="102">
        <f>794.15-700</f>
        <v>94.14999999999998</v>
      </c>
      <c r="E543" s="73"/>
      <c r="F543" s="190">
        <f t="shared" si="176"/>
        <v>167.14999999999998</v>
      </c>
      <c r="G543" s="74">
        <f>-50-100</f>
        <v>-150</v>
      </c>
      <c r="H543" s="235"/>
      <c r="I543" s="208">
        <f>F543+G543+H543</f>
        <v>17.149999999999977</v>
      </c>
      <c r="J543" s="257"/>
      <c r="K543" s="235"/>
      <c r="L543" s="208">
        <f>I543+J543+K543</f>
        <v>17.149999999999977</v>
      </c>
      <c r="M543" s="257"/>
      <c r="N543" s="235"/>
      <c r="O543" s="208">
        <f>L543+M543+N543</f>
        <v>17.149999999999977</v>
      </c>
      <c r="P543" s="292"/>
      <c r="Q543" s="167">
        <f t="shared" si="179"/>
        <v>17.149999999999977</v>
      </c>
    </row>
    <row r="544" spans="1:17" ht="12.75">
      <c r="A544" s="15" t="s">
        <v>94</v>
      </c>
      <c r="B544" s="57">
        <v>18</v>
      </c>
      <c r="C544" s="112">
        <f>C545+C546</f>
        <v>1670</v>
      </c>
      <c r="D544" s="102">
        <f aca="true" t="shared" si="185" ref="D544:Q544">D545+D546</f>
        <v>417.88</v>
      </c>
      <c r="E544" s="73">
        <f t="shared" si="185"/>
        <v>0</v>
      </c>
      <c r="F544" s="190">
        <f t="shared" si="185"/>
        <v>2087.88</v>
      </c>
      <c r="G544" s="74">
        <f t="shared" si="185"/>
        <v>0</v>
      </c>
      <c r="H544" s="235">
        <f t="shared" si="185"/>
        <v>0</v>
      </c>
      <c r="I544" s="208">
        <f t="shared" si="185"/>
        <v>2087.88</v>
      </c>
      <c r="J544" s="257">
        <f t="shared" si="185"/>
        <v>0</v>
      </c>
      <c r="K544" s="235">
        <f t="shared" si="185"/>
        <v>0</v>
      </c>
      <c r="L544" s="208">
        <f t="shared" si="185"/>
        <v>2087.88</v>
      </c>
      <c r="M544" s="257">
        <f t="shared" si="185"/>
        <v>0</v>
      </c>
      <c r="N544" s="235">
        <f t="shared" si="185"/>
        <v>0</v>
      </c>
      <c r="O544" s="208">
        <f t="shared" si="185"/>
        <v>2087.88</v>
      </c>
      <c r="P544" s="102">
        <f t="shared" si="185"/>
        <v>0</v>
      </c>
      <c r="Q544" s="151">
        <f t="shared" si="185"/>
        <v>2087.88</v>
      </c>
    </row>
    <row r="545" spans="1:17" ht="12.75">
      <c r="A545" s="15" t="s">
        <v>95</v>
      </c>
      <c r="B545" s="57"/>
      <c r="C545" s="112">
        <v>1670</v>
      </c>
      <c r="D545" s="102">
        <f>417.88</f>
        <v>417.88</v>
      </c>
      <c r="E545" s="73"/>
      <c r="F545" s="190">
        <f>C545+D545+E545</f>
        <v>2087.88</v>
      </c>
      <c r="G545" s="74"/>
      <c r="H545" s="235"/>
      <c r="I545" s="208">
        <f>F545+G545+H545</f>
        <v>2087.88</v>
      </c>
      <c r="J545" s="257"/>
      <c r="K545" s="235"/>
      <c r="L545" s="208">
        <f>I545+J545+K545</f>
        <v>2087.88</v>
      </c>
      <c r="M545" s="257"/>
      <c r="N545" s="235"/>
      <c r="O545" s="208">
        <f>L545+M545+N545</f>
        <v>2087.88</v>
      </c>
      <c r="P545" s="292"/>
      <c r="Q545" s="167">
        <f t="shared" si="179"/>
        <v>2087.88</v>
      </c>
    </row>
    <row r="546" spans="1:17" ht="12.75" hidden="1">
      <c r="A546" s="15" t="s">
        <v>96</v>
      </c>
      <c r="B546" s="57"/>
      <c r="C546" s="112">
        <v>0</v>
      </c>
      <c r="D546" s="102"/>
      <c r="E546" s="73"/>
      <c r="F546" s="190">
        <f>C546+D546+E546</f>
        <v>0</v>
      </c>
      <c r="G546" s="74"/>
      <c r="H546" s="235"/>
      <c r="I546" s="208">
        <f>F546+G546+H546</f>
        <v>0</v>
      </c>
      <c r="J546" s="257"/>
      <c r="K546" s="235"/>
      <c r="L546" s="208">
        <f>I546+J546+K546</f>
        <v>0</v>
      </c>
      <c r="M546" s="257"/>
      <c r="N546" s="235"/>
      <c r="O546" s="208">
        <f>L546+M546+N546</f>
        <v>0</v>
      </c>
      <c r="P546" s="292"/>
      <c r="Q546" s="167">
        <f t="shared" si="179"/>
        <v>0</v>
      </c>
    </row>
    <row r="547" spans="1:17" ht="12.75">
      <c r="A547" s="58" t="s">
        <v>229</v>
      </c>
      <c r="B547" s="57">
        <v>19</v>
      </c>
      <c r="C547" s="112">
        <f>C548+C549</f>
        <v>2000</v>
      </c>
      <c r="D547" s="102">
        <f aca="true" t="shared" si="186" ref="D547:Q547">D548+D549</f>
        <v>2274.74</v>
      </c>
      <c r="E547" s="73">
        <f t="shared" si="186"/>
        <v>0</v>
      </c>
      <c r="F547" s="190">
        <f t="shared" si="186"/>
        <v>4274.74</v>
      </c>
      <c r="G547" s="74">
        <f t="shared" si="186"/>
        <v>0</v>
      </c>
      <c r="H547" s="235">
        <f t="shared" si="186"/>
        <v>0</v>
      </c>
      <c r="I547" s="208">
        <f t="shared" si="186"/>
        <v>4274.74</v>
      </c>
      <c r="J547" s="257">
        <f t="shared" si="186"/>
        <v>0</v>
      </c>
      <c r="K547" s="235">
        <f t="shared" si="186"/>
        <v>0</v>
      </c>
      <c r="L547" s="208">
        <f t="shared" si="186"/>
        <v>4274.74</v>
      </c>
      <c r="M547" s="257">
        <f t="shared" si="186"/>
        <v>0</v>
      </c>
      <c r="N547" s="235">
        <f t="shared" si="186"/>
        <v>0</v>
      </c>
      <c r="O547" s="208">
        <f t="shared" si="186"/>
        <v>4274.74</v>
      </c>
      <c r="P547" s="102">
        <f t="shared" si="186"/>
        <v>0</v>
      </c>
      <c r="Q547" s="151">
        <f t="shared" si="186"/>
        <v>4274.74</v>
      </c>
    </row>
    <row r="548" spans="1:17" ht="12.75">
      <c r="A548" s="15" t="s">
        <v>95</v>
      </c>
      <c r="B548" s="57"/>
      <c r="C548" s="112">
        <v>2000</v>
      </c>
      <c r="D548" s="102">
        <f>2051.27</f>
        <v>2051.27</v>
      </c>
      <c r="E548" s="73"/>
      <c r="F548" s="190">
        <f>C548+D548+E548</f>
        <v>4051.27</v>
      </c>
      <c r="G548" s="74"/>
      <c r="H548" s="235"/>
      <c r="I548" s="208">
        <f>F548+G548+H548</f>
        <v>4051.27</v>
      </c>
      <c r="J548" s="257"/>
      <c r="K548" s="235"/>
      <c r="L548" s="208">
        <f>I548+J548+K548</f>
        <v>4051.27</v>
      </c>
      <c r="M548" s="257"/>
      <c r="N548" s="235"/>
      <c r="O548" s="208">
        <f>L548+M548+N548</f>
        <v>4051.27</v>
      </c>
      <c r="P548" s="292"/>
      <c r="Q548" s="167">
        <f t="shared" si="179"/>
        <v>4051.27</v>
      </c>
    </row>
    <row r="549" spans="1:17" ht="12.75">
      <c r="A549" s="15" t="s">
        <v>96</v>
      </c>
      <c r="B549" s="57"/>
      <c r="C549" s="112"/>
      <c r="D549" s="102">
        <f>223.47</f>
        <v>223.47</v>
      </c>
      <c r="E549" s="73"/>
      <c r="F549" s="190">
        <f>C549+D549+E549</f>
        <v>223.47</v>
      </c>
      <c r="G549" s="74"/>
      <c r="H549" s="235"/>
      <c r="I549" s="208">
        <f>F549+G549+H549</f>
        <v>223.47</v>
      </c>
      <c r="J549" s="257"/>
      <c r="K549" s="235"/>
      <c r="L549" s="208">
        <f>I549+J549+K549</f>
        <v>223.47</v>
      </c>
      <c r="M549" s="257"/>
      <c r="N549" s="235"/>
      <c r="O549" s="208">
        <f>L549+M549+N549</f>
        <v>223.47</v>
      </c>
      <c r="P549" s="292"/>
      <c r="Q549" s="167">
        <f t="shared" si="179"/>
        <v>223.47</v>
      </c>
    </row>
    <row r="550" spans="1:17" ht="12.75">
      <c r="A550" s="15" t="s">
        <v>115</v>
      </c>
      <c r="B550" s="57">
        <v>28</v>
      </c>
      <c r="C550" s="112">
        <f>SUM(C551:C555)</f>
        <v>30000</v>
      </c>
      <c r="D550" s="102">
        <f aca="true" t="shared" si="187" ref="D550:Q550">SUM(D551:D555)</f>
        <v>45846.26</v>
      </c>
      <c r="E550" s="73">
        <f t="shared" si="187"/>
        <v>0</v>
      </c>
      <c r="F550" s="190">
        <f t="shared" si="187"/>
        <v>75846.26000000001</v>
      </c>
      <c r="G550" s="74">
        <f t="shared" si="187"/>
        <v>-5500</v>
      </c>
      <c r="H550" s="235">
        <f t="shared" si="187"/>
        <v>0</v>
      </c>
      <c r="I550" s="208">
        <f t="shared" si="187"/>
        <v>70346.26000000001</v>
      </c>
      <c r="J550" s="257">
        <f t="shared" si="187"/>
        <v>-2216.3</v>
      </c>
      <c r="K550" s="235">
        <f t="shared" si="187"/>
        <v>0</v>
      </c>
      <c r="L550" s="208">
        <f t="shared" si="187"/>
        <v>68129.95999999999</v>
      </c>
      <c r="M550" s="257">
        <f t="shared" si="187"/>
        <v>0</v>
      </c>
      <c r="N550" s="235">
        <f t="shared" si="187"/>
        <v>0</v>
      </c>
      <c r="O550" s="208">
        <f t="shared" si="187"/>
        <v>68129.95999999999</v>
      </c>
      <c r="P550" s="102">
        <f t="shared" si="187"/>
        <v>0</v>
      </c>
      <c r="Q550" s="151">
        <f t="shared" si="187"/>
        <v>68129.95999999999</v>
      </c>
    </row>
    <row r="551" spans="1:17" ht="12.75">
      <c r="A551" s="15" t="s">
        <v>103</v>
      </c>
      <c r="B551" s="57"/>
      <c r="C551" s="112">
        <v>16800</v>
      </c>
      <c r="D551" s="142">
        <f>8596.79+3300-3800</f>
        <v>8096.790000000001</v>
      </c>
      <c r="E551" s="73"/>
      <c r="F551" s="190">
        <f t="shared" si="176"/>
        <v>24896.79</v>
      </c>
      <c r="G551" s="74"/>
      <c r="H551" s="235"/>
      <c r="I551" s="208">
        <f>F551+G551+H551</f>
        <v>24896.79</v>
      </c>
      <c r="J551" s="257">
        <f>5000</f>
        <v>5000</v>
      </c>
      <c r="K551" s="235"/>
      <c r="L551" s="208">
        <f>I551+J551+K551</f>
        <v>29896.79</v>
      </c>
      <c r="M551" s="257"/>
      <c r="N551" s="235"/>
      <c r="O551" s="208">
        <f>L551+M551+N551</f>
        <v>29896.79</v>
      </c>
      <c r="P551" s="292"/>
      <c r="Q551" s="167">
        <f t="shared" si="179"/>
        <v>29896.79</v>
      </c>
    </row>
    <row r="552" spans="1:17" ht="12.75">
      <c r="A552" s="15" t="s">
        <v>104</v>
      </c>
      <c r="B552" s="57"/>
      <c r="C552" s="112">
        <v>800</v>
      </c>
      <c r="D552" s="102">
        <f>850+1000</f>
        <v>1850</v>
      </c>
      <c r="E552" s="73"/>
      <c r="F552" s="190">
        <f t="shared" si="176"/>
        <v>2650</v>
      </c>
      <c r="G552" s="74"/>
      <c r="H552" s="235"/>
      <c r="I552" s="208">
        <f>F552+G552+H552</f>
        <v>2650</v>
      </c>
      <c r="J552" s="257"/>
      <c r="K552" s="235"/>
      <c r="L552" s="208">
        <f>I552+J552+K552</f>
        <v>2650</v>
      </c>
      <c r="M552" s="257"/>
      <c r="N552" s="235"/>
      <c r="O552" s="208">
        <f>L552+M552+N552</f>
        <v>2650</v>
      </c>
      <c r="P552" s="292"/>
      <c r="Q552" s="167">
        <f t="shared" si="179"/>
        <v>2650</v>
      </c>
    </row>
    <row r="553" spans="1:17" ht="12.75">
      <c r="A553" s="15" t="s">
        <v>116</v>
      </c>
      <c r="B553" s="57"/>
      <c r="C553" s="112">
        <v>12400</v>
      </c>
      <c r="D553" s="102">
        <f>31672.81+3000</f>
        <v>34672.81</v>
      </c>
      <c r="E553" s="73"/>
      <c r="F553" s="190">
        <f t="shared" si="176"/>
        <v>47072.81</v>
      </c>
      <c r="G553" s="74">
        <f>-5500</f>
        <v>-5500</v>
      </c>
      <c r="H553" s="235"/>
      <c r="I553" s="208">
        <f>F553+G553+H553</f>
        <v>41572.81</v>
      </c>
      <c r="J553" s="257">
        <f>-4500-2216.3</f>
        <v>-6716.3</v>
      </c>
      <c r="K553" s="235"/>
      <c r="L553" s="208">
        <f>I553+J553+K553</f>
        <v>34856.509999999995</v>
      </c>
      <c r="M553" s="257"/>
      <c r="N553" s="235"/>
      <c r="O553" s="208">
        <f>L553+M553+N553</f>
        <v>34856.509999999995</v>
      </c>
      <c r="P553" s="292"/>
      <c r="Q553" s="167">
        <f t="shared" si="179"/>
        <v>34856.509999999995</v>
      </c>
    </row>
    <row r="554" spans="1:17" ht="12.75" hidden="1">
      <c r="A554" s="15" t="s">
        <v>113</v>
      </c>
      <c r="B554" s="57"/>
      <c r="C554" s="112"/>
      <c r="D554" s="102"/>
      <c r="E554" s="73"/>
      <c r="F554" s="190">
        <f t="shared" si="176"/>
        <v>0</v>
      </c>
      <c r="G554" s="74"/>
      <c r="H554" s="235"/>
      <c r="I554" s="208">
        <f>F554+G554+H554</f>
        <v>0</v>
      </c>
      <c r="J554" s="257"/>
      <c r="K554" s="235"/>
      <c r="L554" s="208">
        <f>I554+J554+K554</f>
        <v>0</v>
      </c>
      <c r="M554" s="257"/>
      <c r="N554" s="235"/>
      <c r="O554" s="208">
        <f>L554+M554+N554</f>
        <v>0</v>
      </c>
      <c r="P554" s="292"/>
      <c r="Q554" s="167">
        <f t="shared" si="179"/>
        <v>0</v>
      </c>
    </row>
    <row r="555" spans="1:17" ht="12.75">
      <c r="A555" s="15" t="s">
        <v>106</v>
      </c>
      <c r="B555" s="57"/>
      <c r="C555" s="112"/>
      <c r="D555" s="142">
        <f>1426.66-200</f>
        <v>1226.66</v>
      </c>
      <c r="E555" s="73"/>
      <c r="F555" s="190">
        <f t="shared" si="176"/>
        <v>1226.66</v>
      </c>
      <c r="G555" s="74"/>
      <c r="H555" s="235"/>
      <c r="I555" s="208">
        <f>F555+G555+H555</f>
        <v>1226.66</v>
      </c>
      <c r="J555" s="257">
        <f>-500</f>
        <v>-500</v>
      </c>
      <c r="K555" s="235"/>
      <c r="L555" s="208">
        <f>I555+J555+K555</f>
        <v>726.6600000000001</v>
      </c>
      <c r="M555" s="257"/>
      <c r="N555" s="235"/>
      <c r="O555" s="208">
        <f>L555+M555+N555</f>
        <v>726.6600000000001</v>
      </c>
      <c r="P555" s="292"/>
      <c r="Q555" s="167">
        <f t="shared" si="179"/>
        <v>726.6600000000001</v>
      </c>
    </row>
    <row r="556" spans="1:17" ht="12.75">
      <c r="A556" s="16" t="s">
        <v>117</v>
      </c>
      <c r="B556" s="57"/>
      <c r="C556" s="112">
        <f>C557+C558</f>
        <v>330001</v>
      </c>
      <c r="D556" s="102">
        <f aca="true" t="shared" si="188" ref="D556:Q556">D557+D558</f>
        <v>-278827.25</v>
      </c>
      <c r="E556" s="73">
        <f t="shared" si="188"/>
        <v>0</v>
      </c>
      <c r="F556" s="190">
        <f t="shared" si="188"/>
        <v>51173.75</v>
      </c>
      <c r="G556" s="74">
        <f t="shared" si="188"/>
        <v>-8969.94</v>
      </c>
      <c r="H556" s="235">
        <f t="shared" si="188"/>
        <v>0</v>
      </c>
      <c r="I556" s="208">
        <f t="shared" si="188"/>
        <v>42203.81</v>
      </c>
      <c r="J556" s="257">
        <f t="shared" si="188"/>
        <v>-33250</v>
      </c>
      <c r="K556" s="235">
        <f t="shared" si="188"/>
        <v>0</v>
      </c>
      <c r="L556" s="208">
        <f t="shared" si="188"/>
        <v>8953.81</v>
      </c>
      <c r="M556" s="257">
        <f t="shared" si="188"/>
        <v>-2700</v>
      </c>
      <c r="N556" s="235">
        <f t="shared" si="188"/>
        <v>0</v>
      </c>
      <c r="O556" s="208">
        <f t="shared" si="188"/>
        <v>6253.8099999999995</v>
      </c>
      <c r="P556" s="102">
        <f t="shared" si="188"/>
        <v>0</v>
      </c>
      <c r="Q556" s="151">
        <f t="shared" si="188"/>
        <v>6253.8099999999995</v>
      </c>
    </row>
    <row r="557" spans="1:17" ht="12.75">
      <c r="A557" s="16" t="s">
        <v>215</v>
      </c>
      <c r="B557" s="57"/>
      <c r="C557" s="112">
        <v>330000</v>
      </c>
      <c r="D557" s="102">
        <f>-230000-70000+17500-1000</f>
        <v>-283500</v>
      </c>
      <c r="E557" s="73"/>
      <c r="F557" s="190">
        <f t="shared" si="176"/>
        <v>46500</v>
      </c>
      <c r="G557" s="74">
        <f>-11500</f>
        <v>-11500</v>
      </c>
      <c r="H557" s="235"/>
      <c r="I557" s="208">
        <f>F557+G557+H557</f>
        <v>35000</v>
      </c>
      <c r="J557" s="260">
        <f>-30000-2500</f>
        <v>-32500</v>
      </c>
      <c r="K557" s="235"/>
      <c r="L557" s="208">
        <f>I557+J557+K557</f>
        <v>2500</v>
      </c>
      <c r="M557" s="257">
        <f>900-700</f>
        <v>200</v>
      </c>
      <c r="N557" s="235"/>
      <c r="O557" s="208">
        <f>L557+M557+N557</f>
        <v>2700</v>
      </c>
      <c r="P557" s="292"/>
      <c r="Q557" s="167">
        <f t="shared" si="179"/>
        <v>2700</v>
      </c>
    </row>
    <row r="558" spans="1:17" ht="12.75">
      <c r="A558" s="19" t="s">
        <v>251</v>
      </c>
      <c r="B558" s="60"/>
      <c r="C558" s="181">
        <v>1</v>
      </c>
      <c r="D558" s="172">
        <f>4645.99+26.76</f>
        <v>4672.75</v>
      </c>
      <c r="E558" s="81"/>
      <c r="F558" s="195">
        <f t="shared" si="176"/>
        <v>4673.75</v>
      </c>
      <c r="G558" s="226">
        <f>2530.06</f>
        <v>2530.06</v>
      </c>
      <c r="H558" s="241"/>
      <c r="I558" s="213">
        <f>F558+G558+H558</f>
        <v>7203.8099999999995</v>
      </c>
      <c r="J558" s="264">
        <f>-750</f>
        <v>-750</v>
      </c>
      <c r="K558" s="241"/>
      <c r="L558" s="213">
        <f>I558+J558+K558</f>
        <v>6453.8099999999995</v>
      </c>
      <c r="M558" s="264">
        <f>-1000-1900</f>
        <v>-2900</v>
      </c>
      <c r="N558" s="241"/>
      <c r="O558" s="213">
        <f>L558+M558+N558</f>
        <v>3553.8099999999995</v>
      </c>
      <c r="P558" s="295"/>
      <c r="Q558" s="168">
        <f t="shared" si="179"/>
        <v>3553.8099999999995</v>
      </c>
    </row>
    <row r="559" spans="1:17" ht="13.5" thickBot="1">
      <c r="A559" s="28" t="s">
        <v>118</v>
      </c>
      <c r="B559" s="61"/>
      <c r="C559" s="113">
        <v>10846.36</v>
      </c>
      <c r="D559" s="102">
        <f>54.6</f>
        <v>54.6</v>
      </c>
      <c r="E559" s="76"/>
      <c r="F559" s="191">
        <f t="shared" si="176"/>
        <v>10900.960000000001</v>
      </c>
      <c r="G559" s="75"/>
      <c r="H559" s="235">
        <f>6941.88</f>
        <v>6941.88</v>
      </c>
      <c r="I559" s="209">
        <f>F559+G559+H559</f>
        <v>17842.84</v>
      </c>
      <c r="J559" s="259"/>
      <c r="K559" s="237"/>
      <c r="L559" s="209">
        <f>I559+J559+K559</f>
        <v>17842.84</v>
      </c>
      <c r="M559" s="257">
        <f>254.89</f>
        <v>254.89</v>
      </c>
      <c r="N559" s="237"/>
      <c r="O559" s="209">
        <f>L559+M559+N559</f>
        <v>18097.73</v>
      </c>
      <c r="P559" s="296"/>
      <c r="Q559" s="166">
        <f>O559+P559</f>
        <v>18097.73</v>
      </c>
    </row>
    <row r="560" spans="1:17" ht="15.75" thickBot="1">
      <c r="A560" s="29" t="s">
        <v>119</v>
      </c>
      <c r="B560" s="64"/>
      <c r="C560" s="118">
        <f aca="true" t="shared" si="189" ref="C560:Q560">+C81+C99+C108+C118+C136+C148+C180+C237+C257+C294+C316+C404+C441+C462+C469+C502+C506+C559+C477+C337+C287</f>
        <v>5982551.079999999</v>
      </c>
      <c r="D560" s="143">
        <f t="shared" si="189"/>
        <v>15027245.449999996</v>
      </c>
      <c r="E560" s="86">
        <f t="shared" si="189"/>
        <v>67442.82</v>
      </c>
      <c r="F560" s="197">
        <f t="shared" si="189"/>
        <v>21077239.35</v>
      </c>
      <c r="G560" s="134">
        <f t="shared" si="189"/>
        <v>1763225.6000000003</v>
      </c>
      <c r="H560" s="244">
        <f t="shared" si="189"/>
        <v>415028.33999999997</v>
      </c>
      <c r="I560" s="215">
        <f t="shared" si="189"/>
        <v>23255493.29</v>
      </c>
      <c r="J560" s="215">
        <f t="shared" si="189"/>
        <v>1094309.01</v>
      </c>
      <c r="K560" s="215">
        <f t="shared" si="189"/>
        <v>35593.59</v>
      </c>
      <c r="L560" s="215">
        <f t="shared" si="189"/>
        <v>24385395.89</v>
      </c>
      <c r="M560" s="277">
        <f t="shared" si="189"/>
        <v>648583.8699999999</v>
      </c>
      <c r="N560" s="244">
        <f t="shared" si="189"/>
        <v>0</v>
      </c>
      <c r="O560" s="215">
        <f t="shared" si="189"/>
        <v>25033979.760000005</v>
      </c>
      <c r="P560" s="143">
        <f t="shared" si="189"/>
        <v>0</v>
      </c>
      <c r="Q560" s="157">
        <f t="shared" si="189"/>
        <v>24056475.630000003</v>
      </c>
    </row>
    <row r="561" spans="1:17" ht="13.5" thickBot="1">
      <c r="A561" s="30" t="s">
        <v>120</v>
      </c>
      <c r="B561" s="64"/>
      <c r="C561" s="119">
        <v>-10846.36</v>
      </c>
      <c r="D561" s="175">
        <f>-54.6</f>
        <v>-54.6</v>
      </c>
      <c r="E561" s="136"/>
      <c r="F561" s="198">
        <f t="shared" si="176"/>
        <v>-10900.960000000001</v>
      </c>
      <c r="G561" s="135"/>
      <c r="H561" s="245"/>
      <c r="I561" s="208">
        <f>F561+G561+H561</f>
        <v>-10900.960000000001</v>
      </c>
      <c r="J561" s="265"/>
      <c r="K561" s="245"/>
      <c r="L561" s="208">
        <f>I561+J561+K561</f>
        <v>-10900.960000000001</v>
      </c>
      <c r="M561" s="289">
        <f>-254.89</f>
        <v>-254.89</v>
      </c>
      <c r="N561" s="245"/>
      <c r="O561" s="208">
        <f>L561+M561+N561</f>
        <v>-11155.85</v>
      </c>
      <c r="P561" s="297"/>
      <c r="Q561" s="167"/>
    </row>
    <row r="562" spans="1:17" ht="16.5" thickBot="1">
      <c r="A562" s="31" t="s">
        <v>121</v>
      </c>
      <c r="B562" s="64"/>
      <c r="C562" s="120">
        <f>C560+C561</f>
        <v>5971704.719999999</v>
      </c>
      <c r="D562" s="144">
        <f aca="true" t="shared" si="190" ref="D562:Q562">D560+D561</f>
        <v>15027190.849999996</v>
      </c>
      <c r="E562" s="138">
        <f t="shared" si="190"/>
        <v>67442.82</v>
      </c>
      <c r="F562" s="199">
        <f t="shared" si="190"/>
        <v>21066338.39</v>
      </c>
      <c r="G562" s="137">
        <f t="shared" si="190"/>
        <v>1763225.6000000003</v>
      </c>
      <c r="H562" s="246">
        <f t="shared" si="190"/>
        <v>415028.33999999997</v>
      </c>
      <c r="I562" s="216">
        <f t="shared" si="190"/>
        <v>23244592.33</v>
      </c>
      <c r="J562" s="273">
        <f>J560+J561</f>
        <v>1094309.01</v>
      </c>
      <c r="K562" s="268">
        <f>K560+K561</f>
        <v>35593.59</v>
      </c>
      <c r="L562" s="216">
        <f>L560+L561</f>
        <v>24374494.93</v>
      </c>
      <c r="M562" s="273">
        <f t="shared" si="190"/>
        <v>648328.9799999999</v>
      </c>
      <c r="N562" s="246">
        <f t="shared" si="190"/>
        <v>0</v>
      </c>
      <c r="O562" s="216">
        <f t="shared" si="190"/>
        <v>25022823.910000004</v>
      </c>
      <c r="P562" s="144">
        <f t="shared" si="190"/>
        <v>0</v>
      </c>
      <c r="Q562" s="158">
        <f t="shared" si="190"/>
        <v>24056475.630000003</v>
      </c>
    </row>
    <row r="563" spans="1:17" ht="15.75">
      <c r="A563" s="32" t="s">
        <v>26</v>
      </c>
      <c r="B563" s="65"/>
      <c r="C563" s="121"/>
      <c r="D563" s="145"/>
      <c r="E563" s="87"/>
      <c r="F563" s="200"/>
      <c r="G563" s="139"/>
      <c r="H563" s="247"/>
      <c r="I563" s="217"/>
      <c r="J563" s="274"/>
      <c r="K563" s="269"/>
      <c r="L563" s="217"/>
      <c r="M563" s="274"/>
      <c r="N563" s="247"/>
      <c r="O563" s="217"/>
      <c r="P563" s="145"/>
      <c r="Q563" s="159"/>
    </row>
    <row r="564" spans="1:17" ht="15.75">
      <c r="A564" s="33" t="s">
        <v>203</v>
      </c>
      <c r="B564" s="66"/>
      <c r="C564" s="122">
        <f aca="true" t="shared" si="191" ref="C564:Q564">+C82+C100+C109+C119+C137+C149+C181+C238+C258+C295+C317+C405+C442+C463+C470+C503+C508+C559+C561+C478+C338+C288</f>
        <v>4776778.8</v>
      </c>
      <c r="D564" s="146">
        <f t="shared" si="191"/>
        <v>12396087.07</v>
      </c>
      <c r="E564" s="129">
        <f t="shared" si="191"/>
        <v>44249.32</v>
      </c>
      <c r="F564" s="201">
        <f t="shared" si="191"/>
        <v>17217115.189999998</v>
      </c>
      <c r="G564" s="140">
        <f t="shared" si="191"/>
        <v>939021.7200000003</v>
      </c>
      <c r="H564" s="248">
        <f t="shared" si="191"/>
        <v>230723.13</v>
      </c>
      <c r="I564" s="218">
        <f t="shared" si="191"/>
        <v>18386860.039999995</v>
      </c>
      <c r="J564" s="275">
        <f t="shared" si="191"/>
        <v>566379.0599999999</v>
      </c>
      <c r="K564" s="270">
        <f t="shared" si="191"/>
        <v>-6987.77</v>
      </c>
      <c r="L564" s="218">
        <f t="shared" si="191"/>
        <v>18946251.330000002</v>
      </c>
      <c r="M564" s="275">
        <f t="shared" si="191"/>
        <v>327778.48</v>
      </c>
      <c r="N564" s="248">
        <f t="shared" si="191"/>
        <v>0</v>
      </c>
      <c r="O564" s="218">
        <f t="shared" si="191"/>
        <v>19274029.810000002</v>
      </c>
      <c r="P564" s="146">
        <f t="shared" si="191"/>
        <v>0</v>
      </c>
      <c r="Q564" s="160">
        <f t="shared" si="191"/>
        <v>18785892.96</v>
      </c>
    </row>
    <row r="565" spans="1:17" ht="16.5" thickBot="1">
      <c r="A565" s="21" t="s">
        <v>204</v>
      </c>
      <c r="B565" s="67"/>
      <c r="C565" s="123">
        <f aca="true" t="shared" si="192" ref="C565:Q565">+C90+C104+C115+C131+C142+C169+C227+C250+C277+C309+C333+C436+C453+C466+C509+C491+C368+C291</f>
        <v>1194925.92</v>
      </c>
      <c r="D565" s="147">
        <f t="shared" si="192"/>
        <v>2631103.7800000003</v>
      </c>
      <c r="E565" s="130">
        <f t="shared" si="192"/>
        <v>23193.5</v>
      </c>
      <c r="F565" s="202">
        <f t="shared" si="192"/>
        <v>3849223.1999999997</v>
      </c>
      <c r="G565" s="141">
        <f t="shared" si="192"/>
        <v>824203.8800000001</v>
      </c>
      <c r="H565" s="249">
        <f t="shared" si="192"/>
        <v>184305.21000000002</v>
      </c>
      <c r="I565" s="219">
        <f t="shared" si="192"/>
        <v>4857732.29</v>
      </c>
      <c r="J565" s="276">
        <f t="shared" si="192"/>
        <v>527929.95</v>
      </c>
      <c r="K565" s="271">
        <f t="shared" si="192"/>
        <v>42581.36</v>
      </c>
      <c r="L565" s="219">
        <f t="shared" si="192"/>
        <v>5428243.6</v>
      </c>
      <c r="M565" s="276">
        <f t="shared" si="192"/>
        <v>320550.49999999994</v>
      </c>
      <c r="N565" s="249">
        <f t="shared" si="192"/>
        <v>0</v>
      </c>
      <c r="O565" s="219">
        <f t="shared" si="192"/>
        <v>5748794.1</v>
      </c>
      <c r="P565" s="147">
        <f t="shared" si="192"/>
        <v>0</v>
      </c>
      <c r="Q565" s="161">
        <f t="shared" si="192"/>
        <v>5270582.67</v>
      </c>
    </row>
    <row r="566" spans="1:17" ht="16.5" thickBot="1">
      <c r="A566" s="33" t="s">
        <v>197</v>
      </c>
      <c r="B566" s="66"/>
      <c r="C566" s="118">
        <f aca="true" t="shared" si="193" ref="C566:Q566">C79-C562</f>
        <v>-219999.99999999907</v>
      </c>
      <c r="D566" s="143">
        <f t="shared" si="193"/>
        <v>-2849586.3399999924</v>
      </c>
      <c r="E566" s="86">
        <f t="shared" si="193"/>
        <v>-67442.82</v>
      </c>
      <c r="F566" s="197">
        <f t="shared" si="193"/>
        <v>-3137029.1599999964</v>
      </c>
      <c r="G566" s="134">
        <f t="shared" si="193"/>
        <v>-18881.070000000298</v>
      </c>
      <c r="H566" s="244">
        <f t="shared" si="193"/>
        <v>-247899.79999999996</v>
      </c>
      <c r="I566" s="215">
        <f t="shared" si="193"/>
        <v>-3403810.0299999975</v>
      </c>
      <c r="J566" s="277">
        <f t="shared" si="193"/>
        <v>0</v>
      </c>
      <c r="K566" s="272">
        <f t="shared" si="193"/>
        <v>0</v>
      </c>
      <c r="L566" s="215">
        <f t="shared" si="193"/>
        <v>-3403810.0299999975</v>
      </c>
      <c r="M566" s="277">
        <f t="shared" si="193"/>
        <v>-0.01999999990221113</v>
      </c>
      <c r="N566" s="244">
        <f t="shared" si="193"/>
        <v>0</v>
      </c>
      <c r="O566" s="215">
        <f t="shared" si="193"/>
        <v>-3403810.0500000007</v>
      </c>
      <c r="P566" s="143">
        <f t="shared" si="193"/>
        <v>0</v>
      </c>
      <c r="Q566" s="157">
        <f t="shared" si="193"/>
        <v>-2557814.5999999978</v>
      </c>
    </row>
    <row r="567" spans="1:17" ht="15.75">
      <c r="A567" s="32" t="s">
        <v>205</v>
      </c>
      <c r="B567" s="65"/>
      <c r="C567" s="124">
        <f>SUM(C569:C572)</f>
        <v>220000</v>
      </c>
      <c r="D567" s="107">
        <f aca="true" t="shared" si="194" ref="D567:Q567">SUM(D569:D572)</f>
        <v>2849586.3400000003</v>
      </c>
      <c r="E567" s="88">
        <f t="shared" si="194"/>
        <v>67442.82</v>
      </c>
      <c r="F567" s="203">
        <f t="shared" si="194"/>
        <v>3137029.16</v>
      </c>
      <c r="G567" s="93">
        <f t="shared" si="194"/>
        <v>18881.069999999996</v>
      </c>
      <c r="H567" s="250">
        <f t="shared" si="194"/>
        <v>247899.8</v>
      </c>
      <c r="I567" s="220">
        <f t="shared" si="194"/>
        <v>3403810.03</v>
      </c>
      <c r="J567" s="267">
        <f>SUM(J569:J572)</f>
        <v>0</v>
      </c>
      <c r="K567" s="250">
        <f>SUM(K569:K572)</f>
        <v>0</v>
      </c>
      <c r="L567" s="255">
        <f>SUM(L569:L572)</f>
        <v>3403810.03</v>
      </c>
      <c r="M567" s="267">
        <f t="shared" si="194"/>
        <v>0.02</v>
      </c>
      <c r="N567" s="250">
        <f t="shared" si="194"/>
        <v>0</v>
      </c>
      <c r="O567" s="220">
        <f t="shared" si="194"/>
        <v>3403810.05</v>
      </c>
      <c r="P567" s="107">
        <f t="shared" si="194"/>
        <v>0</v>
      </c>
      <c r="Q567" s="162">
        <f t="shared" si="194"/>
        <v>3403810.05</v>
      </c>
    </row>
    <row r="568" spans="1:17" ht="12.75" customHeight="1">
      <c r="A568" s="34" t="s">
        <v>26</v>
      </c>
      <c r="B568" s="68"/>
      <c r="C568" s="182"/>
      <c r="D568" s="176"/>
      <c r="E568" s="89"/>
      <c r="F568" s="204"/>
      <c r="G568" s="227"/>
      <c r="H568" s="251"/>
      <c r="I568" s="221"/>
      <c r="J568" s="266"/>
      <c r="K568" s="251"/>
      <c r="L568" s="221"/>
      <c r="M568" s="266"/>
      <c r="N568" s="251"/>
      <c r="O568" s="221"/>
      <c r="P568" s="292"/>
      <c r="Q568" s="167"/>
    </row>
    <row r="569" spans="1:17" ht="12.75">
      <c r="A569" s="34" t="s">
        <v>122</v>
      </c>
      <c r="B569" s="68"/>
      <c r="C569" s="183">
        <v>400000</v>
      </c>
      <c r="D569" s="177"/>
      <c r="E569" s="99"/>
      <c r="F569" s="205">
        <f>SUM(C569:E569)</f>
        <v>400000</v>
      </c>
      <c r="G569" s="232"/>
      <c r="H569" s="252"/>
      <c r="I569" s="222">
        <f>SUM(F569:H569)</f>
        <v>400000</v>
      </c>
      <c r="J569" s="285"/>
      <c r="K569" s="252"/>
      <c r="L569" s="222">
        <f>SUM(I569:K569)</f>
        <v>400000</v>
      </c>
      <c r="M569" s="285"/>
      <c r="N569" s="252"/>
      <c r="O569" s="222">
        <f>SUM(L569:N569)</f>
        <v>400000</v>
      </c>
      <c r="P569" s="292"/>
      <c r="Q569" s="167">
        <f t="shared" si="179"/>
        <v>400000</v>
      </c>
    </row>
    <row r="570" spans="1:17" ht="12.75">
      <c r="A570" s="35" t="s">
        <v>129</v>
      </c>
      <c r="B570" s="68"/>
      <c r="C570" s="183">
        <v>-180000</v>
      </c>
      <c r="D570" s="177"/>
      <c r="E570" s="99"/>
      <c r="F570" s="205">
        <f>SUM(C570:E570)</f>
        <v>-180000</v>
      </c>
      <c r="G570" s="232"/>
      <c r="H570" s="252"/>
      <c r="I570" s="222">
        <f>SUM(F570:H570)</f>
        <v>-180000</v>
      </c>
      <c r="J570" s="285"/>
      <c r="K570" s="252"/>
      <c r="L570" s="222">
        <f>SUM(I570:K570)</f>
        <v>-180000</v>
      </c>
      <c r="M570" s="285"/>
      <c r="N570" s="252"/>
      <c r="O570" s="222">
        <f>SUM(L570:N570)</f>
        <v>-180000</v>
      </c>
      <c r="P570" s="292"/>
      <c r="Q570" s="167">
        <f t="shared" si="179"/>
        <v>-180000</v>
      </c>
    </row>
    <row r="571" spans="1:17" ht="13.5" thickBot="1">
      <c r="A571" s="35" t="s">
        <v>123</v>
      </c>
      <c r="B571" s="231"/>
      <c r="C571" s="183"/>
      <c r="D571" s="177">
        <f>91326.3+9970+336371.11+1000+13200+340906.09+739837.14+27800.56+7633+10000+500+32215.72+26800+1123+69447.46+1230.07+11929.94+7126.31+12225.29+5820.76+77538.41+3604.16+2391.29+19020.5+75653.4+1044.1+25775.83+2458.05+34500+4309.47+6646+3300+4084.75+3850+8540.5+23530.38+1815.87+22172.75+782888.13</f>
        <v>2849586.3400000003</v>
      </c>
      <c r="E571" s="99">
        <f>7350+12210+8487+750+31500+7145.82</f>
        <v>67442.82</v>
      </c>
      <c r="F571" s="205">
        <f>SUM(C571:E571)</f>
        <v>2917029.16</v>
      </c>
      <c r="G571" s="232">
        <f>3050.49+9460.46+5000+1370.12</f>
        <v>18881.069999999996</v>
      </c>
      <c r="H571" s="252">
        <f>18053.9+10751.43+212152.59</f>
        <v>240957.91999999998</v>
      </c>
      <c r="I571" s="222">
        <f>SUM(F571:H571)</f>
        <v>3176868.15</v>
      </c>
      <c r="J571" s="285"/>
      <c r="K571" s="252"/>
      <c r="L571" s="222">
        <f>SUM(I571:K571)</f>
        <v>3176868.15</v>
      </c>
      <c r="M571" s="285">
        <f>0.02</f>
        <v>0.02</v>
      </c>
      <c r="N571" s="252"/>
      <c r="O571" s="222">
        <f>SUM(L571:N571)</f>
        <v>3176868.17</v>
      </c>
      <c r="P571" s="298"/>
      <c r="Q571" s="169">
        <f t="shared" si="179"/>
        <v>3176868.17</v>
      </c>
    </row>
    <row r="572" spans="1:17" ht="13.5" thickBot="1">
      <c r="A572" s="44" t="s">
        <v>140</v>
      </c>
      <c r="B572" s="69"/>
      <c r="C572" s="184"/>
      <c r="D572" s="125" t="s">
        <v>183</v>
      </c>
      <c r="E572" s="100"/>
      <c r="F572" s="206">
        <f>SUM(C572:E572)</f>
        <v>0</v>
      </c>
      <c r="G572" s="233"/>
      <c r="H572" s="253">
        <f>6941.88</f>
        <v>6941.88</v>
      </c>
      <c r="I572" s="223">
        <f>SUM(F572:H572)</f>
        <v>6941.88</v>
      </c>
      <c r="J572" s="286">
        <v>0</v>
      </c>
      <c r="K572" s="253">
        <v>0</v>
      </c>
      <c r="L572" s="223">
        <f>SUM(I572:K572)</f>
        <v>6941.88</v>
      </c>
      <c r="M572" s="286"/>
      <c r="N572" s="253"/>
      <c r="O572" s="223">
        <f>SUM(L572:N572)</f>
        <v>6941.88</v>
      </c>
      <c r="P572" s="298"/>
      <c r="Q572" s="169">
        <f t="shared" si="179"/>
        <v>6941.88</v>
      </c>
    </row>
    <row r="573" spans="2:17" ht="12.75" hidden="1">
      <c r="B573" s="70"/>
      <c r="C573" s="85">
        <f aca="true" t="shared" si="195" ref="C573:Q573">C79+C567-C562</f>
        <v>0</v>
      </c>
      <c r="D573" s="85">
        <f t="shared" si="195"/>
        <v>0</v>
      </c>
      <c r="E573" s="85">
        <f t="shared" si="195"/>
        <v>0</v>
      </c>
      <c r="F573" s="85">
        <f t="shared" si="195"/>
        <v>0</v>
      </c>
      <c r="G573" s="85">
        <f t="shared" si="195"/>
        <v>0</v>
      </c>
      <c r="H573" s="95">
        <f t="shared" si="195"/>
        <v>0</v>
      </c>
      <c r="I573" s="224">
        <f t="shared" si="195"/>
        <v>0</v>
      </c>
      <c r="J573" s="95">
        <f t="shared" si="195"/>
        <v>0</v>
      </c>
      <c r="K573" s="95">
        <f t="shared" si="195"/>
        <v>0</v>
      </c>
      <c r="L573" s="95">
        <f t="shared" si="195"/>
        <v>0</v>
      </c>
      <c r="M573" s="95">
        <f t="shared" si="195"/>
        <v>0</v>
      </c>
      <c r="N573" s="95">
        <f t="shared" si="195"/>
        <v>0</v>
      </c>
      <c r="O573" s="95">
        <f t="shared" si="195"/>
        <v>0</v>
      </c>
      <c r="P573" s="43">
        <f t="shared" si="195"/>
        <v>0</v>
      </c>
      <c r="Q573" s="43">
        <f t="shared" si="195"/>
        <v>845995.450000003</v>
      </c>
    </row>
    <row r="574" spans="2:16" ht="12.75">
      <c r="B574" s="70"/>
      <c r="G574" s="85"/>
      <c r="H574" s="95"/>
      <c r="I574" s="95"/>
      <c r="J574" s="95"/>
      <c r="L574" s="95"/>
      <c r="P574" s="43"/>
    </row>
    <row r="575" spans="2:16" ht="12.75">
      <c r="B575" s="70"/>
      <c r="D575" s="95"/>
      <c r="G575" s="85"/>
      <c r="H575" s="95"/>
      <c r="I575" s="95"/>
      <c r="J575" s="95"/>
      <c r="L575" s="95"/>
      <c r="O575" s="95"/>
      <c r="P575" s="43"/>
    </row>
    <row r="576" spans="2:16" ht="12.75">
      <c r="B576" s="70"/>
      <c r="G576" s="85"/>
      <c r="H576" s="95"/>
      <c r="I576" s="95"/>
      <c r="J576" s="95"/>
      <c r="L576" s="95"/>
      <c r="P576" s="43"/>
    </row>
    <row r="577" spans="2:16" ht="12.75">
      <c r="B577" s="70"/>
      <c r="G577" s="85"/>
      <c r="H577" s="95"/>
      <c r="I577" s="95"/>
      <c r="J577" s="95"/>
      <c r="L577" s="95"/>
      <c r="P577" s="43"/>
    </row>
    <row r="578" spans="2:16" ht="12.75">
      <c r="B578" s="70"/>
      <c r="G578" s="85"/>
      <c r="H578" s="95"/>
      <c r="I578" s="95"/>
      <c r="J578" s="95"/>
      <c r="L578" s="95"/>
      <c r="P578" s="43"/>
    </row>
    <row r="579" spans="2:16" ht="12.75">
      <c r="B579" s="70"/>
      <c r="G579" s="85"/>
      <c r="H579" s="95"/>
      <c r="I579" s="95"/>
      <c r="J579" s="95"/>
      <c r="L579" s="95"/>
      <c r="P579" s="43"/>
    </row>
    <row r="580" spans="2:16" ht="12.75">
      <c r="B580" s="70"/>
      <c r="G580" s="85"/>
      <c r="H580" s="95"/>
      <c r="I580" s="95"/>
      <c r="J580" s="95"/>
      <c r="L580" s="95"/>
      <c r="P580" s="43"/>
    </row>
    <row r="581" spans="2:16" ht="12.75">
      <c r="B581" s="70"/>
      <c r="G581" s="85"/>
      <c r="H581" s="95"/>
      <c r="I581" s="95"/>
      <c r="J581" s="95"/>
      <c r="L581" s="95"/>
      <c r="P581" s="43"/>
    </row>
    <row r="582" spans="2:16" ht="12.75">
      <c r="B582" s="70"/>
      <c r="H582" s="95"/>
      <c r="I582" s="95"/>
      <c r="J582" s="95"/>
      <c r="L582" s="95"/>
      <c r="P582" s="43"/>
    </row>
    <row r="583" spans="2:16" ht="12.75">
      <c r="B583" s="70"/>
      <c r="H583" s="95"/>
      <c r="J583" s="95"/>
      <c r="L583" s="95"/>
      <c r="P583" s="43"/>
    </row>
    <row r="584" spans="2:16" ht="12.75">
      <c r="B584" s="70"/>
      <c r="H584" s="95"/>
      <c r="J584" s="95"/>
      <c r="L584" s="95"/>
      <c r="P584" s="43"/>
    </row>
    <row r="585" spans="2:16" ht="12.75">
      <c r="B585" s="70"/>
      <c r="H585" s="95"/>
      <c r="J585" s="95"/>
      <c r="L585" s="95"/>
      <c r="P585" s="43"/>
    </row>
    <row r="586" spans="2:16" ht="12.75">
      <c r="B586" s="70"/>
      <c r="H586" s="95"/>
      <c r="J586" s="95"/>
      <c r="L586" s="95"/>
      <c r="P586" s="43"/>
    </row>
    <row r="587" spans="2:16" ht="12.75">
      <c r="B587" s="70"/>
      <c r="H587" s="95"/>
      <c r="J587" s="95"/>
      <c r="L587" s="95"/>
      <c r="P587" s="43"/>
    </row>
    <row r="588" spans="2:16" ht="12.75">
      <c r="B588" s="70"/>
      <c r="H588" s="95"/>
      <c r="J588" s="95"/>
      <c r="L588" s="95"/>
      <c r="P588" s="43"/>
    </row>
    <row r="589" spans="2:16" ht="12.75">
      <c r="B589" s="70"/>
      <c r="H589" s="95"/>
      <c r="J589" s="95"/>
      <c r="P589" s="43"/>
    </row>
    <row r="590" spans="2:16" ht="12.75">
      <c r="B590" s="70"/>
      <c r="J590" s="95"/>
      <c r="P590" s="43"/>
    </row>
    <row r="591" spans="2:16" ht="12.75">
      <c r="B591" s="70"/>
      <c r="J591" s="95"/>
      <c r="P591" s="43"/>
    </row>
    <row r="592" spans="2:16" ht="12.75">
      <c r="B592" s="70"/>
      <c r="P592" s="43"/>
    </row>
    <row r="593" ht="12.75">
      <c r="P593" s="43"/>
    </row>
    <row r="594" ht="12.75">
      <c r="P594" s="43"/>
    </row>
    <row r="595" ht="12.75">
      <c r="P595" s="43"/>
    </row>
    <row r="596" ht="12.75">
      <c r="P596" s="43"/>
    </row>
    <row r="597" ht="12.75">
      <c r="P597" s="43"/>
    </row>
    <row r="598" ht="12.75">
      <c r="P598" s="43"/>
    </row>
    <row r="599" ht="12.75">
      <c r="P599" s="43"/>
    </row>
    <row r="600" ht="12.75">
      <c r="P600" s="43"/>
    </row>
    <row r="601" ht="12.75">
      <c r="P601" s="43"/>
    </row>
    <row r="602" ht="12.75">
      <c r="P602" s="43"/>
    </row>
    <row r="603" ht="12.75">
      <c r="P603" s="43"/>
    </row>
    <row r="604" ht="12.75">
      <c r="P604" s="43"/>
    </row>
    <row r="605" ht="12.75">
      <c r="P605" s="43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9055118110236221" bottom="0.5905511811023623" header="0.5118110236220472" footer="0.31496062992125984"/>
  <pageSetup horizontalDpi="600" verticalDpi="600" orientation="portrait" paperSize="9" scale="77" r:id="rId1"/>
  <headerFooter scaleWithDoc="0" alignWithMargins="0">
    <oddFooter>&amp;CStránka &amp;P</oddFooter>
  </headerFooter>
  <rowBreaks count="5" manualBreakCount="5">
    <brk id="89" max="14" man="1"/>
    <brk id="185" max="14" man="1"/>
    <brk id="290" max="14" man="1"/>
    <brk id="397" max="14" man="1"/>
    <brk id="49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05"/>
  <sheetViews>
    <sheetView tabSelected="1" zoomScale="110" zoomScaleNormal="110" zoomScaleSheetLayoutView="69" zoomScalePageLayoutView="0" workbookViewId="0" topLeftCell="A1">
      <pane xSplit="1" ySplit="9" topLeftCell="C44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453" sqref="R453"/>
    </sheetView>
  </sheetViews>
  <sheetFormatPr defaultColWidth="9.00390625" defaultRowHeight="12.75"/>
  <cols>
    <col min="1" max="1" width="52.25390625" style="0" customWidth="1"/>
    <col min="2" max="2" width="8.625" style="0" hidden="1" customWidth="1"/>
    <col min="3" max="3" width="15.75390625" style="0" customWidth="1"/>
    <col min="4" max="4" width="16.75390625" style="0" hidden="1" customWidth="1"/>
    <col min="5" max="5" width="12.875" style="0" hidden="1" customWidth="1"/>
    <col min="6" max="6" width="16.375" style="0" hidden="1" customWidth="1"/>
    <col min="7" max="7" width="15.625" style="0" hidden="1" customWidth="1"/>
    <col min="8" max="8" width="13.125" style="0" hidden="1" customWidth="1"/>
    <col min="9" max="9" width="16.125" style="0" hidden="1" customWidth="1"/>
    <col min="10" max="10" width="15.25390625" style="0" hidden="1" customWidth="1"/>
    <col min="11" max="11" width="13.00390625" style="0" hidden="1" customWidth="1"/>
    <col min="12" max="12" width="16.25390625" style="0" customWidth="1"/>
    <col min="13" max="13" width="12.75390625" style="0" customWidth="1"/>
    <col min="14" max="14" width="13.125" style="0" customWidth="1"/>
    <col min="15" max="15" width="16.00390625" style="0" customWidth="1"/>
    <col min="16" max="16" width="13.25390625" style="0" hidden="1" customWidth="1"/>
    <col min="17" max="17" width="0.12890625" style="0" hidden="1" customWidth="1"/>
  </cols>
  <sheetData>
    <row r="1" spans="3:17" ht="12.75">
      <c r="C1" s="1"/>
      <c r="D1" s="1"/>
      <c r="E1" s="1"/>
      <c r="F1" s="2"/>
      <c r="I1" s="2"/>
      <c r="L1" s="2"/>
      <c r="O1" s="2" t="s">
        <v>126</v>
      </c>
      <c r="Q1" s="2" t="s">
        <v>126</v>
      </c>
    </row>
    <row r="2" spans="3:6" ht="9.75" customHeight="1">
      <c r="C2" s="1"/>
      <c r="D2" s="1"/>
      <c r="E2" s="1"/>
      <c r="F2" s="2"/>
    </row>
    <row r="3" spans="1:17" ht="15.75">
      <c r="A3" s="314" t="s">
        <v>221</v>
      </c>
      <c r="B3" s="314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</row>
    <row r="4" spans="1:17" ht="15.75">
      <c r="A4" s="316" t="s">
        <v>298</v>
      </c>
      <c r="B4" s="316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</row>
    <row r="5" spans="1:17" ht="15">
      <c r="A5" s="317" t="s">
        <v>0</v>
      </c>
      <c r="B5" s="317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</row>
    <row r="6" spans="1:17" ht="12.75">
      <c r="A6" s="318" t="s">
        <v>1</v>
      </c>
      <c r="B6" s="318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</row>
    <row r="7" spans="1:13" ht="10.5" customHeight="1" thickBot="1">
      <c r="A7" s="3"/>
      <c r="B7" s="3"/>
      <c r="C7" s="128"/>
      <c r="D7" s="94"/>
      <c r="E7" s="4"/>
      <c r="F7" s="4"/>
      <c r="J7" s="45"/>
      <c r="M7" s="42"/>
    </row>
    <row r="8" spans="1:17" ht="12.75">
      <c r="A8" s="319" t="s">
        <v>2</v>
      </c>
      <c r="B8" s="47" t="s">
        <v>209</v>
      </c>
      <c r="C8" s="178" t="s">
        <v>3</v>
      </c>
      <c r="D8" s="163" t="s">
        <v>4</v>
      </c>
      <c r="E8" s="8" t="s">
        <v>5</v>
      </c>
      <c r="F8" s="186" t="s">
        <v>6</v>
      </c>
      <c r="G8" s="7" t="s">
        <v>7</v>
      </c>
      <c r="H8" s="8" t="s">
        <v>5</v>
      </c>
      <c r="I8" s="9" t="s">
        <v>6</v>
      </c>
      <c r="J8" s="7" t="s">
        <v>8</v>
      </c>
      <c r="K8" s="8" t="s">
        <v>5</v>
      </c>
      <c r="L8" s="9" t="s">
        <v>6</v>
      </c>
      <c r="M8" s="7" t="s">
        <v>9</v>
      </c>
      <c r="N8" s="8" t="s">
        <v>5</v>
      </c>
      <c r="O8" s="9" t="s">
        <v>6</v>
      </c>
      <c r="P8" s="163" t="s">
        <v>149</v>
      </c>
      <c r="Q8" s="148" t="s">
        <v>6</v>
      </c>
    </row>
    <row r="9" spans="1:17" ht="13.5" thickBot="1">
      <c r="A9" s="320"/>
      <c r="B9" s="97" t="s">
        <v>163</v>
      </c>
      <c r="C9" s="179" t="s">
        <v>10</v>
      </c>
      <c r="D9" s="164" t="s">
        <v>11</v>
      </c>
      <c r="E9" s="40" t="s">
        <v>12</v>
      </c>
      <c r="F9" s="187" t="s">
        <v>13</v>
      </c>
      <c r="G9" s="39" t="s">
        <v>11</v>
      </c>
      <c r="H9" s="40" t="s">
        <v>12</v>
      </c>
      <c r="I9" s="41" t="s">
        <v>14</v>
      </c>
      <c r="J9" s="39" t="s">
        <v>11</v>
      </c>
      <c r="K9" s="40" t="s">
        <v>12</v>
      </c>
      <c r="L9" s="41" t="s">
        <v>15</v>
      </c>
      <c r="M9" s="39" t="s">
        <v>11</v>
      </c>
      <c r="N9" s="40" t="s">
        <v>12</v>
      </c>
      <c r="O9" s="41" t="s">
        <v>16</v>
      </c>
      <c r="P9" s="164" t="s">
        <v>11</v>
      </c>
      <c r="Q9" s="149" t="s">
        <v>150</v>
      </c>
    </row>
    <row r="10" spans="1:17" ht="15.75" customHeight="1">
      <c r="A10" s="37" t="s">
        <v>17</v>
      </c>
      <c r="B10" s="48"/>
      <c r="C10" s="180"/>
      <c r="D10" s="170"/>
      <c r="E10" s="5"/>
      <c r="F10" s="188"/>
      <c r="G10" s="12"/>
      <c r="H10" s="5"/>
      <c r="I10" s="38"/>
      <c r="J10" s="12"/>
      <c r="K10" s="5"/>
      <c r="L10" s="38"/>
      <c r="M10" s="12"/>
      <c r="N10" s="5"/>
      <c r="O10" s="38"/>
      <c r="P10" s="291"/>
      <c r="Q10" s="165"/>
    </row>
    <row r="11" spans="1:17" ht="12.75">
      <c r="A11" s="13" t="s">
        <v>199</v>
      </c>
      <c r="B11" s="49"/>
      <c r="C11" s="111">
        <f>C13+C14+C15+C16</f>
        <v>5350000</v>
      </c>
      <c r="D11" s="92">
        <f>D13+D14+D15+D16</f>
        <v>45003.16</v>
      </c>
      <c r="E11" s="72">
        <f>E13+E14+E15</f>
        <v>0</v>
      </c>
      <c r="F11" s="189">
        <f>F13+F14+F15+F16</f>
        <v>5395003.16</v>
      </c>
      <c r="G11" s="71">
        <f aca="true" t="shared" si="0" ref="G11:Q11">G13+G14+G15+G16</f>
        <v>652991.7</v>
      </c>
      <c r="H11" s="234">
        <f t="shared" si="0"/>
        <v>162517.88</v>
      </c>
      <c r="I11" s="207">
        <f t="shared" si="0"/>
        <v>6210512.74</v>
      </c>
      <c r="J11" s="71">
        <f t="shared" si="0"/>
        <v>164423.1</v>
      </c>
      <c r="K11" s="72">
        <f t="shared" si="0"/>
        <v>21952.41</v>
      </c>
      <c r="L11" s="131">
        <f t="shared" si="0"/>
        <v>6396888.25</v>
      </c>
      <c r="M11" s="256">
        <f t="shared" si="0"/>
        <v>35046.38</v>
      </c>
      <c r="N11" s="234">
        <f t="shared" si="0"/>
        <v>21051.2</v>
      </c>
      <c r="O11" s="207">
        <f t="shared" si="0"/>
        <v>6452985.83</v>
      </c>
      <c r="P11" s="92">
        <f t="shared" si="0"/>
        <v>0</v>
      </c>
      <c r="Q11" s="150">
        <f t="shared" si="0"/>
        <v>6452985.83</v>
      </c>
    </row>
    <row r="12" spans="1:17" ht="12.75">
      <c r="A12" s="14" t="s">
        <v>18</v>
      </c>
      <c r="B12" s="50"/>
      <c r="C12" s="111"/>
      <c r="D12" s="92"/>
      <c r="E12" s="72"/>
      <c r="F12" s="189"/>
      <c r="G12" s="71"/>
      <c r="H12" s="234"/>
      <c r="I12" s="207"/>
      <c r="J12" s="10"/>
      <c r="K12" s="6"/>
      <c r="L12" s="11"/>
      <c r="M12" s="256"/>
      <c r="N12" s="234"/>
      <c r="O12" s="207"/>
      <c r="P12" s="292"/>
      <c r="Q12" s="167"/>
    </row>
    <row r="13" spans="1:18" ht="12.75">
      <c r="A13" s="58" t="s">
        <v>206</v>
      </c>
      <c r="B13" s="50"/>
      <c r="C13" s="112">
        <v>5316580</v>
      </c>
      <c r="D13" s="102"/>
      <c r="E13" s="72"/>
      <c r="F13" s="190">
        <f>C13+D13+E13</f>
        <v>5316580</v>
      </c>
      <c r="G13" s="74">
        <f>4605.41+14274+3000+700+8000+1500+400+28581+3515.1+300000+1600+7280.19+4000+8000+2500+35000+17500+49000+8000+20000+5000+7000+123500</f>
        <v>652955.7</v>
      </c>
      <c r="H13" s="235">
        <f>61000+4321+60000+15000+11190+6550+4456.88</f>
        <v>162517.88</v>
      </c>
      <c r="I13" s="208">
        <f>F13+G13+H13</f>
        <v>6132053.58</v>
      </c>
      <c r="J13" s="257">
        <f>3600+2328.9+1644.2+2400+45000+47000+7000+30450+25000</f>
        <v>164423.1</v>
      </c>
      <c r="K13" s="235">
        <f>988+2959.21+14071.76+3933.44</f>
        <v>21952.41</v>
      </c>
      <c r="L13" s="208">
        <f>I13+J13+K13</f>
        <v>6318429.09</v>
      </c>
      <c r="M13" s="260">
        <f>7300+3248.5+3685+2200+12000+5129.2+1425.68</f>
        <v>34988.38</v>
      </c>
      <c r="N13" s="235">
        <f>11106+3670+2430.18+250+2480+1115.02</f>
        <v>21051.2</v>
      </c>
      <c r="O13" s="208">
        <f>L13+M13+N13</f>
        <v>6374468.67</v>
      </c>
      <c r="P13" s="292"/>
      <c r="Q13" s="167">
        <f aca="true" t="shared" si="1" ref="Q13:Q78">O13+P13</f>
        <v>6374468.67</v>
      </c>
      <c r="R13" s="288"/>
    </row>
    <row r="14" spans="1:17" ht="12.75">
      <c r="A14" s="15" t="s">
        <v>19</v>
      </c>
      <c r="B14" s="51"/>
      <c r="C14" s="112"/>
      <c r="D14" s="142">
        <f>45003.16</f>
        <v>45003.16</v>
      </c>
      <c r="E14" s="73"/>
      <c r="F14" s="190">
        <f>C14+D14+E14</f>
        <v>45003.16</v>
      </c>
      <c r="G14" s="74"/>
      <c r="H14" s="234"/>
      <c r="I14" s="208">
        <f>F14+G14+H14</f>
        <v>45003.16</v>
      </c>
      <c r="J14" s="257"/>
      <c r="K14" s="234"/>
      <c r="L14" s="208">
        <f>I14+J14+K14</f>
        <v>45003.16</v>
      </c>
      <c r="M14" s="257"/>
      <c r="N14" s="234"/>
      <c r="O14" s="208">
        <f>L14+M14+N14</f>
        <v>45003.16</v>
      </c>
      <c r="P14" s="292"/>
      <c r="Q14" s="167">
        <f t="shared" si="1"/>
        <v>45003.16</v>
      </c>
    </row>
    <row r="15" spans="1:17" ht="12.75">
      <c r="A15" s="58" t="s">
        <v>207</v>
      </c>
      <c r="B15" s="51"/>
      <c r="C15" s="112">
        <v>3420</v>
      </c>
      <c r="D15" s="142"/>
      <c r="E15" s="73"/>
      <c r="F15" s="190">
        <f>C15+D15+E15</f>
        <v>3420</v>
      </c>
      <c r="G15" s="74">
        <f>36</f>
        <v>36</v>
      </c>
      <c r="H15" s="234"/>
      <c r="I15" s="208">
        <f>F15+G15+H15</f>
        <v>3456</v>
      </c>
      <c r="J15" s="257"/>
      <c r="K15" s="234"/>
      <c r="L15" s="208">
        <f>I15+J15+K15</f>
        <v>3456</v>
      </c>
      <c r="M15" s="257">
        <f>58</f>
        <v>58</v>
      </c>
      <c r="N15" s="234"/>
      <c r="O15" s="208">
        <f>L15+M15+N15</f>
        <v>3514</v>
      </c>
      <c r="P15" s="292"/>
      <c r="Q15" s="167">
        <f t="shared" si="1"/>
        <v>3514</v>
      </c>
    </row>
    <row r="16" spans="1:17" ht="12.75">
      <c r="A16" s="58" t="s">
        <v>260</v>
      </c>
      <c r="B16" s="51"/>
      <c r="C16" s="112">
        <v>30000</v>
      </c>
      <c r="D16" s="142"/>
      <c r="E16" s="73"/>
      <c r="F16" s="190">
        <f>C16+D16+E16</f>
        <v>30000</v>
      </c>
      <c r="G16" s="74"/>
      <c r="H16" s="234"/>
      <c r="I16" s="208">
        <f>F16+G16+H16</f>
        <v>30000</v>
      </c>
      <c r="J16" s="257"/>
      <c r="K16" s="234"/>
      <c r="L16" s="208">
        <f>I16+J16+K16</f>
        <v>30000</v>
      </c>
      <c r="M16" s="257"/>
      <c r="N16" s="234"/>
      <c r="O16" s="208">
        <f>L16+M16+N16</f>
        <v>30000</v>
      </c>
      <c r="P16" s="292"/>
      <c r="Q16" s="167">
        <f t="shared" si="1"/>
        <v>30000</v>
      </c>
    </row>
    <row r="17" spans="1:17" ht="12.75">
      <c r="A17" s="13" t="s">
        <v>200</v>
      </c>
      <c r="B17" s="49"/>
      <c r="C17" s="111">
        <f aca="true" t="shared" si="2" ref="C17:Q17">SUM(C19:C23)+C30</f>
        <v>266948.12</v>
      </c>
      <c r="D17" s="92">
        <f t="shared" si="2"/>
        <v>31733.940000000002</v>
      </c>
      <c r="E17" s="72">
        <f t="shared" si="2"/>
        <v>0</v>
      </c>
      <c r="F17" s="189">
        <f t="shared" si="2"/>
        <v>298682.05999999994</v>
      </c>
      <c r="G17" s="71">
        <f t="shared" si="2"/>
        <v>68174.93</v>
      </c>
      <c r="H17" s="234">
        <f t="shared" si="2"/>
        <v>4610.66</v>
      </c>
      <c r="I17" s="207">
        <f t="shared" si="2"/>
        <v>371467.64999999997</v>
      </c>
      <c r="J17" s="256">
        <f t="shared" si="2"/>
        <v>99024.05</v>
      </c>
      <c r="K17" s="234">
        <f t="shared" si="2"/>
        <v>13641.18</v>
      </c>
      <c r="L17" s="207">
        <f t="shared" si="2"/>
        <v>484132.87999999995</v>
      </c>
      <c r="M17" s="256">
        <f t="shared" si="2"/>
        <v>45502.009999999995</v>
      </c>
      <c r="N17" s="234">
        <f t="shared" si="2"/>
        <v>20780.43</v>
      </c>
      <c r="O17" s="207">
        <f t="shared" si="2"/>
        <v>550415.3200000001</v>
      </c>
      <c r="P17" s="92">
        <f t="shared" si="2"/>
        <v>0</v>
      </c>
      <c r="Q17" s="150">
        <f t="shared" si="2"/>
        <v>449537.01</v>
      </c>
    </row>
    <row r="18" spans="1:17" ht="10.5" customHeight="1">
      <c r="A18" s="14" t="s">
        <v>20</v>
      </c>
      <c r="B18" s="50"/>
      <c r="C18" s="111"/>
      <c r="D18" s="92"/>
      <c r="E18" s="72"/>
      <c r="F18" s="189"/>
      <c r="G18" s="71"/>
      <c r="H18" s="234"/>
      <c r="I18" s="207"/>
      <c r="J18" s="256"/>
      <c r="K18" s="234"/>
      <c r="L18" s="207"/>
      <c r="M18" s="256"/>
      <c r="N18" s="234"/>
      <c r="O18" s="207"/>
      <c r="P18" s="292"/>
      <c r="Q18" s="167"/>
    </row>
    <row r="19" spans="1:17" ht="12.75">
      <c r="A19" s="15" t="s">
        <v>21</v>
      </c>
      <c r="B19" s="51"/>
      <c r="C19" s="112">
        <v>10000</v>
      </c>
      <c r="D19" s="102"/>
      <c r="E19" s="73"/>
      <c r="F19" s="190">
        <f>C19+D19+E19</f>
        <v>10000</v>
      </c>
      <c r="G19" s="74">
        <f>86.04+1249.9</f>
        <v>1335.94</v>
      </c>
      <c r="H19" s="235"/>
      <c r="I19" s="208">
        <f>F19+G19+H19</f>
        <v>11335.94</v>
      </c>
      <c r="J19" s="257">
        <f>961.26+523.73</f>
        <v>1484.99</v>
      </c>
      <c r="K19" s="235"/>
      <c r="L19" s="208">
        <f>I19+J19+K19</f>
        <v>12820.93</v>
      </c>
      <c r="M19" s="257">
        <f>17.36+4.48+246.27+112.84</f>
        <v>380.95000000000005</v>
      </c>
      <c r="N19" s="235"/>
      <c r="O19" s="208">
        <f>L19+M19+N19</f>
        <v>13201.880000000001</v>
      </c>
      <c r="P19" s="292"/>
      <c r="Q19" s="167">
        <f t="shared" si="1"/>
        <v>13201.880000000001</v>
      </c>
    </row>
    <row r="20" spans="1:17" ht="12.75">
      <c r="A20" s="58" t="s">
        <v>235</v>
      </c>
      <c r="B20" s="51"/>
      <c r="C20" s="112"/>
      <c r="D20" s="102">
        <f>3000</f>
        <v>3000</v>
      </c>
      <c r="E20" s="73"/>
      <c r="F20" s="190">
        <f aca="true" t="shared" si="3" ref="F20:F30">C20+D20+E20</f>
        <v>3000</v>
      </c>
      <c r="G20" s="74">
        <f>750+550+1127.46-3000+822.03+1600.68+1337.82+1344.4</f>
        <v>4532.389999999999</v>
      </c>
      <c r="H20" s="235">
        <f>4610.66</f>
        <v>4610.66</v>
      </c>
      <c r="I20" s="208">
        <f>F20+G20+H20</f>
        <v>12143.05</v>
      </c>
      <c r="J20" s="257">
        <f>47365.51+90.64+13.38+1052.12+457.69+28729.18</f>
        <v>77708.52</v>
      </c>
      <c r="K20" s="235">
        <f>13641.18</f>
        <v>13641.18</v>
      </c>
      <c r="L20" s="208">
        <f>I20+J20+K20</f>
        <v>103492.75</v>
      </c>
      <c r="M20" s="257">
        <f>200+26850.97+116.9+49.01+6313.95+85.3+1220.82</f>
        <v>34836.950000000004</v>
      </c>
      <c r="N20" s="235">
        <f>3474.4+16850.73</f>
        <v>20325.13</v>
      </c>
      <c r="O20" s="208">
        <f>L20+M20+N20</f>
        <v>158654.83000000002</v>
      </c>
      <c r="P20" s="292"/>
      <c r="Q20" s="167">
        <f t="shared" si="1"/>
        <v>158654.83000000002</v>
      </c>
    </row>
    <row r="21" spans="1:17" ht="12.75">
      <c r="A21" s="16" t="s">
        <v>236</v>
      </c>
      <c r="B21" s="52"/>
      <c r="C21" s="112">
        <v>130895.91</v>
      </c>
      <c r="D21" s="102">
        <f>534.21</f>
        <v>534.21</v>
      </c>
      <c r="E21" s="73"/>
      <c r="F21" s="190">
        <f t="shared" si="3"/>
        <v>131430.12</v>
      </c>
      <c r="G21" s="74"/>
      <c r="H21" s="235"/>
      <c r="I21" s="208">
        <f>F21+G21+H21</f>
        <v>131430.12</v>
      </c>
      <c r="J21" s="257"/>
      <c r="K21" s="235"/>
      <c r="L21" s="208">
        <f>I21+J21+K21</f>
        <v>131430.12</v>
      </c>
      <c r="M21" s="257"/>
      <c r="N21" s="235"/>
      <c r="O21" s="208">
        <f>L21+M21+N21</f>
        <v>131430.12</v>
      </c>
      <c r="P21" s="292"/>
      <c r="Q21" s="167">
        <f t="shared" si="1"/>
        <v>131430.12</v>
      </c>
    </row>
    <row r="22" spans="1:17" ht="12.75" hidden="1">
      <c r="A22" s="16" t="s">
        <v>237</v>
      </c>
      <c r="B22" s="52"/>
      <c r="C22" s="112"/>
      <c r="D22" s="102"/>
      <c r="E22" s="73"/>
      <c r="F22" s="190">
        <f t="shared" si="3"/>
        <v>0</v>
      </c>
      <c r="G22" s="74"/>
      <c r="H22" s="235"/>
      <c r="I22" s="208">
        <f>F22+G22+H22</f>
        <v>0</v>
      </c>
      <c r="J22" s="257"/>
      <c r="K22" s="235"/>
      <c r="L22" s="208">
        <f>I22+J22+K22</f>
        <v>0</v>
      </c>
      <c r="M22" s="257"/>
      <c r="N22" s="235"/>
      <c r="O22" s="208">
        <f>L22+M22+N22</f>
        <v>0</v>
      </c>
      <c r="P22" s="292"/>
      <c r="Q22" s="167">
        <f t="shared" si="1"/>
        <v>0</v>
      </c>
    </row>
    <row r="23" spans="1:17" ht="12.75">
      <c r="A23" s="15" t="s">
        <v>22</v>
      </c>
      <c r="B23" s="51"/>
      <c r="C23" s="112">
        <f>SUM(C24:C29)</f>
        <v>126052.21</v>
      </c>
      <c r="D23" s="102">
        <f>SUM(D24:D29)</f>
        <v>1713.01</v>
      </c>
      <c r="E23" s="73">
        <f aca="true" t="shared" si="4" ref="E23:Q23">SUM(E24:E29)</f>
        <v>0</v>
      </c>
      <c r="F23" s="190">
        <f t="shared" si="4"/>
        <v>127765.22</v>
      </c>
      <c r="G23" s="74">
        <f t="shared" si="4"/>
        <v>5174.01</v>
      </c>
      <c r="H23" s="235">
        <f t="shared" si="4"/>
        <v>0</v>
      </c>
      <c r="I23" s="208">
        <f t="shared" si="4"/>
        <v>132939.22999999998</v>
      </c>
      <c r="J23" s="257">
        <f t="shared" si="4"/>
        <v>11184.06</v>
      </c>
      <c r="K23" s="235">
        <f t="shared" si="4"/>
        <v>0</v>
      </c>
      <c r="L23" s="208">
        <f t="shared" si="4"/>
        <v>144123.28999999998</v>
      </c>
      <c r="M23" s="257">
        <f t="shared" si="4"/>
        <v>1671.59</v>
      </c>
      <c r="N23" s="235">
        <f t="shared" si="4"/>
        <v>455.3</v>
      </c>
      <c r="O23" s="208">
        <f t="shared" si="4"/>
        <v>146250.18</v>
      </c>
      <c r="P23" s="102">
        <f t="shared" si="4"/>
        <v>0</v>
      </c>
      <c r="Q23" s="151">
        <f t="shared" si="4"/>
        <v>146250.18</v>
      </c>
    </row>
    <row r="24" spans="1:17" ht="12.75">
      <c r="A24" s="15" t="s">
        <v>23</v>
      </c>
      <c r="B24" s="51"/>
      <c r="C24" s="112">
        <v>52501.31</v>
      </c>
      <c r="D24" s="102">
        <f>1713.01</f>
        <v>1713.01</v>
      </c>
      <c r="E24" s="73"/>
      <c r="F24" s="190">
        <f t="shared" si="3"/>
        <v>54214.32</v>
      </c>
      <c r="G24" s="74">
        <f>54.38</f>
        <v>54.38</v>
      </c>
      <c r="H24" s="235"/>
      <c r="I24" s="208">
        <f aca="true" t="shared" si="5" ref="I24:I30">F24+G24+H24</f>
        <v>54268.7</v>
      </c>
      <c r="J24" s="257">
        <f>392.56</f>
        <v>392.56</v>
      </c>
      <c r="K24" s="235"/>
      <c r="L24" s="208">
        <f aca="true" t="shared" si="6" ref="L24:L30">I24+J24+K24</f>
        <v>54661.259999999995</v>
      </c>
      <c r="M24" s="257">
        <f>239.25+1528.34</f>
        <v>1767.59</v>
      </c>
      <c r="N24" s="235"/>
      <c r="O24" s="208">
        <f aca="true" t="shared" si="7" ref="O24:O30">L24+M24+N24</f>
        <v>56428.84999999999</v>
      </c>
      <c r="P24" s="292"/>
      <c r="Q24" s="167">
        <f t="shared" si="1"/>
        <v>56428.84999999999</v>
      </c>
    </row>
    <row r="25" spans="1:17" ht="12.75">
      <c r="A25" s="16" t="s">
        <v>137</v>
      </c>
      <c r="B25" s="52"/>
      <c r="C25" s="112">
        <v>880.6</v>
      </c>
      <c r="D25" s="102"/>
      <c r="E25" s="73"/>
      <c r="F25" s="190">
        <f t="shared" si="3"/>
        <v>880.6</v>
      </c>
      <c r="G25" s="74">
        <f>3004.53</f>
        <v>3004.53</v>
      </c>
      <c r="H25" s="235"/>
      <c r="I25" s="208">
        <f t="shared" si="5"/>
        <v>3885.13</v>
      </c>
      <c r="J25" s="257"/>
      <c r="K25" s="235"/>
      <c r="L25" s="208">
        <f t="shared" si="6"/>
        <v>3885.13</v>
      </c>
      <c r="M25" s="257"/>
      <c r="N25" s="235"/>
      <c r="O25" s="208">
        <f t="shared" si="7"/>
        <v>3885.13</v>
      </c>
      <c r="P25" s="292"/>
      <c r="Q25" s="167">
        <f t="shared" si="1"/>
        <v>3885.13</v>
      </c>
    </row>
    <row r="26" spans="1:17" ht="12.75">
      <c r="A26" s="15" t="s">
        <v>24</v>
      </c>
      <c r="B26" s="51"/>
      <c r="C26" s="112">
        <v>29804.7</v>
      </c>
      <c r="D26" s="102"/>
      <c r="E26" s="73"/>
      <c r="F26" s="190">
        <f t="shared" si="3"/>
        <v>29804.7</v>
      </c>
      <c r="G26" s="74">
        <f>1300+500</f>
        <v>1800</v>
      </c>
      <c r="H26" s="235"/>
      <c r="I26" s="208">
        <f t="shared" si="5"/>
        <v>31604.7</v>
      </c>
      <c r="J26" s="257">
        <f>10791.5</f>
        <v>10791.5</v>
      </c>
      <c r="K26" s="235"/>
      <c r="L26" s="208">
        <f t="shared" si="6"/>
        <v>42396.2</v>
      </c>
      <c r="M26" s="257"/>
      <c r="N26" s="235"/>
      <c r="O26" s="208">
        <f t="shared" si="7"/>
        <v>42396.2</v>
      </c>
      <c r="P26" s="292"/>
      <c r="Q26" s="167">
        <f t="shared" si="1"/>
        <v>42396.2</v>
      </c>
    </row>
    <row r="27" spans="1:17" ht="12.75">
      <c r="A27" s="16" t="s">
        <v>138</v>
      </c>
      <c r="B27" s="52"/>
      <c r="C27" s="112">
        <v>12585.8</v>
      </c>
      <c r="D27" s="102"/>
      <c r="E27" s="73"/>
      <c r="F27" s="190">
        <f t="shared" si="3"/>
        <v>12585.8</v>
      </c>
      <c r="G27" s="74">
        <f>315.1</f>
        <v>315.1</v>
      </c>
      <c r="H27" s="235"/>
      <c r="I27" s="208">
        <f t="shared" si="5"/>
        <v>12900.9</v>
      </c>
      <c r="J27" s="257"/>
      <c r="K27" s="235"/>
      <c r="L27" s="208">
        <f t="shared" si="6"/>
        <v>12900.9</v>
      </c>
      <c r="M27" s="257"/>
      <c r="N27" s="235">
        <f>455.3</f>
        <v>455.3</v>
      </c>
      <c r="O27" s="208">
        <f t="shared" si="7"/>
        <v>13356.199999999999</v>
      </c>
      <c r="P27" s="292"/>
      <c r="Q27" s="167">
        <f t="shared" si="1"/>
        <v>13356.199999999999</v>
      </c>
    </row>
    <row r="28" spans="1:17" ht="12.75">
      <c r="A28" s="16" t="s">
        <v>222</v>
      </c>
      <c r="B28" s="52"/>
      <c r="C28" s="112">
        <v>340.8</v>
      </c>
      <c r="D28" s="102"/>
      <c r="E28" s="73"/>
      <c r="F28" s="190">
        <f t="shared" si="3"/>
        <v>340.8</v>
      </c>
      <c r="G28" s="74"/>
      <c r="H28" s="235"/>
      <c r="I28" s="208">
        <f t="shared" si="5"/>
        <v>340.8</v>
      </c>
      <c r="J28" s="257"/>
      <c r="K28" s="235"/>
      <c r="L28" s="208">
        <f t="shared" si="6"/>
        <v>340.8</v>
      </c>
      <c r="M28" s="257">
        <f>-96</f>
        <v>-96</v>
      </c>
      <c r="N28" s="235"/>
      <c r="O28" s="208">
        <f t="shared" si="7"/>
        <v>244.8</v>
      </c>
      <c r="P28" s="292"/>
      <c r="Q28" s="167">
        <f t="shared" si="1"/>
        <v>244.8</v>
      </c>
    </row>
    <row r="29" spans="1:17" ht="12.75">
      <c r="A29" s="16" t="s">
        <v>139</v>
      </c>
      <c r="B29" s="52"/>
      <c r="C29" s="112">
        <v>29939</v>
      </c>
      <c r="D29" s="102"/>
      <c r="E29" s="73"/>
      <c r="F29" s="190">
        <f t="shared" si="3"/>
        <v>29939</v>
      </c>
      <c r="G29" s="74"/>
      <c r="H29" s="235"/>
      <c r="I29" s="208">
        <f t="shared" si="5"/>
        <v>29939</v>
      </c>
      <c r="J29" s="257"/>
      <c r="K29" s="235"/>
      <c r="L29" s="208">
        <f t="shared" si="6"/>
        <v>29939</v>
      </c>
      <c r="M29" s="257"/>
      <c r="N29" s="235"/>
      <c r="O29" s="208">
        <f t="shared" si="7"/>
        <v>29939</v>
      </c>
      <c r="P29" s="292"/>
      <c r="Q29" s="167">
        <f>O29+P29</f>
        <v>29939</v>
      </c>
    </row>
    <row r="30" spans="1:17" ht="12.75">
      <c r="A30" s="16" t="s">
        <v>288</v>
      </c>
      <c r="B30" s="52"/>
      <c r="C30" s="112"/>
      <c r="D30" s="171">
        <f>2421+1769.02+100+968.95+492.63+100+1177.09+9000+27.05+478.8+8512.54+36.94+155.2+247.5+1000</f>
        <v>26486.72</v>
      </c>
      <c r="E30" s="73"/>
      <c r="F30" s="190">
        <f t="shared" si="3"/>
        <v>26486.72</v>
      </c>
      <c r="G30" s="225">
        <f>3000+478+380.76+169.89+87.12+547.3+2467.47+13.4+27550.46+102.99+548.52+409.66+7175.11+189.46+48.5+2173.09+1186.41+2530.06+247.5+6435.39+1391.5</f>
        <v>57132.59</v>
      </c>
      <c r="H30" s="236"/>
      <c r="I30" s="208">
        <f t="shared" si="5"/>
        <v>83619.31</v>
      </c>
      <c r="J30" s="258">
        <f>-2173.09+8209+11.34+379.46+239.19+650.82+127.5+249.3+2847.56-447.75-2479.35+32.5+1000</f>
        <v>8646.48</v>
      </c>
      <c r="K30" s="236"/>
      <c r="L30" s="208">
        <f t="shared" si="6"/>
        <v>92265.79</v>
      </c>
      <c r="M30" s="258">
        <f>950.98+87.98+1123.17+1026.68+165+135.39+910.19+1396.13+2817</f>
        <v>8612.52</v>
      </c>
      <c r="N30" s="236"/>
      <c r="O30" s="208">
        <f t="shared" si="7"/>
        <v>100878.31</v>
      </c>
      <c r="P30" s="291"/>
      <c r="Q30" s="165"/>
    </row>
    <row r="31" spans="1:17" ht="12.75">
      <c r="A31" s="17" t="s">
        <v>201</v>
      </c>
      <c r="B31" s="53"/>
      <c r="C31" s="113">
        <f>SUM(C33:C37)</f>
        <v>5000</v>
      </c>
      <c r="D31" s="103">
        <f aca="true" t="shared" si="8" ref="D31:Q31">SUM(D33:D37)</f>
        <v>0</v>
      </c>
      <c r="E31" s="76">
        <f t="shared" si="8"/>
        <v>0</v>
      </c>
      <c r="F31" s="191">
        <f t="shared" si="8"/>
        <v>5000</v>
      </c>
      <c r="G31" s="75">
        <f t="shared" si="8"/>
        <v>0</v>
      </c>
      <c r="H31" s="237">
        <f t="shared" si="8"/>
        <v>0</v>
      </c>
      <c r="I31" s="209">
        <f t="shared" si="8"/>
        <v>5000</v>
      </c>
      <c r="J31" s="259">
        <f t="shared" si="8"/>
        <v>2868.9700000000003</v>
      </c>
      <c r="K31" s="237">
        <f t="shared" si="8"/>
        <v>0</v>
      </c>
      <c r="L31" s="209">
        <f t="shared" si="8"/>
        <v>7868.97</v>
      </c>
      <c r="M31" s="259">
        <f t="shared" si="8"/>
        <v>28892.53</v>
      </c>
      <c r="N31" s="237">
        <f t="shared" si="8"/>
        <v>0</v>
      </c>
      <c r="O31" s="209">
        <f t="shared" si="8"/>
        <v>36761.49999999999</v>
      </c>
      <c r="P31" s="103">
        <f t="shared" si="8"/>
        <v>0</v>
      </c>
      <c r="Q31" s="152">
        <f t="shared" si="8"/>
        <v>36761.49999999999</v>
      </c>
    </row>
    <row r="32" spans="1:17" ht="11.25" customHeight="1">
      <c r="A32" s="14" t="s">
        <v>20</v>
      </c>
      <c r="B32" s="50"/>
      <c r="C32" s="112"/>
      <c r="D32" s="102"/>
      <c r="E32" s="73"/>
      <c r="F32" s="190"/>
      <c r="G32" s="74"/>
      <c r="H32" s="235"/>
      <c r="I32" s="208"/>
      <c r="J32" s="257"/>
      <c r="K32" s="235"/>
      <c r="L32" s="208"/>
      <c r="M32" s="257"/>
      <c r="N32" s="235"/>
      <c r="O32" s="208"/>
      <c r="P32" s="292"/>
      <c r="Q32" s="167"/>
    </row>
    <row r="33" spans="1:17" ht="12.75">
      <c r="A33" s="58" t="s">
        <v>102</v>
      </c>
      <c r="B33" s="51"/>
      <c r="C33" s="112"/>
      <c r="D33" s="102"/>
      <c r="E33" s="73"/>
      <c r="F33" s="190">
        <f>C33+D33+E33</f>
        <v>0</v>
      </c>
      <c r="G33" s="74"/>
      <c r="H33" s="235"/>
      <c r="I33" s="208">
        <f>F33+G33+H33</f>
        <v>0</v>
      </c>
      <c r="J33" s="257">
        <f>695.88</f>
        <v>695.88</v>
      </c>
      <c r="K33" s="235"/>
      <c r="L33" s="208">
        <f>I33+J33+K33</f>
        <v>695.88</v>
      </c>
      <c r="M33" s="257"/>
      <c r="N33" s="235"/>
      <c r="O33" s="208">
        <f>L33+M33+N33</f>
        <v>695.88</v>
      </c>
      <c r="P33" s="292"/>
      <c r="Q33" s="167">
        <f t="shared" si="1"/>
        <v>695.88</v>
      </c>
    </row>
    <row r="34" spans="1:17" ht="12.75" hidden="1">
      <c r="A34" s="16" t="s">
        <v>97</v>
      </c>
      <c r="B34" s="52"/>
      <c r="C34" s="112"/>
      <c r="D34" s="102"/>
      <c r="E34" s="73"/>
      <c r="F34" s="190">
        <f>C34+D34+E34</f>
        <v>0</v>
      </c>
      <c r="G34" s="74"/>
      <c r="H34" s="235"/>
      <c r="I34" s="208">
        <f>F34+G34+H34</f>
        <v>0</v>
      </c>
      <c r="J34" s="260"/>
      <c r="K34" s="235"/>
      <c r="L34" s="208">
        <f>I34+J34+K34</f>
        <v>0</v>
      </c>
      <c r="M34" s="260"/>
      <c r="N34" s="235"/>
      <c r="O34" s="208">
        <f>L34+M34+N34</f>
        <v>0</v>
      </c>
      <c r="P34" s="292"/>
      <c r="Q34" s="167">
        <f t="shared" si="1"/>
        <v>0</v>
      </c>
    </row>
    <row r="35" spans="1:17" ht="12.75" hidden="1">
      <c r="A35" s="16" t="s">
        <v>100</v>
      </c>
      <c r="B35" s="52"/>
      <c r="C35" s="112"/>
      <c r="D35" s="102"/>
      <c r="E35" s="73"/>
      <c r="F35" s="190">
        <f>C35+D35+E35</f>
        <v>0</v>
      </c>
      <c r="G35" s="74"/>
      <c r="H35" s="235"/>
      <c r="I35" s="208">
        <f>F35+G35+H35</f>
        <v>0</v>
      </c>
      <c r="J35" s="260"/>
      <c r="K35" s="235"/>
      <c r="L35" s="208">
        <f>I35+J35+K35</f>
        <v>0</v>
      </c>
      <c r="M35" s="260"/>
      <c r="N35" s="235"/>
      <c r="O35" s="208">
        <f>L35+M35+N35</f>
        <v>0</v>
      </c>
      <c r="P35" s="292"/>
      <c r="Q35" s="167">
        <f t="shared" si="1"/>
        <v>0</v>
      </c>
    </row>
    <row r="36" spans="1:17" ht="12.75" hidden="1">
      <c r="A36" s="16" t="s">
        <v>107</v>
      </c>
      <c r="B36" s="52"/>
      <c r="C36" s="112"/>
      <c r="D36" s="102"/>
      <c r="E36" s="73"/>
      <c r="F36" s="190">
        <f>C36+D36+E36</f>
        <v>0</v>
      </c>
      <c r="G36" s="74"/>
      <c r="H36" s="235"/>
      <c r="I36" s="208">
        <f>F36+G36+H36</f>
        <v>0</v>
      </c>
      <c r="J36" s="260"/>
      <c r="K36" s="235"/>
      <c r="L36" s="208">
        <f>I36+J36+K36</f>
        <v>0</v>
      </c>
      <c r="M36" s="260"/>
      <c r="N36" s="235"/>
      <c r="O36" s="208">
        <f>L36+M36+N36</f>
        <v>0</v>
      </c>
      <c r="P36" s="292"/>
      <c r="Q36" s="167">
        <f t="shared" si="1"/>
        <v>0</v>
      </c>
    </row>
    <row r="37" spans="1:17" ht="12.75">
      <c r="A37" s="58" t="s">
        <v>223</v>
      </c>
      <c r="B37" s="51"/>
      <c r="C37" s="112">
        <v>5000</v>
      </c>
      <c r="D37" s="102"/>
      <c r="E37" s="73"/>
      <c r="F37" s="190">
        <f>C37+D37+E37</f>
        <v>5000</v>
      </c>
      <c r="G37" s="74"/>
      <c r="H37" s="235"/>
      <c r="I37" s="208">
        <f>F37+G37+H37</f>
        <v>5000</v>
      </c>
      <c r="J37" s="257">
        <f>2173.09</f>
        <v>2173.09</v>
      </c>
      <c r="K37" s="235"/>
      <c r="L37" s="208">
        <f>I37+J37+K37</f>
        <v>7173.09</v>
      </c>
      <c r="M37" s="257">
        <f>16118.74+3175.81+11771.07-2173.09</f>
        <v>28892.53</v>
      </c>
      <c r="N37" s="235"/>
      <c r="O37" s="208">
        <f>L37+M37+N37</f>
        <v>36065.619999999995</v>
      </c>
      <c r="P37" s="292"/>
      <c r="Q37" s="167">
        <f t="shared" si="1"/>
        <v>36065.619999999995</v>
      </c>
    </row>
    <row r="38" spans="1:17" ht="12.75">
      <c r="A38" s="17" t="s">
        <v>202</v>
      </c>
      <c r="B38" s="51"/>
      <c r="C38" s="112"/>
      <c r="D38" s="102"/>
      <c r="E38" s="73"/>
      <c r="F38" s="190"/>
      <c r="G38" s="74"/>
      <c r="H38" s="235"/>
      <c r="I38" s="208"/>
      <c r="J38" s="257"/>
      <c r="K38" s="235"/>
      <c r="L38" s="208"/>
      <c r="M38" s="257"/>
      <c r="N38" s="235"/>
      <c r="O38" s="208"/>
      <c r="P38" s="292"/>
      <c r="Q38" s="167"/>
    </row>
    <row r="39" spans="1:17" ht="12.75">
      <c r="A39" s="13" t="s">
        <v>25</v>
      </c>
      <c r="B39" s="49"/>
      <c r="C39" s="111">
        <f aca="true" t="shared" si="9" ref="C39:Q39">SUM(C41:C61)</f>
        <v>129756.6</v>
      </c>
      <c r="D39" s="92">
        <f t="shared" si="9"/>
        <v>11594528.180000003</v>
      </c>
      <c r="E39" s="72">
        <f t="shared" si="9"/>
        <v>0</v>
      </c>
      <c r="F39" s="189">
        <f t="shared" si="9"/>
        <v>11724284.780000003</v>
      </c>
      <c r="G39" s="71">
        <f t="shared" si="9"/>
        <v>510561.9400000001</v>
      </c>
      <c r="H39" s="234">
        <f t="shared" si="9"/>
        <v>0</v>
      </c>
      <c r="I39" s="207">
        <f t="shared" si="9"/>
        <v>12234846.72</v>
      </c>
      <c r="J39" s="256">
        <f t="shared" si="9"/>
        <v>589371.54</v>
      </c>
      <c r="K39" s="234">
        <f t="shared" si="9"/>
        <v>0</v>
      </c>
      <c r="L39" s="207">
        <f t="shared" si="9"/>
        <v>12824218.260000004</v>
      </c>
      <c r="M39" s="256">
        <f t="shared" si="9"/>
        <v>328495.63000000006</v>
      </c>
      <c r="N39" s="234">
        <f t="shared" si="9"/>
        <v>0</v>
      </c>
      <c r="O39" s="207">
        <f t="shared" si="9"/>
        <v>13152713.890000002</v>
      </c>
      <c r="P39" s="92">
        <f t="shared" si="9"/>
        <v>0</v>
      </c>
      <c r="Q39" s="150">
        <f t="shared" si="9"/>
        <v>13147679.200000003</v>
      </c>
    </row>
    <row r="40" spans="1:17" ht="10.5" customHeight="1">
      <c r="A40" s="18" t="s">
        <v>26</v>
      </c>
      <c r="B40" s="54"/>
      <c r="C40" s="112"/>
      <c r="D40" s="102"/>
      <c r="E40" s="73"/>
      <c r="F40" s="190"/>
      <c r="G40" s="74"/>
      <c r="H40" s="235"/>
      <c r="I40" s="208"/>
      <c r="J40" s="257"/>
      <c r="K40" s="235"/>
      <c r="L40" s="208"/>
      <c r="M40" s="257"/>
      <c r="N40" s="235"/>
      <c r="O40" s="208"/>
      <c r="P40" s="292"/>
      <c r="Q40" s="167"/>
    </row>
    <row r="41" spans="1:17" ht="12.75">
      <c r="A41" s="16" t="s">
        <v>27</v>
      </c>
      <c r="B41" s="52"/>
      <c r="C41" s="112">
        <v>129506.6</v>
      </c>
      <c r="D41" s="102"/>
      <c r="E41" s="73"/>
      <c r="F41" s="190">
        <f aca="true" t="shared" si="10" ref="F41:F61">C41+D41+E41</f>
        <v>129506.6</v>
      </c>
      <c r="G41" s="74"/>
      <c r="H41" s="235"/>
      <c r="I41" s="208">
        <f>F41+G41+H41</f>
        <v>129506.6</v>
      </c>
      <c r="J41" s="257"/>
      <c r="K41" s="235"/>
      <c r="L41" s="208">
        <f>I41+J41+K41</f>
        <v>129506.6</v>
      </c>
      <c r="M41" s="257"/>
      <c r="N41" s="235"/>
      <c r="O41" s="208">
        <f>L41+M41+N41</f>
        <v>129506.6</v>
      </c>
      <c r="P41" s="292"/>
      <c r="Q41" s="167">
        <f t="shared" si="1"/>
        <v>129506.6</v>
      </c>
    </row>
    <row r="42" spans="1:17" ht="12.75">
      <c r="A42" s="16" t="s">
        <v>28</v>
      </c>
      <c r="B42" s="52"/>
      <c r="C42" s="112"/>
      <c r="D42" s="102">
        <f>800+15+32053.4</f>
        <v>32868.4</v>
      </c>
      <c r="E42" s="73"/>
      <c r="F42" s="190">
        <f t="shared" si="10"/>
        <v>32868.4</v>
      </c>
      <c r="G42" s="74">
        <f>15+96383.35+32659</f>
        <v>129057.35</v>
      </c>
      <c r="H42" s="235"/>
      <c r="I42" s="208">
        <f aca="true" t="shared" si="11" ref="I42:I61">F42+G42+H42</f>
        <v>161925.75</v>
      </c>
      <c r="J42" s="257">
        <f>34781.35+31636.6+29110.35</f>
        <v>95528.29999999999</v>
      </c>
      <c r="K42" s="235"/>
      <c r="L42" s="208">
        <f aca="true" t="shared" si="12" ref="L42:L61">I42+J42+K42</f>
        <v>257454.05</v>
      </c>
      <c r="M42" s="257">
        <f>11845.75+8886.25</f>
        <v>20732</v>
      </c>
      <c r="N42" s="235"/>
      <c r="O42" s="208">
        <f aca="true" t="shared" si="13" ref="O42:O61">L42+M42+N42</f>
        <v>278186.05</v>
      </c>
      <c r="P42" s="292"/>
      <c r="Q42" s="167">
        <f t="shared" si="1"/>
        <v>278186.05</v>
      </c>
    </row>
    <row r="43" spans="1:17" ht="12.75">
      <c r="A43" s="16" t="s">
        <v>307</v>
      </c>
      <c r="B43" s="52">
        <v>12002</v>
      </c>
      <c r="C43" s="112"/>
      <c r="D43" s="102">
        <f>9.74</f>
        <v>9.74</v>
      </c>
      <c r="E43" s="73"/>
      <c r="F43" s="190">
        <f t="shared" si="10"/>
        <v>9.74</v>
      </c>
      <c r="G43" s="74">
        <f>153.78</f>
        <v>153.78</v>
      </c>
      <c r="H43" s="235"/>
      <c r="I43" s="208">
        <f t="shared" si="11"/>
        <v>163.52</v>
      </c>
      <c r="J43" s="257">
        <f>103.59</f>
        <v>103.59</v>
      </c>
      <c r="K43" s="235"/>
      <c r="L43" s="208">
        <f t="shared" si="12"/>
        <v>267.11</v>
      </c>
      <c r="M43" s="257"/>
      <c r="N43" s="235"/>
      <c r="O43" s="208">
        <f t="shared" si="13"/>
        <v>267.11</v>
      </c>
      <c r="P43" s="292"/>
      <c r="Q43" s="167"/>
    </row>
    <row r="44" spans="1:17" ht="12.75">
      <c r="A44" s="16" t="s">
        <v>29</v>
      </c>
      <c r="B44" s="52"/>
      <c r="C44" s="112"/>
      <c r="D44" s="102">
        <f>148284.67+12646.55+9933653.38+15000+13643.49</f>
        <v>10123228.090000002</v>
      </c>
      <c r="E44" s="73"/>
      <c r="F44" s="190">
        <f t="shared" si="10"/>
        <v>10123228.090000002</v>
      </c>
      <c r="G44" s="74">
        <f>147279.41+797.04+82194.23+20208+36218+21575+1974.38+12750+28283.24+1663.5+600+150+5134.59+328+110</f>
        <v>359265.39</v>
      </c>
      <c r="H44" s="235"/>
      <c r="I44" s="208">
        <f t="shared" si="11"/>
        <v>10482493.480000002</v>
      </c>
      <c r="J44" s="257">
        <f>147089.43+30476.12+268.27+375+19829.14+363.35</f>
        <v>198401.30999999997</v>
      </c>
      <c r="K44" s="235"/>
      <c r="L44" s="208">
        <f t="shared" si="12"/>
        <v>10680894.790000003</v>
      </c>
      <c r="M44" s="257">
        <f>397.98+5175.12+3799.25+153489.32+1271.05+14811.92+758.58</f>
        <v>179703.22</v>
      </c>
      <c r="N44" s="235"/>
      <c r="O44" s="208">
        <f t="shared" si="13"/>
        <v>10860598.010000004</v>
      </c>
      <c r="P44" s="292"/>
      <c r="Q44" s="167">
        <f t="shared" si="1"/>
        <v>10860598.010000004</v>
      </c>
    </row>
    <row r="45" spans="1:17" ht="12.75">
      <c r="A45" s="16" t="s">
        <v>30</v>
      </c>
      <c r="B45" s="52"/>
      <c r="C45" s="112"/>
      <c r="D45" s="102">
        <f>1355855.4+47237.11+5532.56+13300</f>
        <v>1421925.07</v>
      </c>
      <c r="E45" s="73"/>
      <c r="F45" s="190">
        <f t="shared" si="10"/>
        <v>1421925.07</v>
      </c>
      <c r="G45" s="74">
        <f>976.23+102.41+1667.33+5674.87</f>
        <v>8420.84</v>
      </c>
      <c r="H45" s="235"/>
      <c r="I45" s="208">
        <f t="shared" si="11"/>
        <v>1430345.9100000001</v>
      </c>
      <c r="J45" s="257">
        <f>3212.87+24274.87+45.65+279.4+8898.72+5831.74+3783.25</f>
        <v>46326.5</v>
      </c>
      <c r="K45" s="235"/>
      <c r="L45" s="208">
        <f t="shared" si="12"/>
        <v>1476672.4100000001</v>
      </c>
      <c r="M45" s="257">
        <f>712.02+1000+7727.61+3457.85+795.32+12191.02+2668.34</f>
        <v>28552.16</v>
      </c>
      <c r="N45" s="235"/>
      <c r="O45" s="208">
        <f t="shared" si="13"/>
        <v>1505224.57</v>
      </c>
      <c r="P45" s="292"/>
      <c r="Q45" s="167">
        <f t="shared" si="1"/>
        <v>1505224.57</v>
      </c>
    </row>
    <row r="46" spans="1:17" ht="12.75">
      <c r="A46" s="16" t="s">
        <v>31</v>
      </c>
      <c r="B46" s="52"/>
      <c r="C46" s="112"/>
      <c r="D46" s="102">
        <f>81.23+316.82</f>
        <v>398.05</v>
      </c>
      <c r="E46" s="73"/>
      <c r="F46" s="190">
        <f t="shared" si="10"/>
        <v>398.05</v>
      </c>
      <c r="G46" s="74">
        <f>1127.46+6.89+12.28+3.92+13.41+18.16-81.23</f>
        <v>1100.8900000000003</v>
      </c>
      <c r="H46" s="235"/>
      <c r="I46" s="208">
        <f t="shared" si="11"/>
        <v>1498.9400000000003</v>
      </c>
      <c r="J46" s="257">
        <f>22.33+81.23+36.32</f>
        <v>139.88</v>
      </c>
      <c r="K46" s="235"/>
      <c r="L46" s="208">
        <f t="shared" si="12"/>
        <v>1638.8200000000002</v>
      </c>
      <c r="M46" s="257">
        <f>1220.82+10.18+62.23+21.89+1053.39</f>
        <v>2368.51</v>
      </c>
      <c r="N46" s="235"/>
      <c r="O46" s="208">
        <f t="shared" si="13"/>
        <v>4007.3300000000004</v>
      </c>
      <c r="P46" s="292"/>
      <c r="Q46" s="167">
        <f t="shared" si="1"/>
        <v>4007.3300000000004</v>
      </c>
    </row>
    <row r="47" spans="1:17" ht="12.75">
      <c r="A47" s="16" t="s">
        <v>32</v>
      </c>
      <c r="B47" s="52"/>
      <c r="C47" s="112"/>
      <c r="D47" s="102">
        <f>451.07</f>
        <v>451.07</v>
      </c>
      <c r="E47" s="73"/>
      <c r="F47" s="190">
        <f t="shared" si="10"/>
        <v>451.07</v>
      </c>
      <c r="G47" s="74">
        <f>43+41+18.12+51+135+54+45+19+45+109+96+55+123+63</f>
        <v>897.12</v>
      </c>
      <c r="H47" s="235"/>
      <c r="I47" s="208">
        <f t="shared" si="11"/>
        <v>1348.19</v>
      </c>
      <c r="J47" s="257">
        <f>117+2120+90+747.36+14+95</f>
        <v>3183.36</v>
      </c>
      <c r="K47" s="235"/>
      <c r="L47" s="208">
        <f t="shared" si="12"/>
        <v>4531.55</v>
      </c>
      <c r="M47" s="257">
        <f>592.55+242+1630+69</f>
        <v>2533.55</v>
      </c>
      <c r="N47" s="235"/>
      <c r="O47" s="208">
        <f t="shared" si="13"/>
        <v>7065.1</v>
      </c>
      <c r="P47" s="292"/>
      <c r="Q47" s="167">
        <f t="shared" si="1"/>
        <v>7065.1</v>
      </c>
    </row>
    <row r="48" spans="1:17" ht="12.75">
      <c r="A48" s="16" t="s">
        <v>41</v>
      </c>
      <c r="B48" s="52"/>
      <c r="C48" s="112"/>
      <c r="D48" s="102"/>
      <c r="E48" s="73"/>
      <c r="F48" s="190">
        <f t="shared" si="10"/>
        <v>0</v>
      </c>
      <c r="G48" s="74">
        <f>301.15</f>
        <v>301.15</v>
      </c>
      <c r="H48" s="235"/>
      <c r="I48" s="208">
        <f t="shared" si="11"/>
        <v>301.15</v>
      </c>
      <c r="J48" s="257">
        <f>3898.25</f>
        <v>3898.25</v>
      </c>
      <c r="K48" s="235"/>
      <c r="L48" s="208">
        <f t="shared" si="12"/>
        <v>4199.4</v>
      </c>
      <c r="M48" s="257">
        <f>206.51</f>
        <v>206.51</v>
      </c>
      <c r="N48" s="235"/>
      <c r="O48" s="208">
        <f t="shared" si="13"/>
        <v>4405.91</v>
      </c>
      <c r="P48" s="292"/>
      <c r="Q48" s="167"/>
    </row>
    <row r="49" spans="1:17" ht="12.75">
      <c r="A49" s="16" t="s">
        <v>33</v>
      </c>
      <c r="B49" s="52"/>
      <c r="C49" s="112"/>
      <c r="D49" s="102">
        <f>1900+1096+224</f>
        <v>3220</v>
      </c>
      <c r="E49" s="73"/>
      <c r="F49" s="190">
        <f t="shared" si="10"/>
        <v>3220</v>
      </c>
      <c r="G49" s="74">
        <f>3525.83</f>
        <v>3525.83</v>
      </c>
      <c r="H49" s="235"/>
      <c r="I49" s="208">
        <f t="shared" si="11"/>
        <v>6745.83</v>
      </c>
      <c r="J49" s="257"/>
      <c r="K49" s="235"/>
      <c r="L49" s="208">
        <f t="shared" si="12"/>
        <v>6745.83</v>
      </c>
      <c r="M49" s="257"/>
      <c r="N49" s="235"/>
      <c r="O49" s="208">
        <f t="shared" si="13"/>
        <v>6745.83</v>
      </c>
      <c r="P49" s="292"/>
      <c r="Q49" s="167">
        <f t="shared" si="1"/>
        <v>6745.83</v>
      </c>
    </row>
    <row r="50" spans="1:17" ht="12.75">
      <c r="A50" s="16" t="s">
        <v>34</v>
      </c>
      <c r="B50" s="52"/>
      <c r="C50" s="112"/>
      <c r="D50" s="102"/>
      <c r="E50" s="73"/>
      <c r="F50" s="190">
        <f t="shared" si="10"/>
        <v>0</v>
      </c>
      <c r="G50" s="74">
        <f>494.63+206.4</f>
        <v>701.03</v>
      </c>
      <c r="H50" s="235"/>
      <c r="I50" s="208">
        <f t="shared" si="11"/>
        <v>701.03</v>
      </c>
      <c r="J50" s="257">
        <f>345.85</f>
        <v>345.85</v>
      </c>
      <c r="K50" s="235"/>
      <c r="L50" s="208">
        <f t="shared" si="12"/>
        <v>1046.88</v>
      </c>
      <c r="M50" s="257"/>
      <c r="N50" s="235"/>
      <c r="O50" s="208">
        <f t="shared" si="13"/>
        <v>1046.88</v>
      </c>
      <c r="P50" s="292"/>
      <c r="Q50" s="167">
        <f t="shared" si="1"/>
        <v>1046.88</v>
      </c>
    </row>
    <row r="51" spans="1:17" ht="12.75">
      <c r="A51" s="16" t="s">
        <v>131</v>
      </c>
      <c r="B51" s="52"/>
      <c r="C51" s="112"/>
      <c r="D51" s="102"/>
      <c r="E51" s="73"/>
      <c r="F51" s="190">
        <f t="shared" si="10"/>
        <v>0</v>
      </c>
      <c r="G51" s="74"/>
      <c r="H51" s="235"/>
      <c r="I51" s="208">
        <f t="shared" si="11"/>
        <v>0</v>
      </c>
      <c r="J51" s="257">
        <f>211109.66</f>
        <v>211109.66</v>
      </c>
      <c r="K51" s="235"/>
      <c r="L51" s="208">
        <f t="shared" si="12"/>
        <v>211109.66</v>
      </c>
      <c r="M51" s="257"/>
      <c r="N51" s="235"/>
      <c r="O51" s="208">
        <f t="shared" si="13"/>
        <v>211109.66</v>
      </c>
      <c r="P51" s="292"/>
      <c r="Q51" s="167">
        <f t="shared" si="1"/>
        <v>211109.66</v>
      </c>
    </row>
    <row r="52" spans="1:17" ht="12.75">
      <c r="A52" s="16" t="s">
        <v>143</v>
      </c>
      <c r="B52" s="52"/>
      <c r="C52" s="112"/>
      <c r="D52" s="102">
        <f>10748.16</f>
        <v>10748.16</v>
      </c>
      <c r="E52" s="73"/>
      <c r="F52" s="190">
        <f t="shared" si="10"/>
        <v>10748.16</v>
      </c>
      <c r="G52" s="74"/>
      <c r="H52" s="235"/>
      <c r="I52" s="208">
        <f t="shared" si="11"/>
        <v>10748.16</v>
      </c>
      <c r="J52" s="257">
        <f>107.5+3909.52</f>
        <v>4017.02</v>
      </c>
      <c r="K52" s="235"/>
      <c r="L52" s="208">
        <f t="shared" si="12"/>
        <v>14765.18</v>
      </c>
      <c r="M52" s="257"/>
      <c r="N52" s="235"/>
      <c r="O52" s="208">
        <f t="shared" si="13"/>
        <v>14765.18</v>
      </c>
      <c r="P52" s="292"/>
      <c r="Q52" s="167">
        <f t="shared" si="1"/>
        <v>14765.18</v>
      </c>
    </row>
    <row r="53" spans="1:17" ht="12.75">
      <c r="A53" s="16" t="s">
        <v>369</v>
      </c>
      <c r="B53" s="52"/>
      <c r="C53" s="112"/>
      <c r="D53" s="102"/>
      <c r="E53" s="73"/>
      <c r="F53" s="190"/>
      <c r="G53" s="74"/>
      <c r="H53" s="235"/>
      <c r="I53" s="208">
        <f t="shared" si="11"/>
        <v>0</v>
      </c>
      <c r="J53" s="257">
        <f>361.67</f>
        <v>361.67</v>
      </c>
      <c r="K53" s="235"/>
      <c r="L53" s="208">
        <f t="shared" si="12"/>
        <v>361.67</v>
      </c>
      <c r="M53" s="257"/>
      <c r="N53" s="235"/>
      <c r="O53" s="208">
        <f t="shared" si="13"/>
        <v>361.67</v>
      </c>
      <c r="P53" s="292"/>
      <c r="Q53" s="167"/>
    </row>
    <row r="54" spans="1:17" ht="12.75">
      <c r="A54" s="16" t="s">
        <v>35</v>
      </c>
      <c r="B54" s="52"/>
      <c r="C54" s="112"/>
      <c r="D54" s="102">
        <f>55.21+754.79</f>
        <v>810</v>
      </c>
      <c r="E54" s="73"/>
      <c r="F54" s="190">
        <f t="shared" si="10"/>
        <v>810</v>
      </c>
      <c r="G54" s="74">
        <f>871.4+228+308.77</f>
        <v>1408.17</v>
      </c>
      <c r="H54" s="235"/>
      <c r="I54" s="208">
        <f t="shared" si="11"/>
        <v>2218.17</v>
      </c>
      <c r="J54" s="257">
        <f>587.03+1002.11</f>
        <v>1589.1399999999999</v>
      </c>
      <c r="K54" s="235"/>
      <c r="L54" s="208">
        <f t="shared" si="12"/>
        <v>3807.31</v>
      </c>
      <c r="M54" s="257">
        <f>173.07</f>
        <v>173.07</v>
      </c>
      <c r="N54" s="235"/>
      <c r="O54" s="208">
        <f t="shared" si="13"/>
        <v>3980.38</v>
      </c>
      <c r="P54" s="293"/>
      <c r="Q54" s="167">
        <f t="shared" si="1"/>
        <v>3980.38</v>
      </c>
    </row>
    <row r="55" spans="1:17" ht="12.75">
      <c r="A55" s="16" t="s">
        <v>36</v>
      </c>
      <c r="B55" s="52"/>
      <c r="C55" s="112"/>
      <c r="D55" s="102"/>
      <c r="E55" s="73"/>
      <c r="F55" s="190">
        <f t="shared" si="10"/>
        <v>0</v>
      </c>
      <c r="G55" s="74">
        <f>565+510+500</f>
        <v>1575</v>
      </c>
      <c r="H55" s="235"/>
      <c r="I55" s="208">
        <f t="shared" si="11"/>
        <v>1575</v>
      </c>
      <c r="J55" s="260"/>
      <c r="K55" s="235"/>
      <c r="L55" s="208">
        <f t="shared" si="12"/>
        <v>1575</v>
      </c>
      <c r="M55" s="257"/>
      <c r="N55" s="235"/>
      <c r="O55" s="208">
        <f t="shared" si="13"/>
        <v>1575</v>
      </c>
      <c r="P55" s="292"/>
      <c r="Q55" s="167">
        <f t="shared" si="1"/>
        <v>1575</v>
      </c>
    </row>
    <row r="56" spans="1:17" ht="12.75" hidden="1">
      <c r="A56" s="16" t="s">
        <v>184</v>
      </c>
      <c r="B56" s="52"/>
      <c r="C56" s="112"/>
      <c r="D56" s="102"/>
      <c r="E56" s="73"/>
      <c r="F56" s="190">
        <f t="shared" si="10"/>
        <v>0</v>
      </c>
      <c r="G56" s="74"/>
      <c r="H56" s="235"/>
      <c r="I56" s="208">
        <f t="shared" si="11"/>
        <v>0</v>
      </c>
      <c r="J56" s="260"/>
      <c r="K56" s="235"/>
      <c r="L56" s="208">
        <f t="shared" si="12"/>
        <v>0</v>
      </c>
      <c r="M56" s="257"/>
      <c r="N56" s="235"/>
      <c r="O56" s="208">
        <f t="shared" si="13"/>
        <v>0</v>
      </c>
      <c r="P56" s="292"/>
      <c r="Q56" s="167">
        <f t="shared" si="1"/>
        <v>0</v>
      </c>
    </row>
    <row r="57" spans="1:17" ht="12.75">
      <c r="A57" s="16" t="s">
        <v>144</v>
      </c>
      <c r="B57" s="52"/>
      <c r="C57" s="112"/>
      <c r="D57" s="102"/>
      <c r="E57" s="73"/>
      <c r="F57" s="190">
        <f t="shared" si="10"/>
        <v>0</v>
      </c>
      <c r="G57" s="74">
        <f>393.86</f>
        <v>393.86</v>
      </c>
      <c r="H57" s="235"/>
      <c r="I57" s="208">
        <f t="shared" si="11"/>
        <v>393.86</v>
      </c>
      <c r="J57" s="260"/>
      <c r="K57" s="235"/>
      <c r="L57" s="208">
        <f t="shared" si="12"/>
        <v>393.86</v>
      </c>
      <c r="M57" s="257"/>
      <c r="N57" s="235"/>
      <c r="O57" s="208">
        <f t="shared" si="13"/>
        <v>393.86</v>
      </c>
      <c r="P57" s="292"/>
      <c r="Q57" s="167">
        <f t="shared" si="1"/>
        <v>393.86</v>
      </c>
    </row>
    <row r="58" spans="1:17" ht="12.75">
      <c r="A58" s="16" t="s">
        <v>37</v>
      </c>
      <c r="B58" s="52"/>
      <c r="C58" s="112"/>
      <c r="D58" s="102"/>
      <c r="E58" s="73"/>
      <c r="F58" s="190">
        <f t="shared" si="10"/>
        <v>0</v>
      </c>
      <c r="G58" s="74"/>
      <c r="H58" s="235"/>
      <c r="I58" s="208">
        <f t="shared" si="11"/>
        <v>0</v>
      </c>
      <c r="J58" s="257"/>
      <c r="K58" s="235"/>
      <c r="L58" s="208">
        <f t="shared" si="12"/>
        <v>0</v>
      </c>
      <c r="M58" s="257">
        <f>82000+12172.08</f>
        <v>94172.08</v>
      </c>
      <c r="N58" s="235"/>
      <c r="O58" s="208">
        <f t="shared" si="13"/>
        <v>94172.08</v>
      </c>
      <c r="P58" s="292"/>
      <c r="Q58" s="167">
        <f t="shared" si="1"/>
        <v>94172.08</v>
      </c>
    </row>
    <row r="59" spans="1:17" ht="12.75">
      <c r="A59" s="16" t="s">
        <v>38</v>
      </c>
      <c r="B59" s="52"/>
      <c r="C59" s="112"/>
      <c r="D59" s="102"/>
      <c r="E59" s="73"/>
      <c r="F59" s="190">
        <f t="shared" si="10"/>
        <v>0</v>
      </c>
      <c r="G59" s="74"/>
      <c r="H59" s="235"/>
      <c r="I59" s="208">
        <f t="shared" si="11"/>
        <v>0</v>
      </c>
      <c r="J59" s="257">
        <f>2529.29</f>
        <v>2529.29</v>
      </c>
      <c r="K59" s="235"/>
      <c r="L59" s="208">
        <f t="shared" si="12"/>
        <v>2529.29</v>
      </c>
      <c r="M59" s="257"/>
      <c r="N59" s="235"/>
      <c r="O59" s="208">
        <f t="shared" si="13"/>
        <v>2529.29</v>
      </c>
      <c r="P59" s="292"/>
      <c r="Q59" s="167">
        <f t="shared" si="1"/>
        <v>2529.29</v>
      </c>
    </row>
    <row r="60" spans="1:17" ht="12.75">
      <c r="A60" s="16" t="s">
        <v>39</v>
      </c>
      <c r="B60" s="52"/>
      <c r="C60" s="112">
        <v>250</v>
      </c>
      <c r="D60" s="102">
        <f>5.96+863.64</f>
        <v>869.6</v>
      </c>
      <c r="E60" s="73"/>
      <c r="F60" s="190">
        <f t="shared" si="10"/>
        <v>1119.6</v>
      </c>
      <c r="G60" s="74">
        <f>2092.34+6.68+1437.81+224.7</f>
        <v>3761.5299999999997</v>
      </c>
      <c r="H60" s="235"/>
      <c r="I60" s="208">
        <f t="shared" si="11"/>
        <v>4881.129999999999</v>
      </c>
      <c r="J60" s="257">
        <f>8.66+344.06</f>
        <v>352.72</v>
      </c>
      <c r="K60" s="235"/>
      <c r="L60" s="208">
        <f t="shared" si="12"/>
        <v>5233.849999999999</v>
      </c>
      <c r="M60" s="257">
        <f>10.19</f>
        <v>10.19</v>
      </c>
      <c r="N60" s="235"/>
      <c r="O60" s="208">
        <f t="shared" si="13"/>
        <v>5244.039999999999</v>
      </c>
      <c r="P60" s="292"/>
      <c r="Q60" s="167">
        <f t="shared" si="1"/>
        <v>5244.039999999999</v>
      </c>
    </row>
    <row r="61" spans="1:17" ht="12.75">
      <c r="A61" s="16" t="s">
        <v>147</v>
      </c>
      <c r="B61" s="52"/>
      <c r="C61" s="112"/>
      <c r="D61" s="102"/>
      <c r="E61" s="73"/>
      <c r="F61" s="190">
        <f t="shared" si="10"/>
        <v>0</v>
      </c>
      <c r="G61" s="74"/>
      <c r="H61" s="235"/>
      <c r="I61" s="208">
        <f t="shared" si="11"/>
        <v>0</v>
      </c>
      <c r="J61" s="257">
        <f>9911.39+11573.61</f>
        <v>21485</v>
      </c>
      <c r="K61" s="235"/>
      <c r="L61" s="208">
        <f t="shared" si="12"/>
        <v>21485</v>
      </c>
      <c r="M61" s="257">
        <f>44.34</f>
        <v>44.34</v>
      </c>
      <c r="N61" s="235"/>
      <c r="O61" s="208">
        <f t="shared" si="13"/>
        <v>21529.34</v>
      </c>
      <c r="P61" s="292"/>
      <c r="Q61" s="167">
        <f t="shared" si="1"/>
        <v>21529.34</v>
      </c>
    </row>
    <row r="62" spans="1:17" ht="12.75">
      <c r="A62" s="13" t="s">
        <v>40</v>
      </c>
      <c r="B62" s="49"/>
      <c r="C62" s="111">
        <f>SUM(C64:C78)</f>
        <v>0</v>
      </c>
      <c r="D62" s="92">
        <f aca="true" t="shared" si="14" ref="D62:Q62">SUM(D64:D78)</f>
        <v>506339.23</v>
      </c>
      <c r="E62" s="72">
        <f t="shared" si="14"/>
        <v>0</v>
      </c>
      <c r="F62" s="189">
        <f t="shared" si="14"/>
        <v>506339.23</v>
      </c>
      <c r="G62" s="71">
        <f t="shared" si="14"/>
        <v>512615.96</v>
      </c>
      <c r="H62" s="234">
        <f t="shared" si="14"/>
        <v>0</v>
      </c>
      <c r="I62" s="207">
        <f t="shared" si="14"/>
        <v>1018955.1900000001</v>
      </c>
      <c r="J62" s="256">
        <f t="shared" si="14"/>
        <v>238621.34999999998</v>
      </c>
      <c r="K62" s="234">
        <f t="shared" si="14"/>
        <v>0</v>
      </c>
      <c r="L62" s="207">
        <f t="shared" si="14"/>
        <v>1257576.54</v>
      </c>
      <c r="M62" s="256">
        <f t="shared" si="14"/>
        <v>210392.40999999997</v>
      </c>
      <c r="N62" s="234">
        <f t="shared" si="14"/>
        <v>0</v>
      </c>
      <c r="O62" s="207">
        <f t="shared" si="14"/>
        <v>1467968.9500000002</v>
      </c>
      <c r="P62" s="92">
        <f t="shared" si="14"/>
        <v>0</v>
      </c>
      <c r="Q62" s="150">
        <f t="shared" si="14"/>
        <v>1453529.12</v>
      </c>
    </row>
    <row r="63" spans="1:17" ht="12.75">
      <c r="A63" s="18" t="s">
        <v>26</v>
      </c>
      <c r="B63" s="54"/>
      <c r="C63" s="112"/>
      <c r="D63" s="102"/>
      <c r="E63" s="73"/>
      <c r="F63" s="190"/>
      <c r="G63" s="74"/>
      <c r="H63" s="235"/>
      <c r="I63" s="208"/>
      <c r="J63" s="257"/>
      <c r="K63" s="235"/>
      <c r="L63" s="208"/>
      <c r="M63" s="257"/>
      <c r="N63" s="235"/>
      <c r="O63" s="208"/>
      <c r="P63" s="292"/>
      <c r="Q63" s="167"/>
    </row>
    <row r="64" spans="1:17" ht="12.75">
      <c r="A64" s="16" t="s">
        <v>29</v>
      </c>
      <c r="B64" s="52"/>
      <c r="C64" s="112"/>
      <c r="D64" s="102"/>
      <c r="E64" s="73"/>
      <c r="F64" s="190">
        <f aca="true" t="shared" si="15" ref="F64:F78">C64+D64+E64</f>
        <v>0</v>
      </c>
      <c r="G64" s="74">
        <f>216.76</f>
        <v>216.76</v>
      </c>
      <c r="H64" s="235"/>
      <c r="I64" s="208">
        <f>F64+G64+H64</f>
        <v>216.76</v>
      </c>
      <c r="J64" s="257"/>
      <c r="K64" s="235"/>
      <c r="L64" s="208">
        <f>I64+J64+K64</f>
        <v>216.76</v>
      </c>
      <c r="M64" s="257"/>
      <c r="N64" s="235"/>
      <c r="O64" s="208">
        <f>L64+M64+N64</f>
        <v>216.76</v>
      </c>
      <c r="P64" s="292"/>
      <c r="Q64" s="167">
        <f t="shared" si="1"/>
        <v>216.76</v>
      </c>
    </row>
    <row r="65" spans="1:17" ht="12.75">
      <c r="A65" s="20" t="s">
        <v>30</v>
      </c>
      <c r="B65" s="55"/>
      <c r="C65" s="112"/>
      <c r="D65" s="102"/>
      <c r="E65" s="73"/>
      <c r="F65" s="190">
        <f t="shared" si="15"/>
        <v>0</v>
      </c>
      <c r="G65" s="74">
        <f>222.33+636.11+185.45+179.45</f>
        <v>1223.3400000000001</v>
      </c>
      <c r="H65" s="235"/>
      <c r="I65" s="208">
        <f aca="true" t="shared" si="16" ref="I65:I78">F65+G65+H65</f>
        <v>1223.3400000000001</v>
      </c>
      <c r="J65" s="257">
        <f>55.18</f>
        <v>55.18</v>
      </c>
      <c r="K65" s="235"/>
      <c r="L65" s="208">
        <f aca="true" t="shared" si="17" ref="L65:L78">I65+J65+K65</f>
        <v>1278.5200000000002</v>
      </c>
      <c r="M65" s="257"/>
      <c r="N65" s="235"/>
      <c r="O65" s="208">
        <f aca="true" t="shared" si="18" ref="O65:O78">L65+M65+N65</f>
        <v>1278.5200000000002</v>
      </c>
      <c r="P65" s="292"/>
      <c r="Q65" s="167">
        <f t="shared" si="1"/>
        <v>1278.5200000000002</v>
      </c>
    </row>
    <row r="66" spans="1:17" ht="12.75" hidden="1">
      <c r="A66" s="20" t="s">
        <v>28</v>
      </c>
      <c r="B66" s="55"/>
      <c r="C66" s="112"/>
      <c r="D66" s="102"/>
      <c r="E66" s="73"/>
      <c r="F66" s="190">
        <f t="shared" si="15"/>
        <v>0</v>
      </c>
      <c r="G66" s="74"/>
      <c r="H66" s="235"/>
      <c r="I66" s="208">
        <f t="shared" si="16"/>
        <v>0</v>
      </c>
      <c r="J66" s="257"/>
      <c r="K66" s="235"/>
      <c r="L66" s="208">
        <f t="shared" si="17"/>
        <v>0</v>
      </c>
      <c r="M66" s="257"/>
      <c r="N66" s="235"/>
      <c r="O66" s="208">
        <f t="shared" si="18"/>
        <v>0</v>
      </c>
      <c r="P66" s="292"/>
      <c r="Q66" s="167">
        <f t="shared" si="1"/>
        <v>0</v>
      </c>
    </row>
    <row r="67" spans="1:17" ht="12.75">
      <c r="A67" s="20" t="s">
        <v>32</v>
      </c>
      <c r="B67" s="55"/>
      <c r="C67" s="112"/>
      <c r="D67" s="102"/>
      <c r="E67" s="73"/>
      <c r="F67" s="190">
        <f t="shared" si="15"/>
        <v>0</v>
      </c>
      <c r="G67" s="74">
        <f>45+63</f>
        <v>108</v>
      </c>
      <c r="H67" s="235"/>
      <c r="I67" s="208">
        <f t="shared" si="16"/>
        <v>108</v>
      </c>
      <c r="J67" s="257">
        <f>14331.83</f>
        <v>14331.83</v>
      </c>
      <c r="K67" s="235"/>
      <c r="L67" s="208">
        <f t="shared" si="17"/>
        <v>14439.83</v>
      </c>
      <c r="M67" s="257"/>
      <c r="N67" s="235"/>
      <c r="O67" s="208">
        <f t="shared" si="18"/>
        <v>14439.83</v>
      </c>
      <c r="P67" s="292"/>
      <c r="Q67" s="167"/>
    </row>
    <row r="68" spans="1:17" ht="12.75">
      <c r="A68" s="20" t="s">
        <v>41</v>
      </c>
      <c r="B68" s="55"/>
      <c r="C68" s="112"/>
      <c r="D68" s="102"/>
      <c r="E68" s="73"/>
      <c r="F68" s="190">
        <f t="shared" si="15"/>
        <v>0</v>
      </c>
      <c r="G68" s="74">
        <f>13412.83</f>
        <v>13412.83</v>
      </c>
      <c r="H68" s="235"/>
      <c r="I68" s="208">
        <f t="shared" si="16"/>
        <v>13412.83</v>
      </c>
      <c r="J68" s="257"/>
      <c r="K68" s="235"/>
      <c r="L68" s="208">
        <f t="shared" si="17"/>
        <v>13412.83</v>
      </c>
      <c r="M68" s="257">
        <f>171088.75</f>
        <v>171088.75</v>
      </c>
      <c r="N68" s="235"/>
      <c r="O68" s="208">
        <f t="shared" si="18"/>
        <v>184501.58</v>
      </c>
      <c r="P68" s="292"/>
      <c r="Q68" s="167">
        <f t="shared" si="1"/>
        <v>184501.58</v>
      </c>
    </row>
    <row r="69" spans="1:17" ht="12.75">
      <c r="A69" s="16" t="s">
        <v>31</v>
      </c>
      <c r="B69" s="52"/>
      <c r="C69" s="112"/>
      <c r="D69" s="102">
        <f>1620.82+1409.62</f>
        <v>3030.4399999999996</v>
      </c>
      <c r="E69" s="73"/>
      <c r="F69" s="190">
        <f t="shared" si="15"/>
        <v>3030.4399999999996</v>
      </c>
      <c r="G69" s="74">
        <f>18707.82+56521.93+1337.82-1409.62</f>
        <v>75157.95000000001</v>
      </c>
      <c r="H69" s="235"/>
      <c r="I69" s="208">
        <f t="shared" si="16"/>
        <v>78188.39000000001</v>
      </c>
      <c r="J69" s="257">
        <f>19982.75+19379.21+35904.66+71.8+1052.12+200000+47365.51</f>
        <v>323756.05</v>
      </c>
      <c r="K69" s="235"/>
      <c r="L69" s="208">
        <f t="shared" si="17"/>
        <v>401944.44</v>
      </c>
      <c r="M69" s="257">
        <f>2100+932.64+121639.93+111.02</f>
        <v>124783.59</v>
      </c>
      <c r="N69" s="235"/>
      <c r="O69" s="208">
        <f t="shared" si="18"/>
        <v>526728.03</v>
      </c>
      <c r="P69" s="292"/>
      <c r="Q69" s="167">
        <f t="shared" si="1"/>
        <v>526728.03</v>
      </c>
    </row>
    <row r="70" spans="1:17" ht="12.75" hidden="1">
      <c r="A70" s="16" t="s">
        <v>194</v>
      </c>
      <c r="B70" s="52"/>
      <c r="C70" s="112"/>
      <c r="D70" s="102"/>
      <c r="E70" s="73"/>
      <c r="F70" s="190">
        <f t="shared" si="15"/>
        <v>0</v>
      </c>
      <c r="G70" s="74"/>
      <c r="H70" s="235"/>
      <c r="I70" s="208">
        <f t="shared" si="16"/>
        <v>0</v>
      </c>
      <c r="J70" s="257"/>
      <c r="K70" s="235"/>
      <c r="L70" s="208">
        <f t="shared" si="17"/>
        <v>0</v>
      </c>
      <c r="M70" s="257"/>
      <c r="N70" s="235"/>
      <c r="O70" s="208">
        <f t="shared" si="18"/>
        <v>0</v>
      </c>
      <c r="P70" s="292"/>
      <c r="Q70" s="167">
        <f t="shared" si="1"/>
        <v>0</v>
      </c>
    </row>
    <row r="71" spans="1:17" ht="12.75">
      <c r="A71" s="16" t="s">
        <v>143</v>
      </c>
      <c r="B71" s="52"/>
      <c r="C71" s="112"/>
      <c r="D71" s="102">
        <f>143308.79</f>
        <v>143308.79</v>
      </c>
      <c r="E71" s="73"/>
      <c r="F71" s="190">
        <f t="shared" si="15"/>
        <v>143308.79</v>
      </c>
      <c r="G71" s="74"/>
      <c r="H71" s="235"/>
      <c r="I71" s="208">
        <f t="shared" si="16"/>
        <v>143308.79</v>
      </c>
      <c r="J71" s="257">
        <f>2695+52126.88+4156.41</f>
        <v>58978.28999999999</v>
      </c>
      <c r="K71" s="235"/>
      <c r="L71" s="208">
        <f t="shared" si="17"/>
        <v>202287.08000000002</v>
      </c>
      <c r="M71" s="257">
        <f>6029.18+2662.97</f>
        <v>8692.15</v>
      </c>
      <c r="N71" s="235"/>
      <c r="O71" s="208">
        <f t="shared" si="18"/>
        <v>210979.23</v>
      </c>
      <c r="P71" s="292"/>
      <c r="Q71" s="167">
        <f t="shared" si="1"/>
        <v>210979.23</v>
      </c>
    </row>
    <row r="72" spans="1:17" ht="12.75" hidden="1">
      <c r="A72" s="16" t="s">
        <v>144</v>
      </c>
      <c r="B72" s="52"/>
      <c r="C72" s="112"/>
      <c r="D72" s="102"/>
      <c r="E72" s="73"/>
      <c r="F72" s="190">
        <f t="shared" si="15"/>
        <v>0</v>
      </c>
      <c r="G72" s="74"/>
      <c r="H72" s="235"/>
      <c r="I72" s="208">
        <f t="shared" si="16"/>
        <v>0</v>
      </c>
      <c r="J72" s="257"/>
      <c r="K72" s="235"/>
      <c r="L72" s="208">
        <f t="shared" si="17"/>
        <v>0</v>
      </c>
      <c r="M72" s="257"/>
      <c r="N72" s="235"/>
      <c r="O72" s="208">
        <f t="shared" si="18"/>
        <v>0</v>
      </c>
      <c r="P72" s="292"/>
      <c r="Q72" s="167">
        <f t="shared" si="1"/>
        <v>0</v>
      </c>
    </row>
    <row r="73" spans="1:17" ht="12.75">
      <c r="A73" s="16" t="s">
        <v>42</v>
      </c>
      <c r="B73" s="52"/>
      <c r="C73" s="112"/>
      <c r="D73" s="102">
        <f>360000</f>
        <v>360000</v>
      </c>
      <c r="E73" s="73"/>
      <c r="F73" s="190">
        <f t="shared" si="15"/>
        <v>360000</v>
      </c>
      <c r="G73" s="74">
        <f>19500+12172.08+390825</f>
        <v>422497.08</v>
      </c>
      <c r="H73" s="235"/>
      <c r="I73" s="208">
        <f t="shared" si="16"/>
        <v>782497.0800000001</v>
      </c>
      <c r="J73" s="257">
        <f>-158500</f>
        <v>-158500</v>
      </c>
      <c r="K73" s="235"/>
      <c r="L73" s="208">
        <f t="shared" si="17"/>
        <v>623997.0800000001</v>
      </c>
      <c r="M73" s="257">
        <f>-82000-12172.08</f>
        <v>-94172.08</v>
      </c>
      <c r="N73" s="235"/>
      <c r="O73" s="208">
        <f t="shared" si="18"/>
        <v>529825.0000000001</v>
      </c>
      <c r="P73" s="292"/>
      <c r="Q73" s="167">
        <f t="shared" si="1"/>
        <v>529825.0000000001</v>
      </c>
    </row>
    <row r="74" spans="1:17" ht="12.75" hidden="1">
      <c r="A74" s="16" t="s">
        <v>43</v>
      </c>
      <c r="B74" s="52"/>
      <c r="C74" s="112"/>
      <c r="D74" s="102"/>
      <c r="E74" s="73"/>
      <c r="F74" s="190">
        <f t="shared" si="15"/>
        <v>0</v>
      </c>
      <c r="G74" s="74"/>
      <c r="H74" s="235"/>
      <c r="I74" s="208">
        <f t="shared" si="16"/>
        <v>0</v>
      </c>
      <c r="J74" s="257"/>
      <c r="K74" s="235"/>
      <c r="L74" s="208">
        <f t="shared" si="17"/>
        <v>0</v>
      </c>
      <c r="M74" s="257"/>
      <c r="N74" s="235"/>
      <c r="O74" s="208">
        <f t="shared" si="18"/>
        <v>0</v>
      </c>
      <c r="P74" s="292"/>
      <c r="Q74" s="167">
        <f t="shared" si="1"/>
        <v>0</v>
      </c>
    </row>
    <row r="75" spans="1:17" ht="12.75" hidden="1">
      <c r="A75" s="16" t="s">
        <v>44</v>
      </c>
      <c r="B75" s="52"/>
      <c r="C75" s="112"/>
      <c r="D75" s="102"/>
      <c r="E75" s="73"/>
      <c r="F75" s="190">
        <f t="shared" si="15"/>
        <v>0</v>
      </c>
      <c r="G75" s="74"/>
      <c r="H75" s="235"/>
      <c r="I75" s="208">
        <f t="shared" si="16"/>
        <v>0</v>
      </c>
      <c r="J75" s="257"/>
      <c r="K75" s="235"/>
      <c r="L75" s="208">
        <f t="shared" si="17"/>
        <v>0</v>
      </c>
      <c r="M75" s="257"/>
      <c r="N75" s="235"/>
      <c r="O75" s="208">
        <f t="shared" si="18"/>
        <v>0</v>
      </c>
      <c r="P75" s="292"/>
      <c r="Q75" s="167">
        <f t="shared" si="1"/>
        <v>0</v>
      </c>
    </row>
    <row r="76" spans="1:17" ht="12.75" hidden="1">
      <c r="A76" s="16" t="s">
        <v>35</v>
      </c>
      <c r="B76" s="52"/>
      <c r="C76" s="112"/>
      <c r="D76" s="102"/>
      <c r="E76" s="73"/>
      <c r="F76" s="190">
        <f t="shared" si="15"/>
        <v>0</v>
      </c>
      <c r="G76" s="74"/>
      <c r="H76" s="235"/>
      <c r="I76" s="208">
        <f t="shared" si="16"/>
        <v>0</v>
      </c>
      <c r="J76" s="257"/>
      <c r="K76" s="235"/>
      <c r="L76" s="208">
        <f t="shared" si="17"/>
        <v>0</v>
      </c>
      <c r="M76" s="257"/>
      <c r="N76" s="235"/>
      <c r="O76" s="208">
        <f t="shared" si="18"/>
        <v>0</v>
      </c>
      <c r="P76" s="294"/>
      <c r="Q76" s="167">
        <f t="shared" si="1"/>
        <v>0</v>
      </c>
    </row>
    <row r="77" spans="1:17" ht="12.75" hidden="1">
      <c r="A77" s="16" t="s">
        <v>38</v>
      </c>
      <c r="B77" s="52"/>
      <c r="C77" s="112"/>
      <c r="D77" s="102"/>
      <c r="E77" s="73"/>
      <c r="F77" s="190">
        <f t="shared" si="15"/>
        <v>0</v>
      </c>
      <c r="G77" s="74"/>
      <c r="H77" s="235"/>
      <c r="I77" s="208">
        <f t="shared" si="16"/>
        <v>0</v>
      </c>
      <c r="J77" s="257"/>
      <c r="K77" s="235"/>
      <c r="L77" s="208">
        <f t="shared" si="17"/>
        <v>0</v>
      </c>
      <c r="M77" s="257"/>
      <c r="N77" s="235"/>
      <c r="O77" s="208">
        <f t="shared" si="18"/>
        <v>0</v>
      </c>
      <c r="P77" s="294"/>
      <c r="Q77" s="167">
        <f t="shared" si="1"/>
        <v>0</v>
      </c>
    </row>
    <row r="78" spans="1:17" ht="12.75" hidden="1">
      <c r="A78" s="16" t="s">
        <v>147</v>
      </c>
      <c r="B78" s="52"/>
      <c r="C78" s="112"/>
      <c r="D78" s="102"/>
      <c r="E78" s="73"/>
      <c r="F78" s="190">
        <f t="shared" si="15"/>
        <v>0</v>
      </c>
      <c r="G78" s="74"/>
      <c r="H78" s="235"/>
      <c r="I78" s="208">
        <f t="shared" si="16"/>
        <v>0</v>
      </c>
      <c r="J78" s="257"/>
      <c r="K78" s="235"/>
      <c r="L78" s="208">
        <f t="shared" si="17"/>
        <v>0</v>
      </c>
      <c r="M78" s="257"/>
      <c r="N78" s="235"/>
      <c r="O78" s="208">
        <f t="shared" si="18"/>
        <v>0</v>
      </c>
      <c r="P78" s="292"/>
      <c r="Q78" s="167">
        <f t="shared" si="1"/>
        <v>0</v>
      </c>
    </row>
    <row r="79" spans="1:17" ht="16.5" thickBot="1">
      <c r="A79" s="21" t="s">
        <v>45</v>
      </c>
      <c r="B79" s="56"/>
      <c r="C79" s="114">
        <f aca="true" t="shared" si="19" ref="C79:Q79">C11+C17+C39+C62+C31</f>
        <v>5751704.72</v>
      </c>
      <c r="D79" s="104">
        <f t="shared" si="19"/>
        <v>12177604.510000004</v>
      </c>
      <c r="E79" s="78">
        <f t="shared" si="19"/>
        <v>0</v>
      </c>
      <c r="F79" s="192">
        <f t="shared" si="19"/>
        <v>17929309.230000004</v>
      </c>
      <c r="G79" s="77">
        <f t="shared" si="19"/>
        <v>1744344.53</v>
      </c>
      <c r="H79" s="238">
        <f t="shared" si="19"/>
        <v>167128.54</v>
      </c>
      <c r="I79" s="210">
        <f t="shared" si="19"/>
        <v>19840782.3</v>
      </c>
      <c r="J79" s="261">
        <f t="shared" si="19"/>
        <v>1094309.01</v>
      </c>
      <c r="K79" s="238">
        <f t="shared" si="19"/>
        <v>35593.59</v>
      </c>
      <c r="L79" s="210">
        <f t="shared" si="19"/>
        <v>20970684.900000002</v>
      </c>
      <c r="M79" s="261">
        <f t="shared" si="19"/>
        <v>648328.96</v>
      </c>
      <c r="N79" s="238">
        <f t="shared" si="19"/>
        <v>41831.630000000005</v>
      </c>
      <c r="O79" s="210">
        <f t="shared" si="19"/>
        <v>21660845.490000002</v>
      </c>
      <c r="P79" s="104">
        <f t="shared" si="19"/>
        <v>0</v>
      </c>
      <c r="Q79" s="153">
        <f t="shared" si="19"/>
        <v>21540492.660000004</v>
      </c>
    </row>
    <row r="80" spans="1:17" ht="12.75">
      <c r="A80" s="13" t="s">
        <v>46</v>
      </c>
      <c r="B80" s="49"/>
      <c r="C80" s="111"/>
      <c r="D80" s="102"/>
      <c r="E80" s="73"/>
      <c r="F80" s="190"/>
      <c r="G80" s="74"/>
      <c r="H80" s="235"/>
      <c r="I80" s="208"/>
      <c r="J80" s="257"/>
      <c r="K80" s="235"/>
      <c r="L80" s="208"/>
      <c r="M80" s="257"/>
      <c r="N80" s="235"/>
      <c r="O80" s="208"/>
      <c r="P80" s="292"/>
      <c r="Q80" s="167"/>
    </row>
    <row r="81" spans="1:17" ht="12.75">
      <c r="A81" s="13" t="s">
        <v>60</v>
      </c>
      <c r="B81" s="61"/>
      <c r="C81" s="111">
        <f aca="true" t="shared" si="20" ref="C81:Q81">C82+C90</f>
        <v>112277</v>
      </c>
      <c r="D81" s="92">
        <f t="shared" si="20"/>
        <v>46800.56</v>
      </c>
      <c r="E81" s="72">
        <f t="shared" si="20"/>
        <v>0</v>
      </c>
      <c r="F81" s="189">
        <f t="shared" si="20"/>
        <v>159077.56</v>
      </c>
      <c r="G81" s="71">
        <f t="shared" si="20"/>
        <v>9854.32</v>
      </c>
      <c r="H81" s="234">
        <f t="shared" si="20"/>
        <v>28805.33</v>
      </c>
      <c r="I81" s="207">
        <f t="shared" si="20"/>
        <v>197737.21</v>
      </c>
      <c r="J81" s="256">
        <f t="shared" si="20"/>
        <v>8570.67</v>
      </c>
      <c r="K81" s="234">
        <f t="shared" si="20"/>
        <v>0</v>
      </c>
      <c r="L81" s="207">
        <f t="shared" si="20"/>
        <v>206307.88</v>
      </c>
      <c r="M81" s="256">
        <f t="shared" si="20"/>
        <v>16.5</v>
      </c>
      <c r="N81" s="234">
        <f t="shared" si="20"/>
        <v>0</v>
      </c>
      <c r="O81" s="207">
        <f t="shared" si="20"/>
        <v>206324.38</v>
      </c>
      <c r="P81" s="92">
        <f t="shared" si="20"/>
        <v>0</v>
      </c>
      <c r="Q81" s="150">
        <f t="shared" si="20"/>
        <v>205962.71</v>
      </c>
    </row>
    <row r="82" spans="1:17" ht="12.75">
      <c r="A82" s="22" t="s">
        <v>48</v>
      </c>
      <c r="B82" s="61"/>
      <c r="C82" s="115">
        <f>SUM(C84:C89)</f>
        <v>69277</v>
      </c>
      <c r="D82" s="105">
        <f aca="true" t="shared" si="21" ref="D82:Q82">SUM(D84:D89)</f>
        <v>2652.21</v>
      </c>
      <c r="E82" s="80">
        <f t="shared" si="21"/>
        <v>0</v>
      </c>
      <c r="F82" s="193">
        <f t="shared" si="21"/>
        <v>71929.21</v>
      </c>
      <c r="G82" s="79">
        <f t="shared" si="21"/>
        <v>393.86</v>
      </c>
      <c r="H82" s="239">
        <f t="shared" si="21"/>
        <v>5000</v>
      </c>
      <c r="I82" s="211">
        <f t="shared" si="21"/>
        <v>77323.07</v>
      </c>
      <c r="J82" s="262">
        <f t="shared" si="21"/>
        <v>361.67</v>
      </c>
      <c r="K82" s="239">
        <f t="shared" si="21"/>
        <v>0</v>
      </c>
      <c r="L82" s="211">
        <f t="shared" si="21"/>
        <v>77684.74</v>
      </c>
      <c r="M82" s="262">
        <f t="shared" si="21"/>
        <v>16.5</v>
      </c>
      <c r="N82" s="239">
        <f t="shared" si="21"/>
        <v>0</v>
      </c>
      <c r="O82" s="211">
        <f t="shared" si="21"/>
        <v>77701.24</v>
      </c>
      <c r="P82" s="105">
        <f t="shared" si="21"/>
        <v>0</v>
      </c>
      <c r="Q82" s="154">
        <f t="shared" si="21"/>
        <v>77339.57</v>
      </c>
    </row>
    <row r="83" spans="1:17" ht="12.75">
      <c r="A83" s="18" t="s">
        <v>26</v>
      </c>
      <c r="B83" s="57"/>
      <c r="C83" s="112"/>
      <c r="D83" s="102"/>
      <c r="E83" s="73"/>
      <c r="F83" s="189"/>
      <c r="G83" s="74"/>
      <c r="H83" s="235"/>
      <c r="I83" s="207"/>
      <c r="J83" s="257"/>
      <c r="K83" s="235"/>
      <c r="L83" s="207"/>
      <c r="M83" s="257"/>
      <c r="N83" s="235"/>
      <c r="O83" s="207"/>
      <c r="P83" s="292"/>
      <c r="Q83" s="167"/>
    </row>
    <row r="84" spans="1:17" ht="12.75">
      <c r="A84" s="16" t="s">
        <v>50</v>
      </c>
      <c r="B84" s="57"/>
      <c r="C84" s="112">
        <v>7889</v>
      </c>
      <c r="D84" s="102"/>
      <c r="E84" s="73"/>
      <c r="F84" s="190">
        <f aca="true" t="shared" si="22" ref="F84:F89">C84+D84+E84</f>
        <v>7889</v>
      </c>
      <c r="G84" s="133">
        <f>393.86</f>
        <v>393.86</v>
      </c>
      <c r="H84" s="235"/>
      <c r="I84" s="208">
        <f aca="true" t="shared" si="23" ref="I84:I89">F84+G84+H84</f>
        <v>8282.86</v>
      </c>
      <c r="J84" s="257"/>
      <c r="K84" s="235"/>
      <c r="L84" s="208">
        <f aca="true" t="shared" si="24" ref="L84:L89">I84+J84+K84</f>
        <v>8282.86</v>
      </c>
      <c r="M84" s="257">
        <f>76.5-60</f>
        <v>16.5</v>
      </c>
      <c r="N84" s="235"/>
      <c r="O84" s="208">
        <f aca="true" t="shared" si="25" ref="O84:O89">L84+M84+N84</f>
        <v>8299.36</v>
      </c>
      <c r="P84" s="292"/>
      <c r="Q84" s="167">
        <f>O84+P84</f>
        <v>8299.36</v>
      </c>
    </row>
    <row r="85" spans="1:17" ht="12.75" hidden="1">
      <c r="A85" s="16" t="s">
        <v>62</v>
      </c>
      <c r="B85" s="57"/>
      <c r="C85" s="112"/>
      <c r="D85" s="102"/>
      <c r="E85" s="73"/>
      <c r="F85" s="190">
        <f t="shared" si="22"/>
        <v>0</v>
      </c>
      <c r="G85" s="74"/>
      <c r="H85" s="235"/>
      <c r="I85" s="208">
        <f t="shared" si="23"/>
        <v>0</v>
      </c>
      <c r="J85" s="257"/>
      <c r="K85" s="235"/>
      <c r="L85" s="208">
        <f t="shared" si="24"/>
        <v>0</v>
      </c>
      <c r="M85" s="257"/>
      <c r="N85" s="235"/>
      <c r="O85" s="208">
        <f t="shared" si="25"/>
        <v>0</v>
      </c>
      <c r="P85" s="292"/>
      <c r="Q85" s="167">
        <f>O85+P85</f>
        <v>0</v>
      </c>
    </row>
    <row r="86" spans="1:17" ht="12.75">
      <c r="A86" s="20" t="s">
        <v>189</v>
      </c>
      <c r="B86" s="57"/>
      <c r="C86" s="112">
        <v>61388</v>
      </c>
      <c r="D86" s="102"/>
      <c r="E86" s="73"/>
      <c r="F86" s="190">
        <f t="shared" si="22"/>
        <v>61388</v>
      </c>
      <c r="G86" s="74"/>
      <c r="H86" s="235"/>
      <c r="I86" s="208">
        <f t="shared" si="23"/>
        <v>61388</v>
      </c>
      <c r="J86" s="257"/>
      <c r="K86" s="235"/>
      <c r="L86" s="208">
        <f t="shared" si="24"/>
        <v>61388</v>
      </c>
      <c r="M86" s="257"/>
      <c r="N86" s="235"/>
      <c r="O86" s="208">
        <f t="shared" si="25"/>
        <v>61388</v>
      </c>
      <c r="P86" s="292"/>
      <c r="Q86" s="167">
        <f>O86+P86</f>
        <v>61388</v>
      </c>
    </row>
    <row r="87" spans="1:18" ht="12.75">
      <c r="A87" s="96" t="s">
        <v>350</v>
      </c>
      <c r="B87" s="57">
        <v>90002</v>
      </c>
      <c r="C87" s="112"/>
      <c r="D87" s="102"/>
      <c r="E87" s="73"/>
      <c r="F87" s="190">
        <f t="shared" si="22"/>
        <v>0</v>
      </c>
      <c r="G87" s="74"/>
      <c r="H87" s="235"/>
      <c r="I87" s="208">
        <f t="shared" si="23"/>
        <v>0</v>
      </c>
      <c r="J87" s="257">
        <f>361.67</f>
        <v>361.67</v>
      </c>
      <c r="K87" s="235"/>
      <c r="L87" s="208">
        <f t="shared" si="24"/>
        <v>361.67</v>
      </c>
      <c r="M87" s="257"/>
      <c r="N87" s="235"/>
      <c r="O87" s="208">
        <f t="shared" si="25"/>
        <v>361.67</v>
      </c>
      <c r="P87" s="292"/>
      <c r="Q87" s="167"/>
      <c r="R87" s="45"/>
    </row>
    <row r="88" spans="1:17" ht="12.75" hidden="1">
      <c r="A88" s="16" t="s">
        <v>71</v>
      </c>
      <c r="B88" s="57"/>
      <c r="C88" s="112"/>
      <c r="D88" s="102"/>
      <c r="E88" s="73"/>
      <c r="F88" s="190">
        <f t="shared" si="22"/>
        <v>0</v>
      </c>
      <c r="G88" s="74"/>
      <c r="H88" s="235"/>
      <c r="I88" s="208">
        <f t="shared" si="23"/>
        <v>0</v>
      </c>
      <c r="J88" s="257"/>
      <c r="K88" s="235"/>
      <c r="L88" s="208">
        <f t="shared" si="24"/>
        <v>0</v>
      </c>
      <c r="M88" s="257"/>
      <c r="N88" s="235"/>
      <c r="O88" s="208">
        <f t="shared" si="25"/>
        <v>0</v>
      </c>
      <c r="P88" s="292"/>
      <c r="Q88" s="167">
        <f>O88+P88</f>
        <v>0</v>
      </c>
    </row>
    <row r="89" spans="1:17" ht="13.5" thickBot="1">
      <c r="A89" s="299" t="s">
        <v>63</v>
      </c>
      <c r="B89" s="300"/>
      <c r="C89" s="301"/>
      <c r="D89" s="302">
        <f>2652.21</f>
        <v>2652.21</v>
      </c>
      <c r="E89" s="303"/>
      <c r="F89" s="304">
        <f t="shared" si="22"/>
        <v>2652.21</v>
      </c>
      <c r="G89" s="305"/>
      <c r="H89" s="306">
        <f>5000</f>
        <v>5000</v>
      </c>
      <c r="I89" s="307">
        <f t="shared" si="23"/>
        <v>7652.21</v>
      </c>
      <c r="J89" s="308"/>
      <c r="K89" s="306"/>
      <c r="L89" s="307">
        <f t="shared" si="24"/>
        <v>7652.21</v>
      </c>
      <c r="M89" s="308"/>
      <c r="N89" s="306"/>
      <c r="O89" s="307">
        <f t="shared" si="25"/>
        <v>7652.21</v>
      </c>
      <c r="P89" s="292"/>
      <c r="Q89" s="167">
        <f>O89+P89</f>
        <v>7652.21</v>
      </c>
    </row>
    <row r="90" spans="1:17" ht="12.75">
      <c r="A90" s="23" t="s">
        <v>52</v>
      </c>
      <c r="B90" s="61"/>
      <c r="C90" s="116">
        <f>SUM(C92:C98)</f>
        <v>43000</v>
      </c>
      <c r="D90" s="106">
        <f aca="true" t="shared" si="26" ref="D90:Q90">SUM(D92:D98)</f>
        <v>44148.35</v>
      </c>
      <c r="E90" s="83">
        <f t="shared" si="26"/>
        <v>0</v>
      </c>
      <c r="F90" s="194">
        <f t="shared" si="26"/>
        <v>87148.35</v>
      </c>
      <c r="G90" s="82">
        <f t="shared" si="26"/>
        <v>9460.46</v>
      </c>
      <c r="H90" s="240">
        <f t="shared" si="26"/>
        <v>23805.33</v>
      </c>
      <c r="I90" s="212">
        <f t="shared" si="26"/>
        <v>120414.13999999998</v>
      </c>
      <c r="J90" s="263">
        <f t="shared" si="26"/>
        <v>8209</v>
      </c>
      <c r="K90" s="240">
        <f t="shared" si="26"/>
        <v>0</v>
      </c>
      <c r="L90" s="212">
        <f t="shared" si="26"/>
        <v>128623.13999999998</v>
      </c>
      <c r="M90" s="263">
        <f t="shared" si="26"/>
        <v>0</v>
      </c>
      <c r="N90" s="240">
        <f t="shared" si="26"/>
        <v>0</v>
      </c>
      <c r="O90" s="212">
        <f t="shared" si="26"/>
        <v>128623.13999999998</v>
      </c>
      <c r="P90" s="106">
        <f t="shared" si="26"/>
        <v>0</v>
      </c>
      <c r="Q90" s="155">
        <f t="shared" si="26"/>
        <v>128623.13999999998</v>
      </c>
    </row>
    <row r="91" spans="1:17" ht="12.75">
      <c r="A91" s="14" t="s">
        <v>26</v>
      </c>
      <c r="B91" s="57"/>
      <c r="C91" s="113"/>
      <c r="D91" s="103"/>
      <c r="E91" s="76"/>
      <c r="F91" s="191"/>
      <c r="G91" s="75"/>
      <c r="H91" s="237"/>
      <c r="I91" s="209"/>
      <c r="J91" s="259"/>
      <c r="K91" s="237"/>
      <c r="L91" s="209"/>
      <c r="M91" s="259"/>
      <c r="N91" s="237"/>
      <c r="O91" s="209"/>
      <c r="P91" s="292"/>
      <c r="Q91" s="167"/>
    </row>
    <row r="92" spans="1:17" ht="12.75">
      <c r="A92" s="58" t="s">
        <v>261</v>
      </c>
      <c r="B92" s="57"/>
      <c r="C92" s="112"/>
      <c r="D92" s="102">
        <f>1838.82</f>
        <v>1838.82</v>
      </c>
      <c r="E92" s="73"/>
      <c r="F92" s="132">
        <f aca="true" t="shared" si="27" ref="F92:F98">C92+D92+E92</f>
        <v>1838.82</v>
      </c>
      <c r="G92" s="74">
        <f>9460.46</f>
        <v>9460.46</v>
      </c>
      <c r="H92" s="235">
        <f>10751.43</f>
        <v>10751.43</v>
      </c>
      <c r="I92" s="208">
        <f>F92+G92+H92</f>
        <v>22050.71</v>
      </c>
      <c r="J92" s="257">
        <f>8209</f>
        <v>8209</v>
      </c>
      <c r="K92" s="235"/>
      <c r="L92" s="208">
        <f aca="true" t="shared" si="28" ref="L92:L98">I92+J92+K92</f>
        <v>30259.71</v>
      </c>
      <c r="M92" s="257"/>
      <c r="N92" s="235"/>
      <c r="O92" s="208">
        <f>L92+M92+N92</f>
        <v>30259.71</v>
      </c>
      <c r="P92" s="292"/>
      <c r="Q92" s="167">
        <f aca="true" t="shared" si="29" ref="Q92:Q98">O92+P92</f>
        <v>30259.71</v>
      </c>
    </row>
    <row r="93" spans="1:17" ht="12.75">
      <c r="A93" s="20" t="s">
        <v>219</v>
      </c>
      <c r="B93" s="57"/>
      <c r="C93" s="112">
        <v>10000</v>
      </c>
      <c r="D93" s="102">
        <f>19000</f>
        <v>19000</v>
      </c>
      <c r="E93" s="73"/>
      <c r="F93" s="190">
        <f t="shared" si="27"/>
        <v>29000</v>
      </c>
      <c r="G93" s="74"/>
      <c r="H93" s="235"/>
      <c r="I93" s="208">
        <f aca="true" t="shared" si="30" ref="I93:I98">F93+G93+H93</f>
        <v>29000</v>
      </c>
      <c r="J93" s="257"/>
      <c r="K93" s="235"/>
      <c r="L93" s="208">
        <f t="shared" si="28"/>
        <v>29000</v>
      </c>
      <c r="M93" s="257"/>
      <c r="N93" s="235"/>
      <c r="O93" s="208">
        <f aca="true" t="shared" si="31" ref="O93:O98">L93+M93+N93</f>
        <v>29000</v>
      </c>
      <c r="P93" s="292"/>
      <c r="Q93" s="167">
        <f t="shared" si="29"/>
        <v>29000</v>
      </c>
    </row>
    <row r="94" spans="1:17" ht="12.75" hidden="1">
      <c r="A94" s="15" t="s">
        <v>53</v>
      </c>
      <c r="B94" s="57"/>
      <c r="C94" s="112"/>
      <c r="D94" s="102"/>
      <c r="E94" s="73"/>
      <c r="F94" s="190">
        <f t="shared" si="27"/>
        <v>0</v>
      </c>
      <c r="G94" s="74"/>
      <c r="H94" s="235"/>
      <c r="I94" s="208">
        <f t="shared" si="30"/>
        <v>0</v>
      </c>
      <c r="J94" s="257"/>
      <c r="K94" s="235"/>
      <c r="L94" s="208">
        <f t="shared" si="28"/>
        <v>0</v>
      </c>
      <c r="M94" s="257"/>
      <c r="N94" s="235"/>
      <c r="O94" s="208">
        <f t="shared" si="31"/>
        <v>0</v>
      </c>
      <c r="P94" s="292"/>
      <c r="Q94" s="167">
        <f t="shared" si="29"/>
        <v>0</v>
      </c>
    </row>
    <row r="95" spans="1:17" ht="12.75" hidden="1">
      <c r="A95" s="16" t="s">
        <v>188</v>
      </c>
      <c r="B95" s="57"/>
      <c r="C95" s="112"/>
      <c r="D95" s="102"/>
      <c r="E95" s="73"/>
      <c r="F95" s="190">
        <f t="shared" si="27"/>
        <v>0</v>
      </c>
      <c r="G95" s="74"/>
      <c r="H95" s="235"/>
      <c r="I95" s="208">
        <f t="shared" si="30"/>
        <v>0</v>
      </c>
      <c r="J95" s="257"/>
      <c r="K95" s="235"/>
      <c r="L95" s="208">
        <f t="shared" si="28"/>
        <v>0</v>
      </c>
      <c r="M95" s="257"/>
      <c r="N95" s="235"/>
      <c r="O95" s="208">
        <f t="shared" si="31"/>
        <v>0</v>
      </c>
      <c r="P95" s="292"/>
      <c r="Q95" s="167">
        <f t="shared" si="29"/>
        <v>0</v>
      </c>
    </row>
    <row r="96" spans="1:17" ht="12.75" hidden="1">
      <c r="A96" s="16" t="s">
        <v>71</v>
      </c>
      <c r="B96" s="57"/>
      <c r="C96" s="112"/>
      <c r="D96" s="102"/>
      <c r="E96" s="73"/>
      <c r="F96" s="190">
        <f t="shared" si="27"/>
        <v>0</v>
      </c>
      <c r="G96" s="74"/>
      <c r="H96" s="235"/>
      <c r="I96" s="208">
        <f t="shared" si="30"/>
        <v>0</v>
      </c>
      <c r="J96" s="257"/>
      <c r="K96" s="235"/>
      <c r="L96" s="208">
        <f t="shared" si="28"/>
        <v>0</v>
      </c>
      <c r="M96" s="257"/>
      <c r="N96" s="235"/>
      <c r="O96" s="208">
        <f t="shared" si="31"/>
        <v>0</v>
      </c>
      <c r="P96" s="292"/>
      <c r="Q96" s="167">
        <f t="shared" si="29"/>
        <v>0</v>
      </c>
    </row>
    <row r="97" spans="1:17" ht="12.75">
      <c r="A97" s="16" t="s">
        <v>224</v>
      </c>
      <c r="B97" s="57"/>
      <c r="C97" s="112">
        <v>3000</v>
      </c>
      <c r="D97" s="102"/>
      <c r="E97" s="73"/>
      <c r="F97" s="190">
        <f t="shared" si="27"/>
        <v>3000</v>
      </c>
      <c r="G97" s="74"/>
      <c r="H97" s="235"/>
      <c r="I97" s="208">
        <f t="shared" si="30"/>
        <v>3000</v>
      </c>
      <c r="J97" s="257"/>
      <c r="K97" s="235"/>
      <c r="L97" s="208">
        <f t="shared" si="28"/>
        <v>3000</v>
      </c>
      <c r="M97" s="257"/>
      <c r="N97" s="235"/>
      <c r="O97" s="208">
        <f t="shared" si="31"/>
        <v>3000</v>
      </c>
      <c r="P97" s="292"/>
      <c r="Q97" s="167">
        <f t="shared" si="29"/>
        <v>3000</v>
      </c>
    </row>
    <row r="98" spans="1:17" ht="12.75">
      <c r="A98" s="24" t="s">
        <v>63</v>
      </c>
      <c r="B98" s="60"/>
      <c r="C98" s="181">
        <v>30000</v>
      </c>
      <c r="D98" s="172">
        <f>23309.53</f>
        <v>23309.53</v>
      </c>
      <c r="E98" s="81"/>
      <c r="F98" s="195">
        <f t="shared" si="27"/>
        <v>53309.53</v>
      </c>
      <c r="G98" s="226"/>
      <c r="H98" s="241">
        <f>18053.9-5000</f>
        <v>13053.900000000001</v>
      </c>
      <c r="I98" s="213">
        <f t="shared" si="30"/>
        <v>66363.43</v>
      </c>
      <c r="J98" s="264"/>
      <c r="K98" s="241"/>
      <c r="L98" s="213">
        <f t="shared" si="28"/>
        <v>66363.43</v>
      </c>
      <c r="M98" s="264"/>
      <c r="N98" s="241"/>
      <c r="O98" s="213">
        <f t="shared" si="31"/>
        <v>66363.43</v>
      </c>
      <c r="P98" s="295"/>
      <c r="Q98" s="168">
        <f t="shared" si="29"/>
        <v>66363.43</v>
      </c>
    </row>
    <row r="99" spans="1:17" ht="12.75">
      <c r="A99" s="13" t="s">
        <v>285</v>
      </c>
      <c r="B99" s="61"/>
      <c r="C99" s="111">
        <f>C100+C104</f>
        <v>29374.5</v>
      </c>
      <c r="D99" s="92">
        <f aca="true" t="shared" si="32" ref="D99:Q99">D100+D104</f>
        <v>31250.47</v>
      </c>
      <c r="E99" s="72">
        <f t="shared" si="32"/>
        <v>0</v>
      </c>
      <c r="F99" s="189">
        <f t="shared" si="32"/>
        <v>60624.97</v>
      </c>
      <c r="G99" s="71">
        <f t="shared" si="32"/>
        <v>98553.74</v>
      </c>
      <c r="H99" s="234">
        <f t="shared" si="32"/>
        <v>0</v>
      </c>
      <c r="I99" s="207">
        <f t="shared" si="32"/>
        <v>159178.71000000002</v>
      </c>
      <c r="J99" s="256">
        <f t="shared" si="32"/>
        <v>103486.62</v>
      </c>
      <c r="K99" s="234">
        <f t="shared" si="32"/>
        <v>0</v>
      </c>
      <c r="L99" s="207">
        <f t="shared" si="32"/>
        <v>262665.32999999996</v>
      </c>
      <c r="M99" s="256">
        <f t="shared" si="32"/>
        <v>0</v>
      </c>
      <c r="N99" s="234">
        <f t="shared" si="32"/>
        <v>0</v>
      </c>
      <c r="O99" s="207">
        <f t="shared" si="32"/>
        <v>262665.32999999996</v>
      </c>
      <c r="P99" s="92">
        <f t="shared" si="32"/>
        <v>0</v>
      </c>
      <c r="Q99" s="150">
        <f t="shared" si="32"/>
        <v>262060.28999999998</v>
      </c>
    </row>
    <row r="100" spans="1:18" ht="12.75">
      <c r="A100" s="22" t="s">
        <v>48</v>
      </c>
      <c r="B100" s="61"/>
      <c r="C100" s="115">
        <f>SUM(C102:C103)</f>
        <v>29374.5</v>
      </c>
      <c r="D100" s="105">
        <f>SUM(D102:D103)</f>
        <v>10212.91</v>
      </c>
      <c r="E100" s="80">
        <f>SUM(E102:E102)</f>
        <v>0</v>
      </c>
      <c r="F100" s="193">
        <f aca="true" t="shared" si="33" ref="F100:L100">SUM(F102:F103)</f>
        <v>39587.41</v>
      </c>
      <c r="G100" s="79">
        <f t="shared" si="33"/>
        <v>0</v>
      </c>
      <c r="H100" s="239">
        <f t="shared" si="33"/>
        <v>0</v>
      </c>
      <c r="I100" s="211">
        <f t="shared" si="33"/>
        <v>39587.41</v>
      </c>
      <c r="J100" s="262">
        <f t="shared" si="33"/>
        <v>54.5</v>
      </c>
      <c r="K100" s="239">
        <f t="shared" si="33"/>
        <v>0</v>
      </c>
      <c r="L100" s="254">
        <f t="shared" si="33"/>
        <v>39641.91</v>
      </c>
      <c r="M100" s="262">
        <f>SUM(M102:M103)</f>
        <v>0</v>
      </c>
      <c r="N100" s="239">
        <f>SUM(N102:N103)</f>
        <v>0</v>
      </c>
      <c r="O100" s="211">
        <f>SUM(O102:O103)</f>
        <v>39641.91</v>
      </c>
      <c r="P100" s="105">
        <f>SUM(P102:P102)</f>
        <v>0</v>
      </c>
      <c r="Q100" s="154">
        <f>SUM(Q102:Q102)</f>
        <v>39036.87</v>
      </c>
      <c r="R100" s="284"/>
    </row>
    <row r="101" spans="1:17" ht="12.75">
      <c r="A101" s="18" t="s">
        <v>26</v>
      </c>
      <c r="B101" s="57"/>
      <c r="C101" s="112"/>
      <c r="D101" s="102"/>
      <c r="E101" s="73"/>
      <c r="F101" s="190"/>
      <c r="G101" s="74"/>
      <c r="H101" s="235"/>
      <c r="I101" s="208"/>
      <c r="J101" s="257"/>
      <c r="K101" s="235"/>
      <c r="L101" s="208"/>
      <c r="M101" s="257"/>
      <c r="N101" s="235"/>
      <c r="O101" s="208"/>
      <c r="P101" s="292"/>
      <c r="Q101" s="167"/>
    </row>
    <row r="102" spans="1:17" ht="12.75">
      <c r="A102" s="16" t="s">
        <v>50</v>
      </c>
      <c r="B102" s="57"/>
      <c r="C102" s="112">
        <v>29374.5</v>
      </c>
      <c r="D102" s="102">
        <f>9662.37</f>
        <v>9662.37</v>
      </c>
      <c r="E102" s="73"/>
      <c r="F102" s="190">
        <f>C102+D102+E102</f>
        <v>39036.87</v>
      </c>
      <c r="G102" s="74"/>
      <c r="H102" s="235"/>
      <c r="I102" s="208">
        <f>F102+G102+H102</f>
        <v>39036.87</v>
      </c>
      <c r="J102" s="257"/>
      <c r="K102" s="235"/>
      <c r="L102" s="208">
        <f>I102+J102+K102</f>
        <v>39036.87</v>
      </c>
      <c r="M102" s="257"/>
      <c r="N102" s="235"/>
      <c r="O102" s="208">
        <f>L102+M102+N102</f>
        <v>39036.87</v>
      </c>
      <c r="P102" s="292"/>
      <c r="Q102" s="167">
        <f>O102+P102</f>
        <v>39036.87</v>
      </c>
    </row>
    <row r="103" spans="1:17" ht="12.75">
      <c r="A103" s="16" t="s">
        <v>71</v>
      </c>
      <c r="B103" s="57"/>
      <c r="C103" s="112"/>
      <c r="D103" s="102">
        <f>307.63+242.91</f>
        <v>550.54</v>
      </c>
      <c r="E103" s="73"/>
      <c r="F103" s="190">
        <f>C103+D103+E103</f>
        <v>550.54</v>
      </c>
      <c r="G103" s="74"/>
      <c r="H103" s="235"/>
      <c r="I103" s="208">
        <f>F103+G103+H103</f>
        <v>550.54</v>
      </c>
      <c r="J103" s="257">
        <f>54.5</f>
        <v>54.5</v>
      </c>
      <c r="K103" s="235"/>
      <c r="L103" s="208">
        <f>I103+J103+K103</f>
        <v>605.04</v>
      </c>
      <c r="M103" s="257"/>
      <c r="N103" s="235"/>
      <c r="O103" s="208">
        <f>L103+M103+N103</f>
        <v>605.04</v>
      </c>
      <c r="P103" s="292"/>
      <c r="Q103" s="167"/>
    </row>
    <row r="104" spans="1:17" ht="12.75">
      <c r="A104" s="22" t="s">
        <v>52</v>
      </c>
      <c r="B104" s="61"/>
      <c r="C104" s="115">
        <f>C106+C107</f>
        <v>0</v>
      </c>
      <c r="D104" s="105">
        <f>D106+D107</f>
        <v>21037.56</v>
      </c>
      <c r="E104" s="80">
        <f aca="true" t="shared" si="34" ref="E104:Q104">E107</f>
        <v>0</v>
      </c>
      <c r="F104" s="193">
        <f>F106+F107</f>
        <v>21037.56</v>
      </c>
      <c r="G104" s="79">
        <f t="shared" si="34"/>
        <v>98553.74</v>
      </c>
      <c r="H104" s="239">
        <f t="shared" si="34"/>
        <v>0</v>
      </c>
      <c r="I104" s="211">
        <f t="shared" si="34"/>
        <v>119591.3</v>
      </c>
      <c r="J104" s="262">
        <f t="shared" si="34"/>
        <v>103432.12</v>
      </c>
      <c r="K104" s="239">
        <f t="shared" si="34"/>
        <v>0</v>
      </c>
      <c r="L104" s="211">
        <f t="shared" si="34"/>
        <v>223023.41999999998</v>
      </c>
      <c r="M104" s="262">
        <f t="shared" si="34"/>
        <v>0</v>
      </c>
      <c r="N104" s="239">
        <f t="shared" si="34"/>
        <v>0</v>
      </c>
      <c r="O104" s="211">
        <f t="shared" si="34"/>
        <v>223023.41999999998</v>
      </c>
      <c r="P104" s="105">
        <f t="shared" si="34"/>
        <v>0</v>
      </c>
      <c r="Q104" s="154">
        <f t="shared" si="34"/>
        <v>223023.41999999998</v>
      </c>
    </row>
    <row r="105" spans="1:17" ht="12.75">
      <c r="A105" s="18" t="s">
        <v>26</v>
      </c>
      <c r="B105" s="57"/>
      <c r="C105" s="112"/>
      <c r="D105" s="102"/>
      <c r="E105" s="73"/>
      <c r="F105" s="190"/>
      <c r="G105" s="74"/>
      <c r="H105" s="235"/>
      <c r="I105" s="208"/>
      <c r="J105" s="257"/>
      <c r="K105" s="235"/>
      <c r="L105" s="208"/>
      <c r="M105" s="257"/>
      <c r="N105" s="235"/>
      <c r="O105" s="208"/>
      <c r="P105" s="292"/>
      <c r="Q105" s="167"/>
    </row>
    <row r="106" spans="1:17" ht="12.75" hidden="1">
      <c r="A106" s="55" t="s">
        <v>53</v>
      </c>
      <c r="B106" s="57"/>
      <c r="C106" s="112"/>
      <c r="D106" s="102"/>
      <c r="E106" s="73"/>
      <c r="F106" s="190">
        <f>C106+D106+E106</f>
        <v>0</v>
      </c>
      <c r="G106" s="74"/>
      <c r="H106" s="235"/>
      <c r="I106" s="208"/>
      <c r="J106" s="257"/>
      <c r="K106" s="235"/>
      <c r="L106" s="208"/>
      <c r="M106" s="257"/>
      <c r="N106" s="235"/>
      <c r="O106" s="208"/>
      <c r="P106" s="292"/>
      <c r="Q106" s="167"/>
    </row>
    <row r="107" spans="1:17" ht="12.75">
      <c r="A107" s="110" t="s">
        <v>72</v>
      </c>
      <c r="B107" s="60"/>
      <c r="C107" s="181"/>
      <c r="D107" s="172">
        <f>17763.45+3274.11</f>
        <v>21037.56</v>
      </c>
      <c r="E107" s="81"/>
      <c r="F107" s="195">
        <f>C107+D107+E107</f>
        <v>21037.56</v>
      </c>
      <c r="G107" s="226">
        <f>354.05+97499.58+700.11</f>
        <v>98553.74</v>
      </c>
      <c r="H107" s="241"/>
      <c r="I107" s="213">
        <f>F107+G107+H107</f>
        <v>119591.3</v>
      </c>
      <c r="J107" s="264">
        <f>4911.16+706.76+89628.93+8185.27</f>
        <v>103432.12</v>
      </c>
      <c r="K107" s="241"/>
      <c r="L107" s="213">
        <f>I107+J107+K107</f>
        <v>223023.41999999998</v>
      </c>
      <c r="M107" s="264"/>
      <c r="N107" s="241"/>
      <c r="O107" s="213">
        <f>L107+M107+N107</f>
        <v>223023.41999999998</v>
      </c>
      <c r="P107" s="295"/>
      <c r="Q107" s="168">
        <f>O107+P107</f>
        <v>223023.41999999998</v>
      </c>
    </row>
    <row r="108" spans="1:17" ht="12.75">
      <c r="A108" s="17" t="s">
        <v>65</v>
      </c>
      <c r="B108" s="61"/>
      <c r="C108" s="113">
        <f aca="true" t="shared" si="35" ref="C108:Q108">C109+C115</f>
        <v>10901.86</v>
      </c>
      <c r="D108" s="103">
        <f t="shared" si="35"/>
        <v>3798</v>
      </c>
      <c r="E108" s="76">
        <f t="shared" si="35"/>
        <v>0</v>
      </c>
      <c r="F108" s="191">
        <f t="shared" si="35"/>
        <v>14699.86</v>
      </c>
      <c r="G108" s="75">
        <f t="shared" si="35"/>
        <v>797.04</v>
      </c>
      <c r="H108" s="237">
        <f t="shared" si="35"/>
        <v>0</v>
      </c>
      <c r="I108" s="209">
        <f t="shared" si="35"/>
        <v>15496.900000000001</v>
      </c>
      <c r="J108" s="259">
        <f t="shared" si="35"/>
        <v>-109.5</v>
      </c>
      <c r="K108" s="237">
        <f t="shared" si="35"/>
        <v>0</v>
      </c>
      <c r="L108" s="209">
        <f t="shared" si="35"/>
        <v>15387.400000000001</v>
      </c>
      <c r="M108" s="259">
        <f t="shared" si="35"/>
        <v>0</v>
      </c>
      <c r="N108" s="237">
        <f t="shared" si="35"/>
        <v>0</v>
      </c>
      <c r="O108" s="209">
        <f t="shared" si="35"/>
        <v>15387.400000000001</v>
      </c>
      <c r="P108" s="103">
        <f t="shared" si="35"/>
        <v>0</v>
      </c>
      <c r="Q108" s="152">
        <f t="shared" si="35"/>
        <v>15387.400000000001</v>
      </c>
    </row>
    <row r="109" spans="1:17" ht="12.75">
      <c r="A109" s="22" t="s">
        <v>48</v>
      </c>
      <c r="B109" s="61"/>
      <c r="C109" s="115">
        <f aca="true" t="shared" si="36" ref="C109:Q109">SUM(C111:C114)</f>
        <v>10901.86</v>
      </c>
      <c r="D109" s="105">
        <f t="shared" si="36"/>
        <v>3798</v>
      </c>
      <c r="E109" s="80">
        <f t="shared" si="36"/>
        <v>0</v>
      </c>
      <c r="F109" s="193">
        <f t="shared" si="36"/>
        <v>14699.86</v>
      </c>
      <c r="G109" s="79">
        <f t="shared" si="36"/>
        <v>797.04</v>
      </c>
      <c r="H109" s="239">
        <f t="shared" si="36"/>
        <v>0</v>
      </c>
      <c r="I109" s="211">
        <f t="shared" si="36"/>
        <v>15496.900000000001</v>
      </c>
      <c r="J109" s="262">
        <f t="shared" si="36"/>
        <v>-109.5</v>
      </c>
      <c r="K109" s="239">
        <f t="shared" si="36"/>
        <v>0</v>
      </c>
      <c r="L109" s="211">
        <f t="shared" si="36"/>
        <v>15387.400000000001</v>
      </c>
      <c r="M109" s="262">
        <f t="shared" si="36"/>
        <v>0</v>
      </c>
      <c r="N109" s="239">
        <f t="shared" si="36"/>
        <v>0</v>
      </c>
      <c r="O109" s="211">
        <f t="shared" si="36"/>
        <v>15387.400000000001</v>
      </c>
      <c r="P109" s="105">
        <f t="shared" si="36"/>
        <v>0</v>
      </c>
      <c r="Q109" s="154">
        <f t="shared" si="36"/>
        <v>15387.400000000001</v>
      </c>
    </row>
    <row r="110" spans="1:17" ht="12.75">
      <c r="A110" s="18" t="s">
        <v>26</v>
      </c>
      <c r="B110" s="57"/>
      <c r="C110" s="112"/>
      <c r="D110" s="102"/>
      <c r="E110" s="73"/>
      <c r="F110" s="189"/>
      <c r="G110" s="74"/>
      <c r="H110" s="235"/>
      <c r="I110" s="207"/>
      <c r="J110" s="257"/>
      <c r="K110" s="235"/>
      <c r="L110" s="207"/>
      <c r="M110" s="257"/>
      <c r="N110" s="235"/>
      <c r="O110" s="207"/>
      <c r="P110" s="292"/>
      <c r="Q110" s="167"/>
    </row>
    <row r="111" spans="1:17" ht="12.75">
      <c r="A111" s="16" t="s">
        <v>50</v>
      </c>
      <c r="B111" s="57"/>
      <c r="C111" s="112">
        <v>10901.86</v>
      </c>
      <c r="D111" s="102">
        <f>-348+4146</f>
        <v>3798</v>
      </c>
      <c r="E111" s="73"/>
      <c r="F111" s="190">
        <f>C111+D111+E111</f>
        <v>14699.86</v>
      </c>
      <c r="G111" s="74"/>
      <c r="H111" s="235"/>
      <c r="I111" s="208">
        <f>SUM(F111:H111)</f>
        <v>14699.86</v>
      </c>
      <c r="J111" s="257">
        <f>-109.5</f>
        <v>-109.5</v>
      </c>
      <c r="K111" s="235"/>
      <c r="L111" s="208">
        <f>I111+J111+K111</f>
        <v>14590.36</v>
      </c>
      <c r="M111" s="257"/>
      <c r="N111" s="235"/>
      <c r="O111" s="208">
        <f>L111+M111+N111</f>
        <v>14590.36</v>
      </c>
      <c r="P111" s="292"/>
      <c r="Q111" s="167">
        <f>O111+P111</f>
        <v>14590.36</v>
      </c>
    </row>
    <row r="112" spans="1:17" ht="12.75">
      <c r="A112" s="26" t="s">
        <v>66</v>
      </c>
      <c r="B112" s="60">
        <v>33166</v>
      </c>
      <c r="C112" s="181"/>
      <c r="D112" s="172"/>
      <c r="E112" s="81"/>
      <c r="F112" s="195">
        <f>C112+D112+E112</f>
        <v>0</v>
      </c>
      <c r="G112" s="226">
        <f>797.04</f>
        <v>797.04</v>
      </c>
      <c r="H112" s="241"/>
      <c r="I112" s="213">
        <f>SUM(F112:H112)</f>
        <v>797.04</v>
      </c>
      <c r="J112" s="264"/>
      <c r="K112" s="241"/>
      <c r="L112" s="213">
        <f>I112+J112+K112</f>
        <v>797.04</v>
      </c>
      <c r="M112" s="264"/>
      <c r="N112" s="241"/>
      <c r="O112" s="213">
        <f>L112+M112+N112</f>
        <v>797.04</v>
      </c>
      <c r="P112" s="292"/>
      <c r="Q112" s="167">
        <f>O112+P112</f>
        <v>797.04</v>
      </c>
    </row>
    <row r="113" spans="1:17" ht="12.75" hidden="1">
      <c r="A113" s="20" t="s">
        <v>250</v>
      </c>
      <c r="B113" s="57">
        <v>33064</v>
      </c>
      <c r="C113" s="112"/>
      <c r="D113" s="102"/>
      <c r="E113" s="73"/>
      <c r="F113" s="190">
        <f>C113+D113+E113</f>
        <v>0</v>
      </c>
      <c r="G113" s="74"/>
      <c r="H113" s="235"/>
      <c r="I113" s="208">
        <f>SUM(F113:H113)</f>
        <v>0</v>
      </c>
      <c r="J113" s="257"/>
      <c r="K113" s="235"/>
      <c r="L113" s="208">
        <f>I113+J113+K113</f>
        <v>0</v>
      </c>
      <c r="M113" s="257"/>
      <c r="N113" s="235"/>
      <c r="O113" s="208">
        <f>L113+M113+N113</f>
        <v>0</v>
      </c>
      <c r="P113" s="292"/>
      <c r="Q113" s="167">
        <f>O113+P113</f>
        <v>0</v>
      </c>
    </row>
    <row r="114" spans="1:17" ht="12.75" hidden="1">
      <c r="A114" s="20" t="s">
        <v>62</v>
      </c>
      <c r="B114" s="57"/>
      <c r="C114" s="112"/>
      <c r="D114" s="102"/>
      <c r="E114" s="73"/>
      <c r="F114" s="190">
        <f>C114+D114+E114</f>
        <v>0</v>
      </c>
      <c r="G114" s="74"/>
      <c r="H114" s="235"/>
      <c r="I114" s="208">
        <f>SUM(F114:H114)</f>
        <v>0</v>
      </c>
      <c r="J114" s="257"/>
      <c r="K114" s="235"/>
      <c r="L114" s="208">
        <f>I114+J114+K114</f>
        <v>0</v>
      </c>
      <c r="M114" s="257"/>
      <c r="N114" s="235"/>
      <c r="O114" s="208">
        <f>L114+M114+N114</f>
        <v>0</v>
      </c>
      <c r="P114" s="292"/>
      <c r="Q114" s="167">
        <f>O114+P114</f>
        <v>0</v>
      </c>
    </row>
    <row r="115" spans="1:17" ht="12.75" hidden="1">
      <c r="A115" s="22" t="s">
        <v>52</v>
      </c>
      <c r="B115" s="61"/>
      <c r="C115" s="115">
        <f>C117</f>
        <v>0</v>
      </c>
      <c r="D115" s="105">
        <f aca="true" t="shared" si="37" ref="D115:Q115">D117</f>
        <v>0</v>
      </c>
      <c r="E115" s="80">
        <f t="shared" si="37"/>
        <v>0</v>
      </c>
      <c r="F115" s="193">
        <f t="shared" si="37"/>
        <v>0</v>
      </c>
      <c r="G115" s="79">
        <f t="shared" si="37"/>
        <v>0</v>
      </c>
      <c r="H115" s="239">
        <f t="shared" si="37"/>
        <v>0</v>
      </c>
      <c r="I115" s="211">
        <f t="shared" si="37"/>
        <v>0</v>
      </c>
      <c r="J115" s="262">
        <f t="shared" si="37"/>
        <v>0</v>
      </c>
      <c r="K115" s="239">
        <f t="shared" si="37"/>
        <v>0</v>
      </c>
      <c r="L115" s="211">
        <f t="shared" si="37"/>
        <v>0</v>
      </c>
      <c r="M115" s="262">
        <f t="shared" si="37"/>
        <v>0</v>
      </c>
      <c r="N115" s="239">
        <f t="shared" si="37"/>
        <v>0</v>
      </c>
      <c r="O115" s="211">
        <f t="shared" si="37"/>
        <v>0</v>
      </c>
      <c r="P115" s="105">
        <f t="shared" si="37"/>
        <v>0</v>
      </c>
      <c r="Q115" s="154">
        <f t="shared" si="37"/>
        <v>0</v>
      </c>
    </row>
    <row r="116" spans="1:17" ht="12.75" hidden="1">
      <c r="A116" s="18" t="s">
        <v>26</v>
      </c>
      <c r="B116" s="57"/>
      <c r="C116" s="112"/>
      <c r="D116" s="102"/>
      <c r="E116" s="73"/>
      <c r="F116" s="189"/>
      <c r="G116" s="74"/>
      <c r="H116" s="235"/>
      <c r="I116" s="207"/>
      <c r="J116" s="257"/>
      <c r="K116" s="235"/>
      <c r="L116" s="207"/>
      <c r="M116" s="257"/>
      <c r="N116" s="235"/>
      <c r="O116" s="207"/>
      <c r="P116" s="292"/>
      <c r="Q116" s="167"/>
    </row>
    <row r="117" spans="1:17" ht="12.75" hidden="1">
      <c r="A117" s="19" t="s">
        <v>153</v>
      </c>
      <c r="B117" s="60"/>
      <c r="C117" s="181"/>
      <c r="D117" s="172"/>
      <c r="E117" s="81"/>
      <c r="F117" s="195">
        <f>C117+D117+E117</f>
        <v>0</v>
      </c>
      <c r="G117" s="226"/>
      <c r="H117" s="241"/>
      <c r="I117" s="213">
        <f>SUM(F117:H117)</f>
        <v>0</v>
      </c>
      <c r="J117" s="264"/>
      <c r="K117" s="241"/>
      <c r="L117" s="213">
        <f>I117+J117+K117</f>
        <v>0</v>
      </c>
      <c r="M117" s="264"/>
      <c r="N117" s="241"/>
      <c r="O117" s="213">
        <f>L117+M117+N117</f>
        <v>0</v>
      </c>
      <c r="P117" s="295"/>
      <c r="Q117" s="168">
        <f>O117+P117</f>
        <v>0</v>
      </c>
    </row>
    <row r="118" spans="1:17" ht="12.75">
      <c r="A118" s="13" t="s">
        <v>67</v>
      </c>
      <c r="B118" s="61"/>
      <c r="C118" s="111">
        <f>C119+C131</f>
        <v>1735440</v>
      </c>
      <c r="D118" s="92">
        <f aca="true" t="shared" si="38" ref="D118:Q118">D119+D131</f>
        <v>33583.46</v>
      </c>
      <c r="E118" s="72">
        <f t="shared" si="38"/>
        <v>0</v>
      </c>
      <c r="F118" s="189">
        <f t="shared" si="38"/>
        <v>1769023.46</v>
      </c>
      <c r="G118" s="71">
        <f t="shared" si="38"/>
        <v>337447.68000000005</v>
      </c>
      <c r="H118" s="234">
        <f t="shared" si="38"/>
        <v>0</v>
      </c>
      <c r="I118" s="207">
        <f t="shared" si="38"/>
        <v>2106471.14</v>
      </c>
      <c r="J118" s="256">
        <f t="shared" si="38"/>
        <v>233149.63999999998</v>
      </c>
      <c r="K118" s="234">
        <f t="shared" si="38"/>
        <v>0</v>
      </c>
      <c r="L118" s="207">
        <f t="shared" si="38"/>
        <v>2339620.78</v>
      </c>
      <c r="M118" s="256">
        <f t="shared" si="38"/>
        <v>2504.7700000000004</v>
      </c>
      <c r="N118" s="234">
        <f t="shared" si="38"/>
        <v>0</v>
      </c>
      <c r="O118" s="207">
        <f t="shared" si="38"/>
        <v>2342125.55</v>
      </c>
      <c r="P118" s="92">
        <f t="shared" si="38"/>
        <v>0</v>
      </c>
      <c r="Q118" s="150">
        <f t="shared" si="38"/>
        <v>2342125.55</v>
      </c>
    </row>
    <row r="119" spans="1:17" ht="12.75">
      <c r="A119" s="22" t="s">
        <v>48</v>
      </c>
      <c r="B119" s="61"/>
      <c r="C119" s="115">
        <f>SUM(C122:C130)</f>
        <v>1725440</v>
      </c>
      <c r="D119" s="105">
        <f aca="true" t="shared" si="39" ref="D119:Q119">SUM(D122:D130)</f>
        <v>41583.46</v>
      </c>
      <c r="E119" s="80">
        <f t="shared" si="39"/>
        <v>0</v>
      </c>
      <c r="F119" s="193">
        <f t="shared" si="39"/>
        <v>1767023.46</v>
      </c>
      <c r="G119" s="79">
        <f t="shared" si="39"/>
        <v>337447.68000000005</v>
      </c>
      <c r="H119" s="239">
        <f t="shared" si="39"/>
        <v>0</v>
      </c>
      <c r="I119" s="211">
        <f t="shared" si="39"/>
        <v>2104471.14</v>
      </c>
      <c r="J119" s="262">
        <f t="shared" si="39"/>
        <v>233149.63999999998</v>
      </c>
      <c r="K119" s="239">
        <f t="shared" si="39"/>
        <v>0</v>
      </c>
      <c r="L119" s="211">
        <f t="shared" si="39"/>
        <v>2337620.78</v>
      </c>
      <c r="M119" s="262">
        <f t="shared" si="39"/>
        <v>2504.7700000000004</v>
      </c>
      <c r="N119" s="239">
        <f t="shared" si="39"/>
        <v>0</v>
      </c>
      <c r="O119" s="211">
        <f t="shared" si="39"/>
        <v>2340125.55</v>
      </c>
      <c r="P119" s="105">
        <f t="shared" si="39"/>
        <v>0</v>
      </c>
      <c r="Q119" s="154">
        <f t="shared" si="39"/>
        <v>2340125.55</v>
      </c>
    </row>
    <row r="120" spans="1:17" ht="12.75">
      <c r="A120" s="18" t="s">
        <v>26</v>
      </c>
      <c r="B120" s="57"/>
      <c r="C120" s="112"/>
      <c r="D120" s="102"/>
      <c r="E120" s="73"/>
      <c r="F120" s="189"/>
      <c r="G120" s="74"/>
      <c r="H120" s="235"/>
      <c r="I120" s="207"/>
      <c r="J120" s="257"/>
      <c r="K120" s="235"/>
      <c r="L120" s="207"/>
      <c r="M120" s="257"/>
      <c r="N120" s="235"/>
      <c r="O120" s="207"/>
      <c r="P120" s="292"/>
      <c r="Q120" s="167"/>
    </row>
    <row r="121" spans="1:17" ht="12.75">
      <c r="A121" s="20" t="s">
        <v>269</v>
      </c>
      <c r="B121" s="57"/>
      <c r="C121" s="112">
        <f>C122+C123</f>
        <v>1127000</v>
      </c>
      <c r="D121" s="102">
        <f aca="true" t="shared" si="40" ref="D121:Q121">D122+D123</f>
        <v>29104.66</v>
      </c>
      <c r="E121" s="73">
        <f t="shared" si="40"/>
        <v>0</v>
      </c>
      <c r="F121" s="190">
        <f t="shared" si="40"/>
        <v>1156104.66</v>
      </c>
      <c r="G121" s="74">
        <f t="shared" si="40"/>
        <v>30843.400000000005</v>
      </c>
      <c r="H121" s="235">
        <f t="shared" si="40"/>
        <v>0</v>
      </c>
      <c r="I121" s="208">
        <f t="shared" si="40"/>
        <v>1186948.06</v>
      </c>
      <c r="J121" s="257">
        <f t="shared" si="40"/>
        <v>6236.93</v>
      </c>
      <c r="K121" s="235">
        <f t="shared" si="40"/>
        <v>0</v>
      </c>
      <c r="L121" s="208">
        <f t="shared" si="40"/>
        <v>1193184.9899999998</v>
      </c>
      <c r="M121" s="257">
        <f t="shared" si="40"/>
        <v>1381.6000000000001</v>
      </c>
      <c r="N121" s="235">
        <f t="shared" si="40"/>
        <v>0</v>
      </c>
      <c r="O121" s="208">
        <f t="shared" si="40"/>
        <v>1194566.5899999999</v>
      </c>
      <c r="P121" s="102">
        <f t="shared" si="40"/>
        <v>0</v>
      </c>
      <c r="Q121" s="151">
        <f t="shared" si="40"/>
        <v>1194566.5899999999</v>
      </c>
    </row>
    <row r="122" spans="1:17" ht="12.75">
      <c r="A122" s="20" t="s">
        <v>270</v>
      </c>
      <c r="B122" s="57"/>
      <c r="C122" s="112">
        <v>566000</v>
      </c>
      <c r="D122" s="142">
        <f>22080.22+36.94+5.96+155.2+863.64-4000</f>
        <v>19141.96</v>
      </c>
      <c r="E122" s="73"/>
      <c r="F122" s="190">
        <f aca="true" t="shared" si="41" ref="F122:F130">C122+D122+E122</f>
        <v>585141.96</v>
      </c>
      <c r="G122" s="74">
        <f>-3052.45+13.4+2092.34+6.68</f>
        <v>-940.0299999999996</v>
      </c>
      <c r="H122" s="242"/>
      <c r="I122" s="208">
        <f aca="true" t="shared" si="42" ref="I122:I130">F122+G122+H122</f>
        <v>584201.9299999999</v>
      </c>
      <c r="J122" s="257">
        <f>8.66+344.06-16000-10500+31</f>
        <v>-26116.28</v>
      </c>
      <c r="K122" s="235"/>
      <c r="L122" s="208">
        <f aca="true" t="shared" si="43" ref="L122:L130">I122+J122+K122</f>
        <v>558085.6499999999</v>
      </c>
      <c r="M122" s="257">
        <f>10.19+165+44.34</f>
        <v>219.53</v>
      </c>
      <c r="N122" s="235"/>
      <c r="O122" s="208">
        <f aca="true" t="shared" si="44" ref="O122:O130">L122+M122+N122</f>
        <v>558305.1799999999</v>
      </c>
      <c r="P122" s="292"/>
      <c r="Q122" s="167">
        <f aca="true" t="shared" si="45" ref="Q122:Q130">O122+P122</f>
        <v>558305.1799999999</v>
      </c>
    </row>
    <row r="123" spans="1:17" ht="12.75">
      <c r="A123" s="16" t="s">
        <v>271</v>
      </c>
      <c r="B123" s="57"/>
      <c r="C123" s="112">
        <v>561000</v>
      </c>
      <c r="D123" s="102">
        <f>1450.16+8512.54</f>
        <v>9962.7</v>
      </c>
      <c r="E123" s="73"/>
      <c r="F123" s="190">
        <f t="shared" si="41"/>
        <v>570962.7</v>
      </c>
      <c r="G123" s="74">
        <f>2467.47+27550.46+1437.81+102.99+224.7</f>
        <v>31783.430000000004</v>
      </c>
      <c r="H123" s="242"/>
      <c r="I123" s="208">
        <f t="shared" si="42"/>
        <v>602746.13</v>
      </c>
      <c r="J123" s="257">
        <f>2847.56-2479.35+9911.39+11573.61+10500</f>
        <v>32353.21</v>
      </c>
      <c r="K123" s="235"/>
      <c r="L123" s="208">
        <f t="shared" si="43"/>
        <v>635099.34</v>
      </c>
      <c r="M123" s="257">
        <f>1026.68+135.39</f>
        <v>1162.0700000000002</v>
      </c>
      <c r="N123" s="235"/>
      <c r="O123" s="208">
        <f t="shared" si="44"/>
        <v>636261.4099999999</v>
      </c>
      <c r="P123" s="292"/>
      <c r="Q123" s="167">
        <f t="shared" si="45"/>
        <v>636261.4099999999</v>
      </c>
    </row>
    <row r="124" spans="1:17" ht="12.75">
      <c r="A124" s="20" t="s">
        <v>68</v>
      </c>
      <c r="B124" s="57"/>
      <c r="C124" s="112">
        <v>28840</v>
      </c>
      <c r="D124" s="102"/>
      <c r="E124" s="73"/>
      <c r="F124" s="190">
        <f t="shared" si="41"/>
        <v>28840</v>
      </c>
      <c r="G124" s="74">
        <f>3000</f>
        <v>3000</v>
      </c>
      <c r="H124" s="235"/>
      <c r="I124" s="208">
        <f t="shared" si="42"/>
        <v>31840</v>
      </c>
      <c r="J124" s="257"/>
      <c r="K124" s="235"/>
      <c r="L124" s="208">
        <f t="shared" si="43"/>
        <v>31840</v>
      </c>
      <c r="M124" s="257">
        <f>-5000</f>
        <v>-5000</v>
      </c>
      <c r="N124" s="235"/>
      <c r="O124" s="208">
        <f t="shared" si="44"/>
        <v>26840</v>
      </c>
      <c r="P124" s="292"/>
      <c r="Q124" s="167">
        <f t="shared" si="45"/>
        <v>26840</v>
      </c>
    </row>
    <row r="125" spans="1:17" ht="12.75" hidden="1">
      <c r="A125" s="16" t="s">
        <v>69</v>
      </c>
      <c r="B125" s="57"/>
      <c r="C125" s="112"/>
      <c r="D125" s="102"/>
      <c r="E125" s="73"/>
      <c r="F125" s="190">
        <f t="shared" si="41"/>
        <v>0</v>
      </c>
      <c r="G125" s="74"/>
      <c r="H125" s="235"/>
      <c r="I125" s="208">
        <f t="shared" si="42"/>
        <v>0</v>
      </c>
      <c r="J125" s="257"/>
      <c r="K125" s="235"/>
      <c r="L125" s="208">
        <f t="shared" si="43"/>
        <v>0</v>
      </c>
      <c r="M125" s="257"/>
      <c r="N125" s="235"/>
      <c r="O125" s="208">
        <f t="shared" si="44"/>
        <v>0</v>
      </c>
      <c r="P125" s="292"/>
      <c r="Q125" s="167">
        <f t="shared" si="45"/>
        <v>0</v>
      </c>
    </row>
    <row r="126" spans="1:17" ht="12.75">
      <c r="A126" s="16" t="s">
        <v>62</v>
      </c>
      <c r="B126" s="57"/>
      <c r="C126" s="112"/>
      <c r="D126" s="102"/>
      <c r="E126" s="73"/>
      <c r="F126" s="190">
        <f t="shared" si="41"/>
        <v>0</v>
      </c>
      <c r="G126" s="74">
        <f>3052.45</f>
        <v>3052.45</v>
      </c>
      <c r="H126" s="235"/>
      <c r="I126" s="208">
        <f t="shared" si="42"/>
        <v>3052.45</v>
      </c>
      <c r="J126" s="257"/>
      <c r="K126" s="235"/>
      <c r="L126" s="208">
        <f t="shared" si="43"/>
        <v>3052.45</v>
      </c>
      <c r="M126" s="257"/>
      <c r="N126" s="235"/>
      <c r="O126" s="208">
        <f t="shared" si="44"/>
        <v>3052.45</v>
      </c>
      <c r="P126" s="292"/>
      <c r="Q126" s="167">
        <f t="shared" si="45"/>
        <v>3052.45</v>
      </c>
    </row>
    <row r="127" spans="1:17" ht="12.75" hidden="1">
      <c r="A127" s="16" t="s">
        <v>70</v>
      </c>
      <c r="B127" s="57">
        <v>91252</v>
      </c>
      <c r="C127" s="112"/>
      <c r="D127" s="102"/>
      <c r="E127" s="73"/>
      <c r="F127" s="190">
        <f t="shared" si="41"/>
        <v>0</v>
      </c>
      <c r="G127" s="74"/>
      <c r="H127" s="235"/>
      <c r="I127" s="208">
        <f t="shared" si="42"/>
        <v>0</v>
      </c>
      <c r="J127" s="257"/>
      <c r="K127" s="235"/>
      <c r="L127" s="208">
        <f t="shared" si="43"/>
        <v>0</v>
      </c>
      <c r="M127" s="257"/>
      <c r="N127" s="235"/>
      <c r="O127" s="208">
        <f t="shared" si="44"/>
        <v>0</v>
      </c>
      <c r="P127" s="292"/>
      <c r="Q127" s="167">
        <f t="shared" si="45"/>
        <v>0</v>
      </c>
    </row>
    <row r="128" spans="1:17" ht="12.75">
      <c r="A128" s="16" t="s">
        <v>132</v>
      </c>
      <c r="B128" s="57">
        <v>27355</v>
      </c>
      <c r="C128" s="112"/>
      <c r="D128" s="102"/>
      <c r="E128" s="73"/>
      <c r="F128" s="190">
        <f t="shared" si="41"/>
        <v>0</v>
      </c>
      <c r="G128" s="74"/>
      <c r="H128" s="235"/>
      <c r="I128" s="208">
        <f t="shared" si="42"/>
        <v>0</v>
      </c>
      <c r="J128" s="257">
        <f>211109.66</f>
        <v>211109.66</v>
      </c>
      <c r="K128" s="235"/>
      <c r="L128" s="208">
        <f t="shared" si="43"/>
        <v>211109.66</v>
      </c>
      <c r="M128" s="257"/>
      <c r="N128" s="235"/>
      <c r="O128" s="208">
        <f t="shared" si="44"/>
        <v>211109.66</v>
      </c>
      <c r="P128" s="292"/>
      <c r="Q128" s="167">
        <f t="shared" si="45"/>
        <v>211109.66</v>
      </c>
    </row>
    <row r="129" spans="1:17" ht="12.75">
      <c r="A129" s="16" t="s">
        <v>50</v>
      </c>
      <c r="B129" s="57"/>
      <c r="C129" s="112">
        <v>569600</v>
      </c>
      <c r="D129" s="102">
        <f>478.8+8000+4000</f>
        <v>12478.8</v>
      </c>
      <c r="E129" s="73"/>
      <c r="F129" s="190">
        <f t="shared" si="41"/>
        <v>582078.8</v>
      </c>
      <c r="G129" s="74">
        <f>300000+547.3+4.53</f>
        <v>300551.83</v>
      </c>
      <c r="H129" s="235"/>
      <c r="I129" s="208">
        <f t="shared" si="42"/>
        <v>882630.6300000001</v>
      </c>
      <c r="J129" s="257">
        <f>249.3+1.5+16000-447.75</f>
        <v>15803.05</v>
      </c>
      <c r="K129" s="235"/>
      <c r="L129" s="208">
        <f t="shared" si="43"/>
        <v>898433.6800000002</v>
      </c>
      <c r="M129" s="257">
        <f>1123.17+5000</f>
        <v>6123.17</v>
      </c>
      <c r="N129" s="235"/>
      <c r="O129" s="208">
        <f t="shared" si="44"/>
        <v>904556.8500000002</v>
      </c>
      <c r="P129" s="292"/>
      <c r="Q129" s="167">
        <f t="shared" si="45"/>
        <v>904556.8500000002</v>
      </c>
    </row>
    <row r="130" spans="1:17" ht="12" customHeight="1" hidden="1">
      <c r="A130" s="16" t="s">
        <v>71</v>
      </c>
      <c r="B130" s="57"/>
      <c r="C130" s="112"/>
      <c r="D130" s="102"/>
      <c r="E130" s="73"/>
      <c r="F130" s="190">
        <f t="shared" si="41"/>
        <v>0</v>
      </c>
      <c r="G130" s="74"/>
      <c r="H130" s="235"/>
      <c r="I130" s="208">
        <f t="shared" si="42"/>
        <v>0</v>
      </c>
      <c r="J130" s="257"/>
      <c r="K130" s="235"/>
      <c r="L130" s="208">
        <f t="shared" si="43"/>
        <v>0</v>
      </c>
      <c r="M130" s="257"/>
      <c r="N130" s="235"/>
      <c r="O130" s="208">
        <f t="shared" si="44"/>
        <v>0</v>
      </c>
      <c r="P130" s="292"/>
      <c r="Q130" s="167">
        <f t="shared" si="45"/>
        <v>0</v>
      </c>
    </row>
    <row r="131" spans="1:17" ht="12.75">
      <c r="A131" s="23" t="s">
        <v>52</v>
      </c>
      <c r="B131" s="61"/>
      <c r="C131" s="116">
        <f>SUM(C133:C135)</f>
        <v>10000</v>
      </c>
      <c r="D131" s="106">
        <f aca="true" t="shared" si="46" ref="D131:Q131">SUM(D133:D135)</f>
        <v>-8000</v>
      </c>
      <c r="E131" s="83">
        <f t="shared" si="46"/>
        <v>0</v>
      </c>
      <c r="F131" s="194">
        <f t="shared" si="46"/>
        <v>2000</v>
      </c>
      <c r="G131" s="82">
        <f t="shared" si="46"/>
        <v>0</v>
      </c>
      <c r="H131" s="240">
        <f t="shared" si="46"/>
        <v>0</v>
      </c>
      <c r="I131" s="212">
        <f t="shared" si="46"/>
        <v>2000</v>
      </c>
      <c r="J131" s="263">
        <f t="shared" si="46"/>
        <v>0</v>
      </c>
      <c r="K131" s="240">
        <f t="shared" si="46"/>
        <v>0</v>
      </c>
      <c r="L131" s="212">
        <f t="shared" si="46"/>
        <v>2000</v>
      </c>
      <c r="M131" s="263">
        <f t="shared" si="46"/>
        <v>0</v>
      </c>
      <c r="N131" s="240">
        <f t="shared" si="46"/>
        <v>0</v>
      </c>
      <c r="O131" s="212">
        <f t="shared" si="46"/>
        <v>2000</v>
      </c>
      <c r="P131" s="106">
        <f t="shared" si="46"/>
        <v>0</v>
      </c>
      <c r="Q131" s="155">
        <f t="shared" si="46"/>
        <v>2000</v>
      </c>
    </row>
    <row r="132" spans="1:17" ht="12.75">
      <c r="A132" s="14" t="s">
        <v>26</v>
      </c>
      <c r="B132" s="57"/>
      <c r="C132" s="113"/>
      <c r="D132" s="103"/>
      <c r="E132" s="76"/>
      <c r="F132" s="191"/>
      <c r="G132" s="75"/>
      <c r="H132" s="237"/>
      <c r="I132" s="209"/>
      <c r="J132" s="259"/>
      <c r="K132" s="237"/>
      <c r="L132" s="209"/>
      <c r="M132" s="259"/>
      <c r="N132" s="237"/>
      <c r="O132" s="209"/>
      <c r="P132" s="292"/>
      <c r="Q132" s="167"/>
    </row>
    <row r="133" spans="1:17" ht="12.75" hidden="1">
      <c r="A133" s="15" t="s">
        <v>53</v>
      </c>
      <c r="B133" s="57"/>
      <c r="C133" s="112"/>
      <c r="D133" s="102"/>
      <c r="E133" s="73"/>
      <c r="F133" s="190">
        <f>C133+D133+E133</f>
        <v>0</v>
      </c>
      <c r="G133" s="74"/>
      <c r="H133" s="235"/>
      <c r="I133" s="208">
        <f>F133+G133+H133</f>
        <v>0</v>
      </c>
      <c r="J133" s="257"/>
      <c r="K133" s="235"/>
      <c r="L133" s="208">
        <f>I133+J133+K133</f>
        <v>0</v>
      </c>
      <c r="M133" s="257"/>
      <c r="N133" s="235"/>
      <c r="O133" s="208">
        <f>L133+M133+N133</f>
        <v>0</v>
      </c>
      <c r="P133" s="292"/>
      <c r="Q133" s="167">
        <f>O133+P133</f>
        <v>0</v>
      </c>
    </row>
    <row r="134" spans="1:17" ht="12.75">
      <c r="A134" s="19" t="s">
        <v>79</v>
      </c>
      <c r="B134" s="60"/>
      <c r="C134" s="181">
        <v>10000</v>
      </c>
      <c r="D134" s="172">
        <f>-8000</f>
        <v>-8000</v>
      </c>
      <c r="E134" s="81"/>
      <c r="F134" s="195">
        <f>C134+D134+E134</f>
        <v>2000</v>
      </c>
      <c r="G134" s="226"/>
      <c r="H134" s="241"/>
      <c r="I134" s="213">
        <f>F134+G134+H134</f>
        <v>2000</v>
      </c>
      <c r="J134" s="264"/>
      <c r="K134" s="241"/>
      <c r="L134" s="213">
        <f>I134+J134+K134</f>
        <v>2000</v>
      </c>
      <c r="M134" s="264"/>
      <c r="N134" s="241"/>
      <c r="O134" s="213">
        <f>L134+M134+N134</f>
        <v>2000</v>
      </c>
      <c r="P134" s="292"/>
      <c r="Q134" s="167">
        <f>O134+P134</f>
        <v>2000</v>
      </c>
    </row>
    <row r="135" spans="1:17" ht="12.75" hidden="1">
      <c r="A135" s="19" t="s">
        <v>72</v>
      </c>
      <c r="B135" s="60"/>
      <c r="C135" s="181"/>
      <c r="D135" s="172"/>
      <c r="E135" s="81"/>
      <c r="F135" s="195">
        <f>C135+D135+E135</f>
        <v>0</v>
      </c>
      <c r="G135" s="226"/>
      <c r="H135" s="241"/>
      <c r="I135" s="213">
        <f>F135+G135+H135</f>
        <v>0</v>
      </c>
      <c r="J135" s="264"/>
      <c r="K135" s="241"/>
      <c r="L135" s="213">
        <f>I135+J135+K135</f>
        <v>0</v>
      </c>
      <c r="M135" s="264"/>
      <c r="N135" s="241"/>
      <c r="O135" s="213">
        <f>L135+M135+N135</f>
        <v>0</v>
      </c>
      <c r="P135" s="295"/>
      <c r="Q135" s="168">
        <f>O135+P135</f>
        <v>0</v>
      </c>
    </row>
    <row r="136" spans="1:17" ht="12.75">
      <c r="A136" s="17" t="s">
        <v>73</v>
      </c>
      <c r="B136" s="61"/>
      <c r="C136" s="113">
        <f>C137+C142</f>
        <v>73560</v>
      </c>
      <c r="D136" s="103">
        <f aca="true" t="shared" si="47" ref="D136:Q136">D137+D142</f>
        <v>22334.679999999997</v>
      </c>
      <c r="E136" s="76">
        <f t="shared" si="47"/>
        <v>0</v>
      </c>
      <c r="F136" s="191">
        <f t="shared" si="47"/>
        <v>95894.68000000001</v>
      </c>
      <c r="G136" s="75">
        <f t="shared" si="47"/>
        <v>16854.59</v>
      </c>
      <c r="H136" s="237">
        <f t="shared" si="47"/>
        <v>0</v>
      </c>
      <c r="I136" s="209">
        <f t="shared" si="47"/>
        <v>112749.27</v>
      </c>
      <c r="J136" s="259">
        <f t="shared" si="47"/>
        <v>3600</v>
      </c>
      <c r="K136" s="237">
        <f t="shared" si="47"/>
        <v>0</v>
      </c>
      <c r="L136" s="209">
        <f t="shared" si="47"/>
        <v>116349.27</v>
      </c>
      <c r="M136" s="259">
        <f t="shared" si="47"/>
        <v>1425.68</v>
      </c>
      <c r="N136" s="237">
        <f t="shared" si="47"/>
        <v>0</v>
      </c>
      <c r="O136" s="209">
        <f t="shared" si="47"/>
        <v>117774.95</v>
      </c>
      <c r="P136" s="103">
        <f t="shared" si="47"/>
        <v>0</v>
      </c>
      <c r="Q136" s="152">
        <f t="shared" si="47"/>
        <v>113690.2</v>
      </c>
    </row>
    <row r="137" spans="1:17" ht="12.75">
      <c r="A137" s="22" t="s">
        <v>48</v>
      </c>
      <c r="B137" s="61"/>
      <c r="C137" s="115">
        <f>SUM(C139:C141)</f>
        <v>55060</v>
      </c>
      <c r="D137" s="105">
        <f aca="true" t="shared" si="48" ref="D137:Q137">SUM(D139:D141)</f>
        <v>13812.289999999997</v>
      </c>
      <c r="E137" s="80">
        <f t="shared" si="48"/>
        <v>0</v>
      </c>
      <c r="F137" s="193">
        <f t="shared" si="48"/>
        <v>68872.29000000001</v>
      </c>
      <c r="G137" s="79">
        <f t="shared" si="48"/>
        <v>1180</v>
      </c>
      <c r="H137" s="239">
        <f t="shared" si="48"/>
        <v>0</v>
      </c>
      <c r="I137" s="211">
        <f t="shared" si="48"/>
        <v>70052.29000000001</v>
      </c>
      <c r="J137" s="262">
        <f t="shared" si="48"/>
        <v>0</v>
      </c>
      <c r="K137" s="239">
        <f t="shared" si="48"/>
        <v>0</v>
      </c>
      <c r="L137" s="211">
        <f t="shared" si="48"/>
        <v>70052.29000000001</v>
      </c>
      <c r="M137" s="262">
        <f t="shared" si="48"/>
        <v>1425.68</v>
      </c>
      <c r="N137" s="239">
        <f t="shared" si="48"/>
        <v>0</v>
      </c>
      <c r="O137" s="211">
        <f t="shared" si="48"/>
        <v>71477.97</v>
      </c>
      <c r="P137" s="105">
        <f t="shared" si="48"/>
        <v>0</v>
      </c>
      <c r="Q137" s="154">
        <f t="shared" si="48"/>
        <v>71477.97</v>
      </c>
    </row>
    <row r="138" spans="1:17" ht="12.75">
      <c r="A138" s="18" t="s">
        <v>26</v>
      </c>
      <c r="B138" s="57"/>
      <c r="C138" s="112"/>
      <c r="D138" s="102"/>
      <c r="E138" s="73"/>
      <c r="F138" s="189"/>
      <c r="G138" s="74"/>
      <c r="H138" s="235"/>
      <c r="I138" s="207"/>
      <c r="J138" s="257"/>
      <c r="K138" s="235"/>
      <c r="L138" s="207"/>
      <c r="M138" s="257"/>
      <c r="N138" s="235"/>
      <c r="O138" s="207"/>
      <c r="P138" s="292"/>
      <c r="Q138" s="167"/>
    </row>
    <row r="139" spans="1:17" ht="12.75">
      <c r="A139" s="16" t="s">
        <v>50</v>
      </c>
      <c r="B139" s="57"/>
      <c r="C139" s="112">
        <v>29060</v>
      </c>
      <c r="D139" s="102">
        <f>17353.01-5000+534.21</f>
        <v>12887.219999999998</v>
      </c>
      <c r="E139" s="73"/>
      <c r="F139" s="190">
        <f>C139+D139+E139</f>
        <v>41947.22</v>
      </c>
      <c r="G139" s="74">
        <f>500+680</f>
        <v>1180</v>
      </c>
      <c r="H139" s="235"/>
      <c r="I139" s="208">
        <f>F139+G139+H139</f>
        <v>43127.22</v>
      </c>
      <c r="J139" s="257"/>
      <c r="K139" s="235"/>
      <c r="L139" s="208">
        <f>I139+J139+K139</f>
        <v>43127.22</v>
      </c>
      <c r="M139" s="257"/>
      <c r="N139" s="235"/>
      <c r="O139" s="208">
        <f>L139+M139+N139</f>
        <v>43127.22</v>
      </c>
      <c r="P139" s="292"/>
      <c r="Q139" s="167">
        <f>O139+P139</f>
        <v>43127.22</v>
      </c>
    </row>
    <row r="140" spans="1:17" ht="12.75" hidden="1">
      <c r="A140" s="16" t="s">
        <v>72</v>
      </c>
      <c r="B140" s="57"/>
      <c r="C140" s="112"/>
      <c r="D140" s="102"/>
      <c r="E140" s="73"/>
      <c r="F140" s="190">
        <f>C140+D140+E140</f>
        <v>0</v>
      </c>
      <c r="G140" s="74"/>
      <c r="H140" s="235"/>
      <c r="I140" s="208">
        <f>F140+G140+H140</f>
        <v>0</v>
      </c>
      <c r="J140" s="257"/>
      <c r="K140" s="235"/>
      <c r="L140" s="208">
        <f>I140+J140+K140</f>
        <v>0</v>
      </c>
      <c r="M140" s="257"/>
      <c r="N140" s="235"/>
      <c r="O140" s="208">
        <f>L140+M140+N140</f>
        <v>0</v>
      </c>
      <c r="P140" s="292"/>
      <c r="Q140" s="167">
        <f>O140+P140</f>
        <v>0</v>
      </c>
    </row>
    <row r="141" spans="1:17" ht="12.75">
      <c r="A141" s="16" t="s">
        <v>74</v>
      </c>
      <c r="B141" s="57"/>
      <c r="C141" s="112">
        <v>26000</v>
      </c>
      <c r="D141" s="102">
        <f>925.07</f>
        <v>925.07</v>
      </c>
      <c r="E141" s="73"/>
      <c r="F141" s="190">
        <f>C141+D141+E141</f>
        <v>26925.07</v>
      </c>
      <c r="G141" s="74"/>
      <c r="H141" s="235"/>
      <c r="I141" s="208">
        <f>F141+G141+H141</f>
        <v>26925.07</v>
      </c>
      <c r="J141" s="257"/>
      <c r="K141" s="235"/>
      <c r="L141" s="208">
        <f>I141+J141+K141</f>
        <v>26925.07</v>
      </c>
      <c r="M141" s="257">
        <f>1425.68</f>
        <v>1425.68</v>
      </c>
      <c r="N141" s="235"/>
      <c r="O141" s="208">
        <f>L141+M141+N141</f>
        <v>28350.75</v>
      </c>
      <c r="P141" s="292"/>
      <c r="Q141" s="167">
        <f>O141+P141</f>
        <v>28350.75</v>
      </c>
    </row>
    <row r="142" spans="1:17" ht="12.75">
      <c r="A142" s="23" t="s">
        <v>52</v>
      </c>
      <c r="B142" s="61"/>
      <c r="C142" s="116">
        <f aca="true" t="shared" si="49" ref="C142:Q142">SUM(C144:C147)</f>
        <v>18500</v>
      </c>
      <c r="D142" s="106">
        <f t="shared" si="49"/>
        <v>8522.39</v>
      </c>
      <c r="E142" s="83">
        <f t="shared" si="49"/>
        <v>0</v>
      </c>
      <c r="F142" s="194">
        <f t="shared" si="49"/>
        <v>27022.39</v>
      </c>
      <c r="G142" s="82">
        <f t="shared" si="49"/>
        <v>15674.59</v>
      </c>
      <c r="H142" s="240">
        <f t="shared" si="49"/>
        <v>0</v>
      </c>
      <c r="I142" s="212">
        <f t="shared" si="49"/>
        <v>42696.979999999996</v>
      </c>
      <c r="J142" s="263">
        <f t="shared" si="49"/>
        <v>3600</v>
      </c>
      <c r="K142" s="240">
        <f t="shared" si="49"/>
        <v>0</v>
      </c>
      <c r="L142" s="212">
        <f t="shared" si="49"/>
        <v>46296.979999999996</v>
      </c>
      <c r="M142" s="263">
        <f t="shared" si="49"/>
        <v>0</v>
      </c>
      <c r="N142" s="240">
        <f t="shared" si="49"/>
        <v>0</v>
      </c>
      <c r="O142" s="212">
        <f t="shared" si="49"/>
        <v>46296.979999999996</v>
      </c>
      <c r="P142" s="106">
        <f t="shared" si="49"/>
        <v>0</v>
      </c>
      <c r="Q142" s="155">
        <f t="shared" si="49"/>
        <v>42212.229999999996</v>
      </c>
    </row>
    <row r="143" spans="1:17" ht="12.75">
      <c r="A143" s="14" t="s">
        <v>26</v>
      </c>
      <c r="B143" s="57"/>
      <c r="C143" s="113"/>
      <c r="D143" s="103"/>
      <c r="E143" s="76"/>
      <c r="F143" s="191"/>
      <c r="G143" s="75"/>
      <c r="H143" s="237"/>
      <c r="I143" s="209"/>
      <c r="J143" s="259"/>
      <c r="K143" s="237"/>
      <c r="L143" s="209"/>
      <c r="M143" s="259"/>
      <c r="N143" s="237"/>
      <c r="O143" s="209"/>
      <c r="P143" s="292"/>
      <c r="Q143" s="167"/>
    </row>
    <row r="144" spans="1:17" ht="12.75" hidden="1">
      <c r="A144" s="16" t="s">
        <v>151</v>
      </c>
      <c r="B144" s="57">
        <v>98861</v>
      </c>
      <c r="C144" s="112"/>
      <c r="D144" s="102"/>
      <c r="E144" s="73"/>
      <c r="F144" s="190">
        <f>C144+D144+E144</f>
        <v>0</v>
      </c>
      <c r="G144" s="75"/>
      <c r="H144" s="237"/>
      <c r="I144" s="208">
        <f>F144+G144+H144</f>
        <v>0</v>
      </c>
      <c r="J144" s="259"/>
      <c r="K144" s="237"/>
      <c r="L144" s="208">
        <f>I144+J144+K144</f>
        <v>0</v>
      </c>
      <c r="M144" s="259"/>
      <c r="N144" s="237"/>
      <c r="O144" s="208">
        <f>L144+M144+N144</f>
        <v>0</v>
      </c>
      <c r="P144" s="292"/>
      <c r="Q144" s="167">
        <f>O144+P144</f>
        <v>0</v>
      </c>
    </row>
    <row r="145" spans="1:17" ht="12.75" hidden="1">
      <c r="A145" s="16" t="s">
        <v>195</v>
      </c>
      <c r="B145" s="57">
        <v>7938</v>
      </c>
      <c r="C145" s="112"/>
      <c r="D145" s="102"/>
      <c r="E145" s="73"/>
      <c r="F145" s="190">
        <f>C145+D145+E145</f>
        <v>0</v>
      </c>
      <c r="G145" s="75"/>
      <c r="H145" s="237"/>
      <c r="I145" s="208">
        <f>F145+G145+H145</f>
        <v>0</v>
      </c>
      <c r="J145" s="259"/>
      <c r="K145" s="237"/>
      <c r="L145" s="208">
        <f>I145+J145+K145</f>
        <v>0</v>
      </c>
      <c r="M145" s="259"/>
      <c r="N145" s="237"/>
      <c r="O145" s="208">
        <f>L145+M145+N145</f>
        <v>0</v>
      </c>
      <c r="P145" s="292"/>
      <c r="Q145" s="167">
        <f>O145+P145</f>
        <v>0</v>
      </c>
    </row>
    <row r="146" spans="1:17" ht="12.75">
      <c r="A146" s="16" t="s">
        <v>333</v>
      </c>
      <c r="B146" s="57"/>
      <c r="C146" s="112"/>
      <c r="D146" s="102">
        <f>4084.75</f>
        <v>4084.75</v>
      </c>
      <c r="E146" s="73"/>
      <c r="F146" s="190">
        <f>C146+D146+E146</f>
        <v>4084.75</v>
      </c>
      <c r="G146" s="75"/>
      <c r="H146" s="237"/>
      <c r="I146" s="208">
        <f>F146+G146+H146</f>
        <v>4084.75</v>
      </c>
      <c r="J146" s="259"/>
      <c r="K146" s="237"/>
      <c r="L146" s="208">
        <f>I146+J146+K146</f>
        <v>4084.75</v>
      </c>
      <c r="M146" s="259"/>
      <c r="N146" s="237"/>
      <c r="O146" s="208">
        <f>L146+M146+N146</f>
        <v>4084.75</v>
      </c>
      <c r="P146" s="292"/>
      <c r="Q146" s="167"/>
    </row>
    <row r="147" spans="1:17" ht="12.75">
      <c r="A147" s="26" t="s">
        <v>53</v>
      </c>
      <c r="B147" s="60"/>
      <c r="C147" s="181">
        <v>18500</v>
      </c>
      <c r="D147" s="172">
        <f>13937.64-9500</f>
        <v>4437.639999999999</v>
      </c>
      <c r="E147" s="81"/>
      <c r="F147" s="195">
        <f>C147+D147+E147</f>
        <v>22937.64</v>
      </c>
      <c r="G147" s="226">
        <f>5200+10474.59</f>
        <v>15674.59</v>
      </c>
      <c r="H147" s="241"/>
      <c r="I147" s="213">
        <f>F147+G147+H147</f>
        <v>38612.229999999996</v>
      </c>
      <c r="J147" s="264">
        <f>3600</f>
        <v>3600</v>
      </c>
      <c r="K147" s="241"/>
      <c r="L147" s="213">
        <f>I147+J147+K147</f>
        <v>42212.229999999996</v>
      </c>
      <c r="M147" s="264"/>
      <c r="N147" s="241"/>
      <c r="O147" s="213">
        <f>L147+M147+N147</f>
        <v>42212.229999999996</v>
      </c>
      <c r="P147" s="295"/>
      <c r="Q147" s="168">
        <f>O147+P147</f>
        <v>42212.229999999996</v>
      </c>
    </row>
    <row r="148" spans="1:17" ht="12.75">
      <c r="A148" s="13" t="s">
        <v>239</v>
      </c>
      <c r="B148" s="61"/>
      <c r="C148" s="111">
        <f aca="true" t="shared" si="50" ref="C148:Q148">C149+C169</f>
        <v>8062.6900000000005</v>
      </c>
      <c r="D148" s="92">
        <f t="shared" si="50"/>
        <v>235701.95</v>
      </c>
      <c r="E148" s="72">
        <f t="shared" si="50"/>
        <v>0</v>
      </c>
      <c r="F148" s="189">
        <f t="shared" si="50"/>
        <v>243764.64</v>
      </c>
      <c r="G148" s="71">
        <f t="shared" si="50"/>
        <v>17001.65</v>
      </c>
      <c r="H148" s="234">
        <f t="shared" si="50"/>
        <v>0</v>
      </c>
      <c r="I148" s="207">
        <f t="shared" si="50"/>
        <v>260766.29</v>
      </c>
      <c r="J148" s="256">
        <f t="shared" si="50"/>
        <v>69793.08</v>
      </c>
      <c r="K148" s="234">
        <f t="shared" si="50"/>
        <v>0</v>
      </c>
      <c r="L148" s="207">
        <f t="shared" si="50"/>
        <v>330559.37</v>
      </c>
      <c r="M148" s="256">
        <f t="shared" si="50"/>
        <v>12003.670000000002</v>
      </c>
      <c r="N148" s="234">
        <f t="shared" si="50"/>
        <v>0</v>
      </c>
      <c r="O148" s="207">
        <f t="shared" si="50"/>
        <v>342563.04000000004</v>
      </c>
      <c r="P148" s="92">
        <f t="shared" si="50"/>
        <v>0</v>
      </c>
      <c r="Q148" s="150">
        <f t="shared" si="50"/>
        <v>60663.51</v>
      </c>
    </row>
    <row r="149" spans="1:17" ht="12.75">
      <c r="A149" s="22" t="s">
        <v>48</v>
      </c>
      <c r="B149" s="61"/>
      <c r="C149" s="115">
        <f aca="true" t="shared" si="51" ref="C149:Q149">SUM(C151:C168)</f>
        <v>8062.6900000000005</v>
      </c>
      <c r="D149" s="105">
        <f t="shared" si="51"/>
        <v>26719.200000000004</v>
      </c>
      <c r="E149" s="80">
        <f t="shared" si="51"/>
        <v>0</v>
      </c>
      <c r="F149" s="193">
        <f t="shared" si="51"/>
        <v>34781.89</v>
      </c>
      <c r="G149" s="79">
        <f t="shared" si="51"/>
        <v>14554.15</v>
      </c>
      <c r="H149" s="239">
        <f t="shared" si="51"/>
        <v>0</v>
      </c>
      <c r="I149" s="211">
        <f t="shared" si="51"/>
        <v>49336.04</v>
      </c>
      <c r="J149" s="262">
        <f t="shared" si="51"/>
        <v>14843.7</v>
      </c>
      <c r="K149" s="239">
        <f t="shared" si="51"/>
        <v>0</v>
      </c>
      <c r="L149" s="211">
        <f t="shared" si="51"/>
        <v>64179.74</v>
      </c>
      <c r="M149" s="262">
        <f t="shared" si="51"/>
        <v>12003.670000000002</v>
      </c>
      <c r="N149" s="239">
        <f t="shared" si="51"/>
        <v>0</v>
      </c>
      <c r="O149" s="211">
        <f t="shared" si="51"/>
        <v>76183.41</v>
      </c>
      <c r="P149" s="105">
        <f t="shared" si="51"/>
        <v>0</v>
      </c>
      <c r="Q149" s="154">
        <f t="shared" si="51"/>
        <v>45567</v>
      </c>
    </row>
    <row r="150" spans="1:17" ht="12.75">
      <c r="A150" s="14" t="s">
        <v>26</v>
      </c>
      <c r="B150" s="57"/>
      <c r="C150" s="113"/>
      <c r="D150" s="103"/>
      <c r="E150" s="76"/>
      <c r="F150" s="191"/>
      <c r="G150" s="75"/>
      <c r="H150" s="237"/>
      <c r="I150" s="209"/>
      <c r="J150" s="259"/>
      <c r="K150" s="237"/>
      <c r="L150" s="209"/>
      <c r="M150" s="259"/>
      <c r="N150" s="237"/>
      <c r="O150" s="209"/>
      <c r="P150" s="292"/>
      <c r="Q150" s="167"/>
    </row>
    <row r="151" spans="1:17" ht="12.75">
      <c r="A151" s="16" t="s">
        <v>50</v>
      </c>
      <c r="B151" s="57"/>
      <c r="C151" s="112">
        <v>3162.69</v>
      </c>
      <c r="D151" s="142">
        <f>575.3+368.8+500+100</f>
        <v>1544.1</v>
      </c>
      <c r="E151" s="73"/>
      <c r="F151" s="190">
        <f aca="true" t="shared" si="52" ref="F151:F168">C151+D151+E151</f>
        <v>4706.79</v>
      </c>
      <c r="G151" s="74">
        <f>500+300</f>
        <v>800</v>
      </c>
      <c r="H151" s="235"/>
      <c r="I151" s="208">
        <f>F151+G151+H151</f>
        <v>5506.79</v>
      </c>
      <c r="J151" s="260"/>
      <c r="K151" s="235"/>
      <c r="L151" s="208">
        <f>I151+J151+K151</f>
        <v>5506.79</v>
      </c>
      <c r="M151" s="260"/>
      <c r="N151" s="235"/>
      <c r="O151" s="208">
        <f>L151+M151+N151</f>
        <v>5506.79</v>
      </c>
      <c r="P151" s="292"/>
      <c r="Q151" s="167">
        <f>O151+P151</f>
        <v>5506.79</v>
      </c>
    </row>
    <row r="152" spans="1:17" ht="12.75">
      <c r="A152" s="58" t="s">
        <v>315</v>
      </c>
      <c r="B152" s="57">
        <v>2046</v>
      </c>
      <c r="C152" s="112"/>
      <c r="D152" s="102">
        <f>2510.73</f>
        <v>2510.73</v>
      </c>
      <c r="E152" s="73"/>
      <c r="F152" s="190">
        <f t="shared" si="52"/>
        <v>2510.73</v>
      </c>
      <c r="G152" s="74"/>
      <c r="H152" s="235"/>
      <c r="I152" s="208">
        <f aca="true" t="shared" si="53" ref="I152:I168">F152+G152+H152</f>
        <v>2510.73</v>
      </c>
      <c r="J152" s="257"/>
      <c r="K152" s="235"/>
      <c r="L152" s="208">
        <f aca="true" t="shared" si="54" ref="L152:L165">I152+J152+K152</f>
        <v>2510.73</v>
      </c>
      <c r="M152" s="257"/>
      <c r="N152" s="235"/>
      <c r="O152" s="208">
        <f aca="true" t="shared" si="55" ref="O152:O168">L152+M152+N152</f>
        <v>2510.73</v>
      </c>
      <c r="P152" s="292"/>
      <c r="Q152" s="167">
        <f aca="true" t="shared" si="56" ref="Q152:Q168">O152+P152</f>
        <v>2510.73</v>
      </c>
    </row>
    <row r="153" spans="1:17" ht="12.75">
      <c r="A153" s="58" t="s">
        <v>336</v>
      </c>
      <c r="B153" s="57"/>
      <c r="C153" s="112"/>
      <c r="D153" s="102"/>
      <c r="E153" s="73"/>
      <c r="F153" s="190">
        <f t="shared" si="52"/>
        <v>0</v>
      </c>
      <c r="G153" s="74">
        <f>12750</f>
        <v>12750</v>
      </c>
      <c r="H153" s="235"/>
      <c r="I153" s="208">
        <f t="shared" si="53"/>
        <v>12750</v>
      </c>
      <c r="J153" s="257"/>
      <c r="K153" s="235"/>
      <c r="L153" s="208">
        <f t="shared" si="54"/>
        <v>12750</v>
      </c>
      <c r="M153" s="257"/>
      <c r="N153" s="235"/>
      <c r="O153" s="208">
        <f t="shared" si="55"/>
        <v>12750</v>
      </c>
      <c r="P153" s="292"/>
      <c r="Q153" s="167"/>
    </row>
    <row r="154" spans="1:17" ht="12.75">
      <c r="A154" s="58" t="s">
        <v>316</v>
      </c>
      <c r="B154" s="57">
        <v>2016</v>
      </c>
      <c r="C154" s="112"/>
      <c r="D154" s="102">
        <f>459.09</f>
        <v>459.09</v>
      </c>
      <c r="E154" s="73"/>
      <c r="F154" s="190">
        <f t="shared" si="52"/>
        <v>459.09</v>
      </c>
      <c r="G154" s="74"/>
      <c r="H154" s="235"/>
      <c r="I154" s="208">
        <f t="shared" si="53"/>
        <v>459.09</v>
      </c>
      <c r="J154" s="257">
        <f>5.78-109.92</f>
        <v>-104.14</v>
      </c>
      <c r="K154" s="235"/>
      <c r="L154" s="208">
        <f t="shared" si="54"/>
        <v>354.95</v>
      </c>
      <c r="M154" s="257"/>
      <c r="N154" s="235"/>
      <c r="O154" s="208">
        <f t="shared" si="55"/>
        <v>354.95</v>
      </c>
      <c r="P154" s="292"/>
      <c r="Q154" s="167">
        <f t="shared" si="56"/>
        <v>354.95</v>
      </c>
    </row>
    <row r="155" spans="1:17" ht="12.75" hidden="1">
      <c r="A155" s="58" t="s">
        <v>277</v>
      </c>
      <c r="B155" s="57"/>
      <c r="C155" s="112"/>
      <c r="D155" s="102"/>
      <c r="E155" s="73"/>
      <c r="F155" s="190">
        <f t="shared" si="52"/>
        <v>0</v>
      </c>
      <c r="G155" s="74"/>
      <c r="H155" s="235"/>
      <c r="I155" s="208">
        <f t="shared" si="53"/>
        <v>0</v>
      </c>
      <c r="J155" s="257"/>
      <c r="K155" s="235"/>
      <c r="L155" s="208">
        <f t="shared" si="54"/>
        <v>0</v>
      </c>
      <c r="M155" s="257"/>
      <c r="N155" s="235"/>
      <c r="O155" s="208">
        <f t="shared" si="55"/>
        <v>0</v>
      </c>
      <c r="P155" s="292"/>
      <c r="Q155" s="167">
        <f t="shared" si="56"/>
        <v>0</v>
      </c>
    </row>
    <row r="156" spans="1:17" ht="12.75">
      <c r="A156" s="58" t="s">
        <v>378</v>
      </c>
      <c r="B156" s="57"/>
      <c r="C156" s="112"/>
      <c r="D156" s="102"/>
      <c r="E156" s="73"/>
      <c r="F156" s="190"/>
      <c r="G156" s="74"/>
      <c r="H156" s="235"/>
      <c r="I156" s="208"/>
      <c r="J156" s="257"/>
      <c r="K156" s="235"/>
      <c r="L156" s="208">
        <f t="shared" si="54"/>
        <v>0</v>
      </c>
      <c r="M156" s="257">
        <f>2668.34</f>
        <v>2668.34</v>
      </c>
      <c r="N156" s="235"/>
      <c r="O156" s="208">
        <f t="shared" si="55"/>
        <v>2668.34</v>
      </c>
      <c r="P156" s="292"/>
      <c r="Q156" s="167"/>
    </row>
    <row r="157" spans="1:17" ht="12.75" hidden="1">
      <c r="A157" s="25" t="s">
        <v>317</v>
      </c>
      <c r="B157" s="57">
        <v>2064</v>
      </c>
      <c r="C157" s="112"/>
      <c r="D157" s="102"/>
      <c r="E157" s="73"/>
      <c r="F157" s="190">
        <f t="shared" si="52"/>
        <v>0</v>
      </c>
      <c r="G157" s="74"/>
      <c r="H157" s="235"/>
      <c r="I157" s="208">
        <f t="shared" si="53"/>
        <v>0</v>
      </c>
      <c r="J157" s="257"/>
      <c r="K157" s="235"/>
      <c r="L157" s="208">
        <f t="shared" si="54"/>
        <v>0</v>
      </c>
      <c r="M157" s="257"/>
      <c r="N157" s="235"/>
      <c r="O157" s="208">
        <f t="shared" si="55"/>
        <v>0</v>
      </c>
      <c r="P157" s="292"/>
      <c r="Q157" s="167">
        <f t="shared" si="56"/>
        <v>0</v>
      </c>
    </row>
    <row r="158" spans="1:17" ht="12.75">
      <c r="A158" s="25" t="s">
        <v>318</v>
      </c>
      <c r="B158" s="57">
        <v>2079</v>
      </c>
      <c r="C158" s="112"/>
      <c r="D158" s="102">
        <f>73.55</f>
        <v>73.55</v>
      </c>
      <c r="E158" s="73"/>
      <c r="F158" s="190">
        <f t="shared" si="52"/>
        <v>73.55</v>
      </c>
      <c r="G158" s="74">
        <f>26.72</f>
        <v>26.72</v>
      </c>
      <c r="H158" s="235"/>
      <c r="I158" s="208">
        <f t="shared" si="53"/>
        <v>100.27</v>
      </c>
      <c r="J158" s="257">
        <f>15.26</f>
        <v>15.26</v>
      </c>
      <c r="K158" s="235"/>
      <c r="L158" s="208">
        <f t="shared" si="54"/>
        <v>115.53</v>
      </c>
      <c r="M158" s="257">
        <f>4.48</f>
        <v>4.48</v>
      </c>
      <c r="N158" s="235"/>
      <c r="O158" s="208">
        <f t="shared" si="55"/>
        <v>120.01</v>
      </c>
      <c r="P158" s="292"/>
      <c r="Q158" s="167">
        <f t="shared" si="56"/>
        <v>120.01</v>
      </c>
    </row>
    <row r="159" spans="1:17" ht="12.75">
      <c r="A159" s="58" t="s">
        <v>265</v>
      </c>
      <c r="B159" s="57">
        <v>2079</v>
      </c>
      <c r="C159" s="112"/>
      <c r="D159" s="102"/>
      <c r="E159" s="73"/>
      <c r="F159" s="190">
        <f t="shared" si="52"/>
        <v>0</v>
      </c>
      <c r="G159" s="74"/>
      <c r="H159" s="235"/>
      <c r="I159" s="208">
        <f t="shared" si="53"/>
        <v>0</v>
      </c>
      <c r="J159" s="257">
        <f>107.5</f>
        <v>107.5</v>
      </c>
      <c r="K159" s="235"/>
      <c r="L159" s="208">
        <f t="shared" si="54"/>
        <v>107.5</v>
      </c>
      <c r="M159" s="257"/>
      <c r="N159" s="235"/>
      <c r="O159" s="208">
        <f t="shared" si="55"/>
        <v>107.5</v>
      </c>
      <c r="P159" s="292"/>
      <c r="Q159" s="167">
        <f t="shared" si="56"/>
        <v>107.5</v>
      </c>
    </row>
    <row r="160" spans="1:17" ht="12.75">
      <c r="A160" s="25" t="s">
        <v>331</v>
      </c>
      <c r="B160" s="57"/>
      <c r="C160" s="112"/>
      <c r="D160" s="102">
        <f>2601.16</f>
        <v>2601.16</v>
      </c>
      <c r="E160" s="73"/>
      <c r="F160" s="190">
        <f t="shared" si="52"/>
        <v>2601.16</v>
      </c>
      <c r="G160" s="74">
        <f>1055.98</f>
        <v>1055.98</v>
      </c>
      <c r="H160" s="235"/>
      <c r="I160" s="208">
        <f t="shared" si="53"/>
        <v>3657.14</v>
      </c>
      <c r="J160" s="257">
        <f>433.66</f>
        <v>433.66</v>
      </c>
      <c r="K160" s="235"/>
      <c r="L160" s="208">
        <f t="shared" si="54"/>
        <v>4090.7999999999997</v>
      </c>
      <c r="M160" s="257">
        <f>246.27</f>
        <v>246.27</v>
      </c>
      <c r="N160" s="235"/>
      <c r="O160" s="208">
        <f t="shared" si="55"/>
        <v>4337.07</v>
      </c>
      <c r="P160" s="292"/>
      <c r="Q160" s="167"/>
    </row>
    <row r="161" spans="1:17" ht="12.75">
      <c r="A161" s="58" t="s">
        <v>306</v>
      </c>
      <c r="B161" s="57"/>
      <c r="C161" s="112"/>
      <c r="D161" s="102">
        <f>10748.16</f>
        <v>10748.16</v>
      </c>
      <c r="E161" s="73"/>
      <c r="F161" s="190">
        <f t="shared" si="52"/>
        <v>10748.16</v>
      </c>
      <c r="G161" s="74"/>
      <c r="H161" s="235"/>
      <c r="I161" s="208">
        <f t="shared" si="53"/>
        <v>10748.16</v>
      </c>
      <c r="J161" s="257">
        <f>3909.52</f>
        <v>3909.52</v>
      </c>
      <c r="K161" s="235"/>
      <c r="L161" s="208">
        <f t="shared" si="54"/>
        <v>14657.68</v>
      </c>
      <c r="M161" s="257">
        <f>-3909.52</f>
        <v>-3909.52</v>
      </c>
      <c r="N161" s="235"/>
      <c r="O161" s="208">
        <f t="shared" si="55"/>
        <v>10748.16</v>
      </c>
      <c r="P161" s="292"/>
      <c r="Q161" s="167"/>
    </row>
    <row r="162" spans="1:17" ht="12.75">
      <c r="A162" s="25" t="s">
        <v>376</v>
      </c>
      <c r="B162" s="57"/>
      <c r="C162" s="112"/>
      <c r="D162" s="102"/>
      <c r="E162" s="73"/>
      <c r="F162" s="190"/>
      <c r="G162" s="74"/>
      <c r="H162" s="235"/>
      <c r="I162" s="208"/>
      <c r="J162" s="257"/>
      <c r="K162" s="235"/>
      <c r="L162" s="208">
        <f t="shared" si="54"/>
        <v>0</v>
      </c>
      <c r="M162" s="257">
        <f>112.84</f>
        <v>112.84</v>
      </c>
      <c r="N162" s="235"/>
      <c r="O162" s="208">
        <f t="shared" si="55"/>
        <v>112.84</v>
      </c>
      <c r="P162" s="292"/>
      <c r="Q162" s="167"/>
    </row>
    <row r="163" spans="1:17" ht="12.75">
      <c r="A163" s="58" t="s">
        <v>372</v>
      </c>
      <c r="B163" s="57">
        <v>2067</v>
      </c>
      <c r="C163" s="112"/>
      <c r="D163" s="102"/>
      <c r="E163" s="73"/>
      <c r="F163" s="190">
        <f t="shared" si="52"/>
        <v>0</v>
      </c>
      <c r="G163" s="74"/>
      <c r="H163" s="235"/>
      <c r="I163" s="208">
        <f t="shared" si="53"/>
        <v>0</v>
      </c>
      <c r="J163" s="257"/>
      <c r="K163" s="235"/>
      <c r="L163" s="208">
        <f t="shared" si="54"/>
        <v>0</v>
      </c>
      <c r="M163" s="257">
        <f>3909.52</f>
        <v>3909.52</v>
      </c>
      <c r="N163" s="235"/>
      <c r="O163" s="208">
        <f t="shared" si="55"/>
        <v>3909.52</v>
      </c>
      <c r="P163" s="292"/>
      <c r="Q163" s="167">
        <f t="shared" si="56"/>
        <v>3909.52</v>
      </c>
    </row>
    <row r="164" spans="1:17" ht="12.75" hidden="1">
      <c r="A164" s="58" t="s">
        <v>266</v>
      </c>
      <c r="B164" s="57">
        <v>2074</v>
      </c>
      <c r="C164" s="112"/>
      <c r="D164" s="102"/>
      <c r="E164" s="73"/>
      <c r="F164" s="190">
        <f t="shared" si="52"/>
        <v>0</v>
      </c>
      <c r="G164" s="74"/>
      <c r="H164" s="235"/>
      <c r="I164" s="208">
        <f t="shared" si="53"/>
        <v>0</v>
      </c>
      <c r="J164" s="257"/>
      <c r="K164" s="235"/>
      <c r="L164" s="208">
        <f t="shared" si="54"/>
        <v>0</v>
      </c>
      <c r="M164" s="257"/>
      <c r="N164" s="235"/>
      <c r="O164" s="208">
        <f t="shared" si="55"/>
        <v>0</v>
      </c>
      <c r="P164" s="292"/>
      <c r="Q164" s="167">
        <f t="shared" si="56"/>
        <v>0</v>
      </c>
    </row>
    <row r="165" spans="1:17" ht="12.75">
      <c r="A165" s="25" t="s">
        <v>319</v>
      </c>
      <c r="B165" s="57"/>
      <c r="C165" s="112"/>
      <c r="D165" s="102">
        <f>347.99</f>
        <v>347.99</v>
      </c>
      <c r="E165" s="73"/>
      <c r="F165" s="190">
        <f t="shared" si="52"/>
        <v>347.99</v>
      </c>
      <c r="G165" s="74"/>
      <c r="H165" s="235"/>
      <c r="I165" s="208">
        <f t="shared" si="53"/>
        <v>347.99</v>
      </c>
      <c r="J165" s="257"/>
      <c r="K165" s="235"/>
      <c r="L165" s="208">
        <f t="shared" si="54"/>
        <v>347.99</v>
      </c>
      <c r="M165" s="257">
        <f>1312.83</f>
        <v>1312.83</v>
      </c>
      <c r="N165" s="235"/>
      <c r="O165" s="208">
        <f t="shared" si="55"/>
        <v>1660.82</v>
      </c>
      <c r="P165" s="292"/>
      <c r="Q165" s="167">
        <f t="shared" si="56"/>
        <v>1660.82</v>
      </c>
    </row>
    <row r="166" spans="1:17" ht="12.75">
      <c r="A166" s="58" t="s">
        <v>361</v>
      </c>
      <c r="B166" s="57"/>
      <c r="C166" s="112"/>
      <c r="D166" s="102"/>
      <c r="E166" s="73"/>
      <c r="F166" s="190">
        <f t="shared" si="52"/>
        <v>0</v>
      </c>
      <c r="G166" s="74"/>
      <c r="H166" s="235"/>
      <c r="I166" s="208">
        <f t="shared" si="53"/>
        <v>0</v>
      </c>
      <c r="J166" s="257">
        <f>3212.87</f>
        <v>3212.87</v>
      </c>
      <c r="K166" s="235"/>
      <c r="L166" s="208">
        <f>I166+J166+K166</f>
        <v>3212.87</v>
      </c>
      <c r="M166" s="257"/>
      <c r="N166" s="235"/>
      <c r="O166" s="208">
        <f t="shared" si="55"/>
        <v>3212.87</v>
      </c>
      <c r="P166" s="292"/>
      <c r="Q166" s="167">
        <f t="shared" si="56"/>
        <v>3212.87</v>
      </c>
    </row>
    <row r="167" spans="1:17" ht="12.75" hidden="1">
      <c r="A167" s="58" t="s">
        <v>320</v>
      </c>
      <c r="B167" s="57">
        <v>2058</v>
      </c>
      <c r="C167" s="112"/>
      <c r="D167" s="102"/>
      <c r="E167" s="73"/>
      <c r="F167" s="190">
        <f t="shared" si="52"/>
        <v>0</v>
      </c>
      <c r="G167" s="74"/>
      <c r="H167" s="235"/>
      <c r="I167" s="208">
        <f t="shared" si="53"/>
        <v>0</v>
      </c>
      <c r="J167" s="257"/>
      <c r="K167" s="235"/>
      <c r="L167" s="208">
        <f>I167+J167+K167</f>
        <v>0</v>
      </c>
      <c r="M167" s="257"/>
      <c r="N167" s="235"/>
      <c r="O167" s="208">
        <f t="shared" si="55"/>
        <v>0</v>
      </c>
      <c r="P167" s="292"/>
      <c r="Q167" s="167">
        <f t="shared" si="56"/>
        <v>0</v>
      </c>
    </row>
    <row r="168" spans="1:17" ht="12.75">
      <c r="A168" s="16" t="s">
        <v>72</v>
      </c>
      <c r="B168" s="57"/>
      <c r="C168" s="112">
        <v>4900</v>
      </c>
      <c r="D168" s="102">
        <f>1200+4000+544.23+686.81+1193.04+637.66+1072.68+100-500-500</f>
        <v>8434.42</v>
      </c>
      <c r="E168" s="73"/>
      <c r="F168" s="190">
        <f t="shared" si="52"/>
        <v>13334.42</v>
      </c>
      <c r="G168" s="74">
        <f>18.16+308.77-572.68+167.2</f>
        <v>-78.54999999999995</v>
      </c>
      <c r="H168" s="235"/>
      <c r="I168" s="208">
        <f t="shared" si="53"/>
        <v>13255.87</v>
      </c>
      <c r="J168" s="257">
        <f>2000+69.03+5000+200</f>
        <v>7269.030000000001</v>
      </c>
      <c r="K168" s="235"/>
      <c r="L168" s="208">
        <f>I168+J168+K168</f>
        <v>20524.9</v>
      </c>
      <c r="M168" s="257">
        <f>10.18+173.07+2000+375+17.36+5000+83.3</f>
        <v>7658.910000000001</v>
      </c>
      <c r="N168" s="235"/>
      <c r="O168" s="208">
        <f t="shared" si="55"/>
        <v>28183.81</v>
      </c>
      <c r="P168" s="292"/>
      <c r="Q168" s="167">
        <f t="shared" si="56"/>
        <v>28183.81</v>
      </c>
    </row>
    <row r="169" spans="1:17" ht="12.75">
      <c r="A169" s="23" t="s">
        <v>52</v>
      </c>
      <c r="B169" s="61"/>
      <c r="C169" s="116">
        <f aca="true" t="shared" si="57" ref="C169:Q169">SUM(C171:C179)</f>
        <v>0</v>
      </c>
      <c r="D169" s="106">
        <f t="shared" si="57"/>
        <v>208982.75</v>
      </c>
      <c r="E169" s="83">
        <f t="shared" si="57"/>
        <v>0</v>
      </c>
      <c r="F169" s="194">
        <f t="shared" si="57"/>
        <v>208982.75</v>
      </c>
      <c r="G169" s="82">
        <f t="shared" si="57"/>
        <v>2447.5</v>
      </c>
      <c r="H169" s="240">
        <f t="shared" si="57"/>
        <v>0</v>
      </c>
      <c r="I169" s="212">
        <f t="shared" si="57"/>
        <v>211430.25</v>
      </c>
      <c r="J169" s="263">
        <f t="shared" si="57"/>
        <v>54949.38</v>
      </c>
      <c r="K169" s="240">
        <f t="shared" si="57"/>
        <v>0</v>
      </c>
      <c r="L169" s="212">
        <f t="shared" si="57"/>
        <v>266379.63</v>
      </c>
      <c r="M169" s="263">
        <f t="shared" si="57"/>
        <v>0</v>
      </c>
      <c r="N169" s="240">
        <f t="shared" si="57"/>
        <v>0</v>
      </c>
      <c r="O169" s="212">
        <f t="shared" si="57"/>
        <v>266379.63</v>
      </c>
      <c r="P169" s="106">
        <f t="shared" si="57"/>
        <v>0</v>
      </c>
      <c r="Q169" s="155">
        <f t="shared" si="57"/>
        <v>15096.51</v>
      </c>
    </row>
    <row r="170" spans="1:17" ht="12.75">
      <c r="A170" s="25" t="s">
        <v>26</v>
      </c>
      <c r="B170" s="57"/>
      <c r="C170" s="112"/>
      <c r="D170" s="102"/>
      <c r="E170" s="73"/>
      <c r="F170" s="190"/>
      <c r="G170" s="74"/>
      <c r="H170" s="235"/>
      <c r="I170" s="208"/>
      <c r="J170" s="257"/>
      <c r="K170" s="235"/>
      <c r="L170" s="208"/>
      <c r="M170" s="257"/>
      <c r="N170" s="235"/>
      <c r="O170" s="208"/>
      <c r="P170" s="292"/>
      <c r="Q170" s="167"/>
    </row>
    <row r="171" spans="1:17" ht="12.75">
      <c r="A171" s="25" t="s">
        <v>318</v>
      </c>
      <c r="B171" s="57">
        <v>2079</v>
      </c>
      <c r="C171" s="112"/>
      <c r="D171" s="102">
        <f>1145.26+247.5</f>
        <v>1392.76</v>
      </c>
      <c r="E171" s="73"/>
      <c r="F171" s="190">
        <f aca="true" t="shared" si="58" ref="F171:F179">C171+D171+E171</f>
        <v>1392.76</v>
      </c>
      <c r="G171" s="74"/>
      <c r="H171" s="235"/>
      <c r="I171" s="208">
        <f aca="true" t="shared" si="59" ref="I171:I179">F171+G171+H171</f>
        <v>1392.76</v>
      </c>
      <c r="J171" s="257"/>
      <c r="K171" s="235"/>
      <c r="L171" s="208">
        <f aca="true" t="shared" si="60" ref="L171:L179">I171+J171+K171</f>
        <v>1392.76</v>
      </c>
      <c r="M171" s="257"/>
      <c r="N171" s="235"/>
      <c r="O171" s="208">
        <f aca="true" t="shared" si="61" ref="O171:O179">L171+M171+N171</f>
        <v>1392.76</v>
      </c>
      <c r="P171" s="292"/>
      <c r="Q171" s="167">
        <f>O171+P171</f>
        <v>1392.76</v>
      </c>
    </row>
    <row r="172" spans="1:17" ht="12.75">
      <c r="A172" s="58" t="s">
        <v>265</v>
      </c>
      <c r="B172" s="57">
        <v>2079</v>
      </c>
      <c r="C172" s="112"/>
      <c r="D172" s="102"/>
      <c r="E172" s="73"/>
      <c r="F172" s="190">
        <f t="shared" si="58"/>
        <v>0</v>
      </c>
      <c r="G172" s="74"/>
      <c r="H172" s="235"/>
      <c r="I172" s="208">
        <f t="shared" si="59"/>
        <v>0</v>
      </c>
      <c r="J172" s="257">
        <f>2695</f>
        <v>2695</v>
      </c>
      <c r="K172" s="235"/>
      <c r="L172" s="208">
        <f t="shared" si="60"/>
        <v>2695</v>
      </c>
      <c r="M172" s="257"/>
      <c r="N172" s="235"/>
      <c r="O172" s="208">
        <f t="shared" si="61"/>
        <v>2695</v>
      </c>
      <c r="P172" s="292"/>
      <c r="Q172" s="167">
        <f>O172+P172</f>
        <v>2695</v>
      </c>
    </row>
    <row r="173" spans="1:17" ht="12.75">
      <c r="A173" s="25" t="s">
        <v>331</v>
      </c>
      <c r="B173" s="57"/>
      <c r="C173" s="112"/>
      <c r="D173" s="102">
        <f>55847.45</f>
        <v>55847.45</v>
      </c>
      <c r="E173" s="73"/>
      <c r="F173" s="190">
        <f t="shared" si="58"/>
        <v>55847.45</v>
      </c>
      <c r="G173" s="74"/>
      <c r="H173" s="235"/>
      <c r="I173" s="208">
        <f t="shared" si="59"/>
        <v>55847.45</v>
      </c>
      <c r="J173" s="257"/>
      <c r="K173" s="235"/>
      <c r="L173" s="208">
        <f t="shared" si="60"/>
        <v>55847.45</v>
      </c>
      <c r="M173" s="257"/>
      <c r="N173" s="235"/>
      <c r="O173" s="208">
        <f t="shared" si="61"/>
        <v>55847.45</v>
      </c>
      <c r="P173" s="292"/>
      <c r="Q173" s="167"/>
    </row>
    <row r="174" spans="1:17" ht="12.75">
      <c r="A174" s="58" t="s">
        <v>306</v>
      </c>
      <c r="B174" s="57"/>
      <c r="C174" s="112"/>
      <c r="D174" s="102">
        <f>143308.79</f>
        <v>143308.79</v>
      </c>
      <c r="E174" s="73"/>
      <c r="F174" s="190">
        <f t="shared" si="58"/>
        <v>143308.79</v>
      </c>
      <c r="G174" s="74"/>
      <c r="H174" s="235"/>
      <c r="I174" s="208">
        <f t="shared" si="59"/>
        <v>143308.79</v>
      </c>
      <c r="J174" s="257">
        <f>52126.88</f>
        <v>52126.88</v>
      </c>
      <c r="K174" s="235"/>
      <c r="L174" s="208">
        <f t="shared" si="60"/>
        <v>195435.67</v>
      </c>
      <c r="M174" s="257">
        <f>-52126.88</f>
        <v>-52126.88</v>
      </c>
      <c r="N174" s="235"/>
      <c r="O174" s="208">
        <f t="shared" si="61"/>
        <v>143308.79</v>
      </c>
      <c r="P174" s="292"/>
      <c r="Q174" s="167"/>
    </row>
    <row r="175" spans="1:17" ht="12.75">
      <c r="A175" s="58" t="s">
        <v>372</v>
      </c>
      <c r="B175" s="57"/>
      <c r="C175" s="112"/>
      <c r="D175" s="102"/>
      <c r="E175" s="73"/>
      <c r="F175" s="190">
        <f t="shared" si="58"/>
        <v>0</v>
      </c>
      <c r="G175" s="74"/>
      <c r="H175" s="235"/>
      <c r="I175" s="208">
        <f t="shared" si="59"/>
        <v>0</v>
      </c>
      <c r="J175" s="257"/>
      <c r="K175" s="235"/>
      <c r="L175" s="208">
        <f t="shared" si="60"/>
        <v>0</v>
      </c>
      <c r="M175" s="257">
        <f>52126.88</f>
        <v>52126.88</v>
      </c>
      <c r="N175" s="235"/>
      <c r="O175" s="208">
        <f t="shared" si="61"/>
        <v>52126.88</v>
      </c>
      <c r="P175" s="292"/>
      <c r="Q175" s="167"/>
    </row>
    <row r="176" spans="1:17" ht="12.75">
      <c r="A176" s="58" t="s">
        <v>321</v>
      </c>
      <c r="B176" s="57"/>
      <c r="C176" s="112"/>
      <c r="D176" s="102">
        <f>8433.75</f>
        <v>8433.75</v>
      </c>
      <c r="E176" s="73"/>
      <c r="F176" s="190">
        <f t="shared" si="58"/>
        <v>8433.75</v>
      </c>
      <c r="G176" s="74">
        <f>247.5</f>
        <v>247.5</v>
      </c>
      <c r="H176" s="235"/>
      <c r="I176" s="208">
        <f t="shared" si="59"/>
        <v>8681.25</v>
      </c>
      <c r="J176" s="257">
        <f>127.5</f>
        <v>127.5</v>
      </c>
      <c r="K176" s="235"/>
      <c r="L176" s="208">
        <f t="shared" si="60"/>
        <v>8808.75</v>
      </c>
      <c r="M176" s="257"/>
      <c r="N176" s="235"/>
      <c r="O176" s="208">
        <f t="shared" si="61"/>
        <v>8808.75</v>
      </c>
      <c r="P176" s="292"/>
      <c r="Q176" s="167">
        <f>O176+P176</f>
        <v>8808.75</v>
      </c>
    </row>
    <row r="177" spans="1:17" ht="12.75" hidden="1">
      <c r="A177" s="16" t="s">
        <v>64</v>
      </c>
      <c r="B177" s="57"/>
      <c r="C177" s="112"/>
      <c r="D177" s="102"/>
      <c r="E177" s="73"/>
      <c r="F177" s="190">
        <f t="shared" si="58"/>
        <v>0</v>
      </c>
      <c r="G177" s="74"/>
      <c r="H177" s="235"/>
      <c r="I177" s="208">
        <f t="shared" si="59"/>
        <v>0</v>
      </c>
      <c r="J177" s="257"/>
      <c r="K177" s="235"/>
      <c r="L177" s="208">
        <f t="shared" si="60"/>
        <v>0</v>
      </c>
      <c r="M177" s="257"/>
      <c r="N177" s="235"/>
      <c r="O177" s="208">
        <f t="shared" si="61"/>
        <v>0</v>
      </c>
      <c r="P177" s="292"/>
      <c r="Q177" s="167">
        <f>O177+P177</f>
        <v>0</v>
      </c>
    </row>
    <row r="178" spans="1:17" ht="12.75">
      <c r="A178" s="19" t="s">
        <v>53</v>
      </c>
      <c r="B178" s="60"/>
      <c r="C178" s="181"/>
      <c r="D178" s="172"/>
      <c r="E178" s="81"/>
      <c r="F178" s="195">
        <f t="shared" si="58"/>
        <v>0</v>
      </c>
      <c r="G178" s="226">
        <f>2200</f>
        <v>2200</v>
      </c>
      <c r="H178" s="241"/>
      <c r="I178" s="213">
        <f t="shared" si="59"/>
        <v>2200</v>
      </c>
      <c r="J178" s="264"/>
      <c r="K178" s="241"/>
      <c r="L178" s="213">
        <f t="shared" si="60"/>
        <v>2200</v>
      </c>
      <c r="M178" s="264"/>
      <c r="N178" s="241"/>
      <c r="O178" s="213">
        <f t="shared" si="61"/>
        <v>2200</v>
      </c>
      <c r="P178" s="292"/>
      <c r="Q178" s="167">
        <f aca="true" t="shared" si="62" ref="Q178:Q236">O178+P178</f>
        <v>2200</v>
      </c>
    </row>
    <row r="179" spans="1:17" ht="12.75" hidden="1">
      <c r="A179" s="19" t="s">
        <v>72</v>
      </c>
      <c r="B179" s="60"/>
      <c r="C179" s="181"/>
      <c r="D179" s="172">
        <f>100-100</f>
        <v>0</v>
      </c>
      <c r="E179" s="81"/>
      <c r="F179" s="195">
        <f t="shared" si="58"/>
        <v>0</v>
      </c>
      <c r="G179" s="226"/>
      <c r="H179" s="241"/>
      <c r="I179" s="213">
        <f t="shared" si="59"/>
        <v>0</v>
      </c>
      <c r="J179" s="264"/>
      <c r="K179" s="241"/>
      <c r="L179" s="213">
        <f t="shared" si="60"/>
        <v>0</v>
      </c>
      <c r="M179" s="264"/>
      <c r="N179" s="241"/>
      <c r="O179" s="213">
        <f t="shared" si="61"/>
        <v>0</v>
      </c>
      <c r="P179" s="295"/>
      <c r="Q179" s="168">
        <f t="shared" si="62"/>
        <v>0</v>
      </c>
    </row>
    <row r="180" spans="1:17" ht="12.75">
      <c r="A180" s="13" t="s">
        <v>76</v>
      </c>
      <c r="B180" s="61"/>
      <c r="C180" s="111">
        <f aca="true" t="shared" si="63" ref="C180:Q180">C181+C227</f>
        <v>441953.44000000006</v>
      </c>
      <c r="D180" s="92">
        <f t="shared" si="63"/>
        <v>10383187.219999999</v>
      </c>
      <c r="E180" s="72">
        <f t="shared" si="63"/>
        <v>0</v>
      </c>
      <c r="F180" s="189">
        <f t="shared" si="63"/>
        <v>10825140.66</v>
      </c>
      <c r="G180" s="71">
        <f t="shared" si="63"/>
        <v>356381.69</v>
      </c>
      <c r="H180" s="234">
        <f t="shared" si="63"/>
        <v>0</v>
      </c>
      <c r="I180" s="207">
        <f t="shared" si="63"/>
        <v>11181522.349999998</v>
      </c>
      <c r="J180" s="256">
        <f t="shared" si="63"/>
        <v>230272.31999999998</v>
      </c>
      <c r="K180" s="234">
        <f t="shared" si="63"/>
        <v>0</v>
      </c>
      <c r="L180" s="207">
        <f t="shared" si="63"/>
        <v>11411794.67</v>
      </c>
      <c r="M180" s="256">
        <f t="shared" si="63"/>
        <v>181876.78999999998</v>
      </c>
      <c r="N180" s="234">
        <f t="shared" si="63"/>
        <v>0</v>
      </c>
      <c r="O180" s="207">
        <f t="shared" si="63"/>
        <v>11593671.46</v>
      </c>
      <c r="P180" s="92">
        <f t="shared" si="63"/>
        <v>0</v>
      </c>
      <c r="Q180" s="150">
        <f t="shared" si="63"/>
        <v>11441979.409999998</v>
      </c>
    </row>
    <row r="181" spans="1:17" ht="12.75">
      <c r="A181" s="22" t="s">
        <v>48</v>
      </c>
      <c r="B181" s="61"/>
      <c r="C181" s="115">
        <f aca="true" t="shared" si="64" ref="C181:Q181">SUM(C183:C226)</f>
        <v>441213.44000000006</v>
      </c>
      <c r="D181" s="105">
        <f t="shared" si="64"/>
        <v>10375559.62</v>
      </c>
      <c r="E181" s="80">
        <f t="shared" si="64"/>
        <v>0</v>
      </c>
      <c r="F181" s="193">
        <f t="shared" si="64"/>
        <v>10816773.06</v>
      </c>
      <c r="G181" s="79">
        <f t="shared" si="64"/>
        <v>343933.93</v>
      </c>
      <c r="H181" s="239">
        <f t="shared" si="64"/>
        <v>0</v>
      </c>
      <c r="I181" s="211">
        <f t="shared" si="64"/>
        <v>11160706.989999998</v>
      </c>
      <c r="J181" s="262">
        <f t="shared" si="64"/>
        <v>230284.77999999997</v>
      </c>
      <c r="K181" s="239">
        <f t="shared" si="64"/>
        <v>0</v>
      </c>
      <c r="L181" s="211">
        <f t="shared" si="64"/>
        <v>11390991.77</v>
      </c>
      <c r="M181" s="262">
        <f t="shared" si="64"/>
        <v>175828.72999999998</v>
      </c>
      <c r="N181" s="239">
        <f t="shared" si="64"/>
        <v>0</v>
      </c>
      <c r="O181" s="211">
        <f t="shared" si="64"/>
        <v>11566820.5</v>
      </c>
      <c r="P181" s="105">
        <f t="shared" si="64"/>
        <v>0</v>
      </c>
      <c r="Q181" s="154">
        <f t="shared" si="64"/>
        <v>11415345.209999999</v>
      </c>
    </row>
    <row r="182" spans="1:17" ht="12.75">
      <c r="A182" s="14" t="s">
        <v>26</v>
      </c>
      <c r="B182" s="57"/>
      <c r="C182" s="112"/>
      <c r="D182" s="102"/>
      <c r="E182" s="73"/>
      <c r="F182" s="190"/>
      <c r="G182" s="74"/>
      <c r="H182" s="235"/>
      <c r="I182" s="208"/>
      <c r="J182" s="257"/>
      <c r="K182" s="235"/>
      <c r="L182" s="208"/>
      <c r="M182" s="257"/>
      <c r="N182" s="235"/>
      <c r="O182" s="208"/>
      <c r="P182" s="292"/>
      <c r="Q182" s="167"/>
    </row>
    <row r="183" spans="1:17" ht="12.75">
      <c r="A183" s="20" t="s">
        <v>68</v>
      </c>
      <c r="B183" s="57"/>
      <c r="C183" s="112">
        <v>378098.03</v>
      </c>
      <c r="D183" s="102">
        <f>8337+164.5+119488+17408.32+2000+8857.8</f>
        <v>156255.62</v>
      </c>
      <c r="E183" s="73"/>
      <c r="F183" s="190">
        <f aca="true" t="shared" si="65" ref="F183:F226">C183+D183+E183</f>
        <v>534353.65</v>
      </c>
      <c r="G183" s="74">
        <f>6500+3515.1+44134.6+12</f>
        <v>54161.7</v>
      </c>
      <c r="H183" s="235"/>
      <c r="I183" s="208">
        <f>F183+G183+H183</f>
        <v>588515.35</v>
      </c>
      <c r="J183" s="257">
        <f>9867.55+2328.9</f>
        <v>12196.449999999999</v>
      </c>
      <c r="K183" s="235"/>
      <c r="L183" s="208">
        <f>I183+J183+K183</f>
        <v>600711.7999999999</v>
      </c>
      <c r="M183" s="257">
        <f>7944.75-1134.95</f>
        <v>6809.8</v>
      </c>
      <c r="N183" s="235"/>
      <c r="O183" s="208">
        <f>L183+M183+N183</f>
        <v>607521.6</v>
      </c>
      <c r="P183" s="292"/>
      <c r="Q183" s="167">
        <f t="shared" si="62"/>
        <v>607521.6</v>
      </c>
    </row>
    <row r="184" spans="1:17" ht="12.75">
      <c r="A184" s="20" t="s">
        <v>258</v>
      </c>
      <c r="B184" s="57">
        <v>33353</v>
      </c>
      <c r="C184" s="112"/>
      <c r="D184" s="102">
        <f>9933653.38</f>
        <v>9933653.38</v>
      </c>
      <c r="E184" s="73"/>
      <c r="F184" s="190">
        <f t="shared" si="65"/>
        <v>9933653.38</v>
      </c>
      <c r="G184" s="74">
        <f>5134.59</f>
        <v>5134.59</v>
      </c>
      <c r="H184" s="235"/>
      <c r="I184" s="208">
        <f aca="true" t="shared" si="66" ref="I184:I224">F184+G184+H184</f>
        <v>9938787.97</v>
      </c>
      <c r="J184" s="257">
        <f>363.35</f>
        <v>363.35</v>
      </c>
      <c r="K184" s="235"/>
      <c r="L184" s="208">
        <f aca="true" t="shared" si="67" ref="L184:L225">I184+J184+K184</f>
        <v>9939151.32</v>
      </c>
      <c r="M184" s="257">
        <f>14811.92</f>
        <v>14811.92</v>
      </c>
      <c r="N184" s="235"/>
      <c r="O184" s="208">
        <f aca="true" t="shared" si="68" ref="O184:O226">L184+M184+N184</f>
        <v>9953963.24</v>
      </c>
      <c r="P184" s="292"/>
      <c r="Q184" s="167">
        <f t="shared" si="62"/>
        <v>9953963.24</v>
      </c>
    </row>
    <row r="185" spans="1:17" ht="13.5" thickBot="1">
      <c r="A185" s="309" t="s">
        <v>303</v>
      </c>
      <c r="B185" s="300">
        <v>33155</v>
      </c>
      <c r="C185" s="301"/>
      <c r="D185" s="310">
        <f>148284.67</f>
        <v>148284.67</v>
      </c>
      <c r="E185" s="303"/>
      <c r="F185" s="304">
        <f t="shared" si="65"/>
        <v>148284.67</v>
      </c>
      <c r="G185" s="305">
        <f>147279.41</f>
        <v>147279.41</v>
      </c>
      <c r="H185" s="306"/>
      <c r="I185" s="307">
        <f t="shared" si="66"/>
        <v>295564.08</v>
      </c>
      <c r="J185" s="308">
        <f>147089.43</f>
        <v>147089.43</v>
      </c>
      <c r="K185" s="306"/>
      <c r="L185" s="307">
        <f t="shared" si="67"/>
        <v>442653.51</v>
      </c>
      <c r="M185" s="308">
        <f>153489.32</f>
        <v>153489.32</v>
      </c>
      <c r="N185" s="306"/>
      <c r="O185" s="307">
        <f t="shared" si="68"/>
        <v>596142.8300000001</v>
      </c>
      <c r="P185" s="292"/>
      <c r="Q185" s="167">
        <f t="shared" si="62"/>
        <v>596142.8300000001</v>
      </c>
    </row>
    <row r="186" spans="1:17" ht="12.75">
      <c r="A186" s="20" t="s">
        <v>77</v>
      </c>
      <c r="B186" s="57">
        <v>33122</v>
      </c>
      <c r="C186" s="112"/>
      <c r="D186" s="102"/>
      <c r="E186" s="73"/>
      <c r="F186" s="190">
        <f t="shared" si="65"/>
        <v>0</v>
      </c>
      <c r="G186" s="74">
        <f>328+110</f>
        <v>438</v>
      </c>
      <c r="H186" s="235"/>
      <c r="I186" s="208">
        <f t="shared" si="66"/>
        <v>438</v>
      </c>
      <c r="J186" s="257"/>
      <c r="K186" s="235"/>
      <c r="L186" s="208">
        <f t="shared" si="67"/>
        <v>438</v>
      </c>
      <c r="M186" s="257"/>
      <c r="N186" s="235"/>
      <c r="O186" s="208">
        <f t="shared" si="68"/>
        <v>438</v>
      </c>
      <c r="P186" s="292"/>
      <c r="Q186" s="167">
        <f t="shared" si="62"/>
        <v>438</v>
      </c>
    </row>
    <row r="187" spans="1:17" ht="12.75" hidden="1">
      <c r="A187" s="20" t="s">
        <v>130</v>
      </c>
      <c r="B187" s="57"/>
      <c r="C187" s="112"/>
      <c r="D187" s="102"/>
      <c r="E187" s="73"/>
      <c r="F187" s="190">
        <f t="shared" si="65"/>
        <v>0</v>
      </c>
      <c r="G187" s="74"/>
      <c r="H187" s="235"/>
      <c r="I187" s="208">
        <f t="shared" si="66"/>
        <v>0</v>
      </c>
      <c r="J187" s="257"/>
      <c r="K187" s="235"/>
      <c r="L187" s="208">
        <f t="shared" si="67"/>
        <v>0</v>
      </c>
      <c r="M187" s="257"/>
      <c r="N187" s="235"/>
      <c r="O187" s="208">
        <f t="shared" si="68"/>
        <v>0</v>
      </c>
      <c r="P187" s="292"/>
      <c r="Q187" s="167">
        <f t="shared" si="62"/>
        <v>0</v>
      </c>
    </row>
    <row r="188" spans="1:17" ht="12.75" hidden="1">
      <c r="A188" s="36" t="s">
        <v>179</v>
      </c>
      <c r="B188" s="57">
        <v>33052</v>
      </c>
      <c r="C188" s="112"/>
      <c r="D188" s="102"/>
      <c r="E188" s="73"/>
      <c r="F188" s="190">
        <f t="shared" si="65"/>
        <v>0</v>
      </c>
      <c r="G188" s="74"/>
      <c r="H188" s="235"/>
      <c r="I188" s="208">
        <f t="shared" si="66"/>
        <v>0</v>
      </c>
      <c r="J188" s="257"/>
      <c r="K188" s="235"/>
      <c r="L188" s="208">
        <f t="shared" si="67"/>
        <v>0</v>
      </c>
      <c r="M188" s="257"/>
      <c r="N188" s="235"/>
      <c r="O188" s="208">
        <f t="shared" si="68"/>
        <v>0</v>
      </c>
      <c r="P188" s="292"/>
      <c r="Q188" s="167">
        <f t="shared" si="62"/>
        <v>0</v>
      </c>
    </row>
    <row r="189" spans="1:17" ht="12.75" hidden="1">
      <c r="A189" s="36" t="s">
        <v>247</v>
      </c>
      <c r="B189" s="57">
        <v>33076</v>
      </c>
      <c r="C189" s="112"/>
      <c r="D189" s="102"/>
      <c r="E189" s="73"/>
      <c r="F189" s="190">
        <f t="shared" si="65"/>
        <v>0</v>
      </c>
      <c r="G189" s="74"/>
      <c r="H189" s="235"/>
      <c r="I189" s="208">
        <f t="shared" si="66"/>
        <v>0</v>
      </c>
      <c r="J189" s="257"/>
      <c r="K189" s="235"/>
      <c r="L189" s="208">
        <f t="shared" si="67"/>
        <v>0</v>
      </c>
      <c r="M189" s="257"/>
      <c r="N189" s="235"/>
      <c r="O189" s="208">
        <f t="shared" si="68"/>
        <v>0</v>
      </c>
      <c r="P189" s="292"/>
      <c r="Q189" s="167">
        <f t="shared" si="62"/>
        <v>0</v>
      </c>
    </row>
    <row r="190" spans="1:17" ht="12.75" hidden="1">
      <c r="A190" s="36" t="s">
        <v>208</v>
      </c>
      <c r="B190" s="57">
        <v>33069</v>
      </c>
      <c r="C190" s="112"/>
      <c r="D190" s="102"/>
      <c r="E190" s="73"/>
      <c r="F190" s="190">
        <f t="shared" si="65"/>
        <v>0</v>
      </c>
      <c r="G190" s="74"/>
      <c r="H190" s="235"/>
      <c r="I190" s="208">
        <f t="shared" si="66"/>
        <v>0</v>
      </c>
      <c r="J190" s="257"/>
      <c r="K190" s="235"/>
      <c r="L190" s="208">
        <f t="shared" si="67"/>
        <v>0</v>
      </c>
      <c r="M190" s="257"/>
      <c r="N190" s="235"/>
      <c r="O190" s="208">
        <f t="shared" si="68"/>
        <v>0</v>
      </c>
      <c r="P190" s="292"/>
      <c r="Q190" s="167">
        <f t="shared" si="62"/>
        <v>0</v>
      </c>
    </row>
    <row r="191" spans="1:17" ht="12.75" hidden="1">
      <c r="A191" s="36" t="s">
        <v>238</v>
      </c>
      <c r="B191" s="57">
        <v>33070</v>
      </c>
      <c r="C191" s="112"/>
      <c r="D191" s="102"/>
      <c r="E191" s="73"/>
      <c r="F191" s="190">
        <f t="shared" si="65"/>
        <v>0</v>
      </c>
      <c r="G191" s="74"/>
      <c r="H191" s="235"/>
      <c r="I191" s="208">
        <f t="shared" si="66"/>
        <v>0</v>
      </c>
      <c r="J191" s="257"/>
      <c r="K191" s="235"/>
      <c r="L191" s="208">
        <f t="shared" si="67"/>
        <v>0</v>
      </c>
      <c r="M191" s="257"/>
      <c r="N191" s="235"/>
      <c r="O191" s="208">
        <f t="shared" si="68"/>
        <v>0</v>
      </c>
      <c r="P191" s="292"/>
      <c r="Q191" s="167">
        <f t="shared" si="62"/>
        <v>0</v>
      </c>
    </row>
    <row r="192" spans="1:17" ht="12.75" hidden="1">
      <c r="A192" s="20" t="s">
        <v>231</v>
      </c>
      <c r="B192" s="57">
        <v>33071</v>
      </c>
      <c r="C192" s="112"/>
      <c r="D192" s="102"/>
      <c r="E192" s="73"/>
      <c r="F192" s="190">
        <f t="shared" si="65"/>
        <v>0</v>
      </c>
      <c r="G192" s="74"/>
      <c r="H192" s="235"/>
      <c r="I192" s="208">
        <f t="shared" si="66"/>
        <v>0</v>
      </c>
      <c r="J192" s="257"/>
      <c r="K192" s="235"/>
      <c r="L192" s="208">
        <f t="shared" si="67"/>
        <v>0</v>
      </c>
      <c r="M192" s="257"/>
      <c r="N192" s="235"/>
      <c r="O192" s="208">
        <f t="shared" si="68"/>
        <v>0</v>
      </c>
      <c r="P192" s="292"/>
      <c r="Q192" s="167">
        <f t="shared" si="62"/>
        <v>0</v>
      </c>
    </row>
    <row r="193" spans="1:17" ht="12.75" hidden="1">
      <c r="A193" s="20" t="s">
        <v>180</v>
      </c>
      <c r="B193" s="57">
        <v>33050</v>
      </c>
      <c r="C193" s="112"/>
      <c r="D193" s="102"/>
      <c r="E193" s="73"/>
      <c r="F193" s="190">
        <f t="shared" si="65"/>
        <v>0</v>
      </c>
      <c r="G193" s="74"/>
      <c r="H193" s="235"/>
      <c r="I193" s="208">
        <f t="shared" si="66"/>
        <v>0</v>
      </c>
      <c r="J193" s="257"/>
      <c r="K193" s="235"/>
      <c r="L193" s="208">
        <f t="shared" si="67"/>
        <v>0</v>
      </c>
      <c r="M193" s="257"/>
      <c r="N193" s="235"/>
      <c r="O193" s="208">
        <f t="shared" si="68"/>
        <v>0</v>
      </c>
      <c r="P193" s="292"/>
      <c r="Q193" s="167">
        <f t="shared" si="62"/>
        <v>0</v>
      </c>
    </row>
    <row r="194" spans="1:17" ht="12.75" hidden="1">
      <c r="A194" s="20" t="s">
        <v>141</v>
      </c>
      <c r="B194" s="57">
        <v>33435</v>
      </c>
      <c r="C194" s="112"/>
      <c r="D194" s="102"/>
      <c r="E194" s="73"/>
      <c r="F194" s="190">
        <f t="shared" si="65"/>
        <v>0</v>
      </c>
      <c r="G194" s="74"/>
      <c r="H194" s="235"/>
      <c r="I194" s="208">
        <f t="shared" si="66"/>
        <v>0</v>
      </c>
      <c r="J194" s="257"/>
      <c r="K194" s="235"/>
      <c r="L194" s="208">
        <f t="shared" si="67"/>
        <v>0</v>
      </c>
      <c r="M194" s="257"/>
      <c r="N194" s="235"/>
      <c r="O194" s="208">
        <f t="shared" si="68"/>
        <v>0</v>
      </c>
      <c r="P194" s="292"/>
      <c r="Q194" s="167">
        <f t="shared" si="62"/>
        <v>0</v>
      </c>
    </row>
    <row r="195" spans="1:17" ht="12.75" hidden="1">
      <c r="A195" s="20" t="s">
        <v>196</v>
      </c>
      <c r="B195" s="57">
        <v>33049</v>
      </c>
      <c r="C195" s="112"/>
      <c r="D195" s="102"/>
      <c r="E195" s="73"/>
      <c r="F195" s="190">
        <f t="shared" si="65"/>
        <v>0</v>
      </c>
      <c r="G195" s="74"/>
      <c r="H195" s="235"/>
      <c r="I195" s="208">
        <f t="shared" si="66"/>
        <v>0</v>
      </c>
      <c r="J195" s="257"/>
      <c r="K195" s="235"/>
      <c r="L195" s="208">
        <f t="shared" si="67"/>
        <v>0</v>
      </c>
      <c r="M195" s="257"/>
      <c r="N195" s="235"/>
      <c r="O195" s="208">
        <f t="shared" si="68"/>
        <v>0</v>
      </c>
      <c r="P195" s="292"/>
      <c r="Q195" s="167">
        <f t="shared" si="62"/>
        <v>0</v>
      </c>
    </row>
    <row r="196" spans="1:17" ht="12.75" hidden="1">
      <c r="A196" s="20" t="s">
        <v>181</v>
      </c>
      <c r="B196" s="57">
        <v>33044</v>
      </c>
      <c r="C196" s="112"/>
      <c r="D196" s="102"/>
      <c r="E196" s="73"/>
      <c r="F196" s="190">
        <f t="shared" si="65"/>
        <v>0</v>
      </c>
      <c r="G196" s="74"/>
      <c r="H196" s="235"/>
      <c r="I196" s="208">
        <f t="shared" si="66"/>
        <v>0</v>
      </c>
      <c r="J196" s="257"/>
      <c r="K196" s="235"/>
      <c r="L196" s="208">
        <f t="shared" si="67"/>
        <v>0</v>
      </c>
      <c r="M196" s="257"/>
      <c r="N196" s="235"/>
      <c r="O196" s="208">
        <f t="shared" si="68"/>
        <v>0</v>
      </c>
      <c r="P196" s="292"/>
      <c r="Q196" s="167">
        <f t="shared" si="62"/>
        <v>0</v>
      </c>
    </row>
    <row r="197" spans="1:17" ht="12.75" hidden="1">
      <c r="A197" s="20" t="s">
        <v>185</v>
      </c>
      <c r="B197" s="57">
        <v>33024</v>
      </c>
      <c r="C197" s="112"/>
      <c r="D197" s="102"/>
      <c r="E197" s="73"/>
      <c r="F197" s="190">
        <f t="shared" si="65"/>
        <v>0</v>
      </c>
      <c r="G197" s="74"/>
      <c r="H197" s="235"/>
      <c r="I197" s="208">
        <f t="shared" si="66"/>
        <v>0</v>
      </c>
      <c r="J197" s="257"/>
      <c r="K197" s="235"/>
      <c r="L197" s="208">
        <f t="shared" si="67"/>
        <v>0</v>
      </c>
      <c r="M197" s="257"/>
      <c r="N197" s="235"/>
      <c r="O197" s="208">
        <f t="shared" si="68"/>
        <v>0</v>
      </c>
      <c r="P197" s="292"/>
      <c r="Q197" s="167">
        <f t="shared" si="62"/>
        <v>0</v>
      </c>
    </row>
    <row r="198" spans="1:17" ht="12.75" hidden="1">
      <c r="A198" s="36" t="s">
        <v>146</v>
      </c>
      <c r="B198" s="57">
        <v>33018</v>
      </c>
      <c r="C198" s="112"/>
      <c r="D198" s="102"/>
      <c r="E198" s="73"/>
      <c r="F198" s="190">
        <f t="shared" si="65"/>
        <v>0</v>
      </c>
      <c r="G198" s="74"/>
      <c r="H198" s="235"/>
      <c r="I198" s="208">
        <f t="shared" si="66"/>
        <v>0</v>
      </c>
      <c r="J198" s="257"/>
      <c r="K198" s="235"/>
      <c r="L198" s="208">
        <f t="shared" si="67"/>
        <v>0</v>
      </c>
      <c r="M198" s="257"/>
      <c r="N198" s="235"/>
      <c r="O198" s="208">
        <f t="shared" si="68"/>
        <v>0</v>
      </c>
      <c r="P198" s="292"/>
      <c r="Q198" s="167">
        <f t="shared" si="62"/>
        <v>0</v>
      </c>
    </row>
    <row r="199" spans="1:17" ht="12.75">
      <c r="A199" s="20" t="s">
        <v>334</v>
      </c>
      <c r="B199" s="57">
        <v>33352</v>
      </c>
      <c r="C199" s="112"/>
      <c r="D199" s="102">
        <f>13643.49</f>
        <v>13643.49</v>
      </c>
      <c r="E199" s="73"/>
      <c r="F199" s="132">
        <f t="shared" si="65"/>
        <v>13643.49</v>
      </c>
      <c r="G199" s="74"/>
      <c r="H199" s="235"/>
      <c r="I199" s="208">
        <f t="shared" si="66"/>
        <v>13643.49</v>
      </c>
      <c r="J199" s="257"/>
      <c r="K199" s="235"/>
      <c r="L199" s="208">
        <f t="shared" si="67"/>
        <v>13643.49</v>
      </c>
      <c r="M199" s="257">
        <f>5175.12</f>
        <v>5175.12</v>
      </c>
      <c r="N199" s="235"/>
      <c r="O199" s="208">
        <f t="shared" si="68"/>
        <v>18818.61</v>
      </c>
      <c r="P199" s="292"/>
      <c r="Q199" s="167">
        <f t="shared" si="62"/>
        <v>18818.61</v>
      </c>
    </row>
    <row r="200" spans="1:17" ht="12.75" hidden="1">
      <c r="A200" s="36" t="s">
        <v>164</v>
      </c>
      <c r="B200" s="57">
        <v>33160</v>
      </c>
      <c r="C200" s="112"/>
      <c r="D200" s="102"/>
      <c r="E200" s="73"/>
      <c r="F200" s="190">
        <f t="shared" si="65"/>
        <v>0</v>
      </c>
      <c r="G200" s="74"/>
      <c r="H200" s="235"/>
      <c r="I200" s="208">
        <f t="shared" si="66"/>
        <v>0</v>
      </c>
      <c r="J200" s="257"/>
      <c r="K200" s="235"/>
      <c r="L200" s="208">
        <f t="shared" si="67"/>
        <v>0</v>
      </c>
      <c r="M200" s="257"/>
      <c r="N200" s="235"/>
      <c r="O200" s="208">
        <f t="shared" si="68"/>
        <v>0</v>
      </c>
      <c r="P200" s="292"/>
      <c r="Q200" s="167">
        <f t="shared" si="62"/>
        <v>0</v>
      </c>
    </row>
    <row r="201" spans="1:17" ht="12.75" hidden="1">
      <c r="A201" s="20" t="s">
        <v>134</v>
      </c>
      <c r="B201" s="57"/>
      <c r="C201" s="112"/>
      <c r="D201" s="102"/>
      <c r="E201" s="73"/>
      <c r="F201" s="190">
        <f t="shared" si="65"/>
        <v>0</v>
      </c>
      <c r="G201" s="74"/>
      <c r="H201" s="235"/>
      <c r="I201" s="208">
        <f t="shared" si="66"/>
        <v>0</v>
      </c>
      <c r="J201" s="257"/>
      <c r="K201" s="235"/>
      <c r="L201" s="208">
        <f t="shared" si="67"/>
        <v>0</v>
      </c>
      <c r="M201" s="257"/>
      <c r="N201" s="235"/>
      <c r="O201" s="208">
        <f t="shared" si="68"/>
        <v>0</v>
      </c>
      <c r="P201" s="292"/>
      <c r="Q201" s="167">
        <f t="shared" si="62"/>
        <v>0</v>
      </c>
    </row>
    <row r="202" spans="1:17" ht="12.75" hidden="1">
      <c r="A202" s="36" t="s">
        <v>337</v>
      </c>
      <c r="B202" s="57">
        <v>33087</v>
      </c>
      <c r="C202" s="112"/>
      <c r="D202" s="102"/>
      <c r="E202" s="73"/>
      <c r="F202" s="190">
        <f t="shared" si="65"/>
        <v>0</v>
      </c>
      <c r="G202" s="74"/>
      <c r="H202" s="235"/>
      <c r="I202" s="208">
        <f t="shared" si="66"/>
        <v>0</v>
      </c>
      <c r="J202" s="257"/>
      <c r="K202" s="235"/>
      <c r="L202" s="208">
        <f t="shared" si="67"/>
        <v>0</v>
      </c>
      <c r="M202" s="257"/>
      <c r="N202" s="235"/>
      <c r="O202" s="208">
        <f t="shared" si="68"/>
        <v>0</v>
      </c>
      <c r="P202" s="292"/>
      <c r="Q202" s="167">
        <f t="shared" si="62"/>
        <v>0</v>
      </c>
    </row>
    <row r="203" spans="1:17" ht="12.75">
      <c r="A203" s="36" t="s">
        <v>338</v>
      </c>
      <c r="B203" s="57">
        <v>33087</v>
      </c>
      <c r="C203" s="112"/>
      <c r="D203" s="102"/>
      <c r="E203" s="73"/>
      <c r="F203" s="190">
        <f t="shared" si="65"/>
        <v>0</v>
      </c>
      <c r="G203" s="74">
        <f>36218</f>
        <v>36218</v>
      </c>
      <c r="H203" s="235"/>
      <c r="I203" s="208">
        <f t="shared" si="66"/>
        <v>36218</v>
      </c>
      <c r="J203" s="257"/>
      <c r="K203" s="235"/>
      <c r="L203" s="208">
        <f t="shared" si="67"/>
        <v>36218</v>
      </c>
      <c r="M203" s="257"/>
      <c r="N203" s="235"/>
      <c r="O203" s="208">
        <f t="shared" si="68"/>
        <v>36218</v>
      </c>
      <c r="P203" s="292"/>
      <c r="Q203" s="167"/>
    </row>
    <row r="204" spans="1:17" ht="12.75">
      <c r="A204" s="36" t="s">
        <v>295</v>
      </c>
      <c r="B204" s="57">
        <v>33086</v>
      </c>
      <c r="C204" s="112"/>
      <c r="D204" s="102"/>
      <c r="E204" s="73"/>
      <c r="F204" s="190">
        <f t="shared" si="65"/>
        <v>0</v>
      </c>
      <c r="G204" s="74">
        <f>20208</f>
        <v>20208</v>
      </c>
      <c r="H204" s="235"/>
      <c r="I204" s="208">
        <f t="shared" si="66"/>
        <v>20208</v>
      </c>
      <c r="J204" s="257"/>
      <c r="K204" s="235"/>
      <c r="L204" s="208">
        <f t="shared" si="67"/>
        <v>20208</v>
      </c>
      <c r="M204" s="257"/>
      <c r="N204" s="235"/>
      <c r="O204" s="208">
        <f t="shared" si="68"/>
        <v>20208</v>
      </c>
      <c r="P204" s="292"/>
      <c r="Q204" s="167"/>
    </row>
    <row r="205" spans="1:17" ht="12.75">
      <c r="A205" s="36" t="s">
        <v>339</v>
      </c>
      <c r="B205" s="57">
        <v>33088</v>
      </c>
      <c r="C205" s="112"/>
      <c r="D205" s="102"/>
      <c r="E205" s="73"/>
      <c r="F205" s="190">
        <f t="shared" si="65"/>
        <v>0</v>
      </c>
      <c r="G205" s="74">
        <f>21575</f>
        <v>21575</v>
      </c>
      <c r="H205" s="235"/>
      <c r="I205" s="208">
        <f t="shared" si="66"/>
        <v>21575</v>
      </c>
      <c r="J205" s="257"/>
      <c r="K205" s="235"/>
      <c r="L205" s="208">
        <f t="shared" si="67"/>
        <v>21575</v>
      </c>
      <c r="M205" s="257"/>
      <c r="N205" s="235"/>
      <c r="O205" s="208">
        <f t="shared" si="68"/>
        <v>21575</v>
      </c>
      <c r="P205" s="292"/>
      <c r="Q205" s="167"/>
    </row>
    <row r="206" spans="1:17" ht="12.75">
      <c r="A206" s="36" t="s">
        <v>356</v>
      </c>
      <c r="B206" s="57">
        <v>33093</v>
      </c>
      <c r="C206" s="112"/>
      <c r="D206" s="102"/>
      <c r="E206" s="73"/>
      <c r="F206" s="190">
        <f t="shared" si="65"/>
        <v>0</v>
      </c>
      <c r="G206" s="74">
        <f>600+150</f>
        <v>750</v>
      </c>
      <c r="H206" s="235"/>
      <c r="I206" s="208">
        <f t="shared" si="66"/>
        <v>750</v>
      </c>
      <c r="J206" s="257">
        <f>375</f>
        <v>375</v>
      </c>
      <c r="K206" s="235"/>
      <c r="L206" s="208">
        <f t="shared" si="67"/>
        <v>1125</v>
      </c>
      <c r="M206" s="257"/>
      <c r="N206" s="235"/>
      <c r="O206" s="208">
        <f t="shared" si="68"/>
        <v>1125</v>
      </c>
      <c r="P206" s="292"/>
      <c r="Q206" s="167"/>
    </row>
    <row r="207" spans="1:17" ht="12.75">
      <c r="A207" s="278" t="s">
        <v>360</v>
      </c>
      <c r="B207" s="57">
        <v>33160</v>
      </c>
      <c r="C207" s="112"/>
      <c r="D207" s="102"/>
      <c r="E207" s="73"/>
      <c r="F207" s="190"/>
      <c r="G207" s="74"/>
      <c r="H207" s="235"/>
      <c r="I207" s="208">
        <f t="shared" si="66"/>
        <v>0</v>
      </c>
      <c r="J207" s="257">
        <f>268.27</f>
        <v>268.27</v>
      </c>
      <c r="K207" s="235"/>
      <c r="L207" s="208">
        <f t="shared" si="67"/>
        <v>268.27</v>
      </c>
      <c r="M207" s="257"/>
      <c r="N207" s="235"/>
      <c r="O207" s="208">
        <f t="shared" si="68"/>
        <v>268.27</v>
      </c>
      <c r="P207" s="292"/>
      <c r="Q207" s="167"/>
    </row>
    <row r="208" spans="1:17" ht="12.75">
      <c r="A208" s="287" t="s">
        <v>377</v>
      </c>
      <c r="B208" s="57">
        <v>33351</v>
      </c>
      <c r="C208" s="112"/>
      <c r="D208" s="102"/>
      <c r="E208" s="73"/>
      <c r="F208" s="190"/>
      <c r="G208" s="74"/>
      <c r="H208" s="235"/>
      <c r="I208" s="208"/>
      <c r="J208" s="257"/>
      <c r="K208" s="235"/>
      <c r="L208" s="208">
        <f t="shared" si="67"/>
        <v>0</v>
      </c>
      <c r="M208" s="257">
        <f>1271.05</f>
        <v>1271.05</v>
      </c>
      <c r="N208" s="235"/>
      <c r="O208" s="208">
        <f t="shared" si="68"/>
        <v>1271.05</v>
      </c>
      <c r="P208" s="292"/>
      <c r="Q208" s="167"/>
    </row>
    <row r="209" spans="1:17" ht="12.75" hidden="1">
      <c r="A209" s="36" t="s">
        <v>133</v>
      </c>
      <c r="B209" s="57"/>
      <c r="C209" s="112"/>
      <c r="D209" s="102"/>
      <c r="E209" s="73"/>
      <c r="F209" s="190">
        <f t="shared" si="65"/>
        <v>0</v>
      </c>
      <c r="G209" s="74"/>
      <c r="H209" s="235"/>
      <c r="I209" s="208">
        <f t="shared" si="66"/>
        <v>0</v>
      </c>
      <c r="J209" s="257"/>
      <c r="K209" s="235"/>
      <c r="L209" s="208">
        <f t="shared" si="67"/>
        <v>0</v>
      </c>
      <c r="M209" s="257"/>
      <c r="N209" s="235"/>
      <c r="O209" s="208">
        <f t="shared" si="68"/>
        <v>0</v>
      </c>
      <c r="P209" s="292"/>
      <c r="Q209" s="167">
        <f t="shared" si="62"/>
        <v>0</v>
      </c>
    </row>
    <row r="210" spans="1:17" ht="12.75" hidden="1">
      <c r="A210" s="20" t="s">
        <v>78</v>
      </c>
      <c r="B210" s="57">
        <v>33025</v>
      </c>
      <c r="C210" s="112"/>
      <c r="D210" s="102"/>
      <c r="E210" s="73"/>
      <c r="F210" s="190">
        <f t="shared" si="65"/>
        <v>0</v>
      </c>
      <c r="G210" s="74"/>
      <c r="H210" s="235"/>
      <c r="I210" s="208">
        <f t="shared" si="66"/>
        <v>0</v>
      </c>
      <c r="J210" s="257"/>
      <c r="K210" s="235"/>
      <c r="L210" s="208">
        <f t="shared" si="67"/>
        <v>0</v>
      </c>
      <c r="M210" s="257"/>
      <c r="N210" s="235"/>
      <c r="O210" s="208">
        <f t="shared" si="68"/>
        <v>0</v>
      </c>
      <c r="P210" s="292"/>
      <c r="Q210" s="167">
        <f t="shared" si="62"/>
        <v>0</v>
      </c>
    </row>
    <row r="211" spans="1:17" ht="12.75" hidden="1">
      <c r="A211" s="20" t="s">
        <v>154</v>
      </c>
      <c r="B211" s="57">
        <v>33038</v>
      </c>
      <c r="C211" s="112"/>
      <c r="D211" s="102"/>
      <c r="E211" s="73"/>
      <c r="F211" s="190">
        <f t="shared" si="65"/>
        <v>0</v>
      </c>
      <c r="G211" s="74"/>
      <c r="H211" s="235"/>
      <c r="I211" s="208">
        <f t="shared" si="66"/>
        <v>0</v>
      </c>
      <c r="J211" s="257"/>
      <c r="K211" s="235"/>
      <c r="L211" s="208">
        <f t="shared" si="67"/>
        <v>0</v>
      </c>
      <c r="M211" s="257"/>
      <c r="N211" s="235"/>
      <c r="O211" s="208">
        <f t="shared" si="68"/>
        <v>0</v>
      </c>
      <c r="P211" s="292"/>
      <c r="Q211" s="167">
        <f t="shared" si="62"/>
        <v>0</v>
      </c>
    </row>
    <row r="212" spans="1:17" ht="12.75">
      <c r="A212" s="20" t="s">
        <v>335</v>
      </c>
      <c r="B212" s="57" t="s">
        <v>373</v>
      </c>
      <c r="C212" s="112"/>
      <c r="D212" s="102">
        <f>12646.55</f>
        <v>12646.55</v>
      </c>
      <c r="E212" s="73"/>
      <c r="F212" s="190">
        <f t="shared" si="65"/>
        <v>12646.55</v>
      </c>
      <c r="G212" s="74">
        <f>82194.23+1663.5</f>
        <v>83857.73</v>
      </c>
      <c r="H212" s="235"/>
      <c r="I212" s="208">
        <f t="shared" si="66"/>
        <v>96504.28</v>
      </c>
      <c r="J212" s="257">
        <f>30476.12</f>
        <v>30476.12</v>
      </c>
      <c r="K212" s="235"/>
      <c r="L212" s="208">
        <f t="shared" si="67"/>
        <v>126980.4</v>
      </c>
      <c r="M212" s="257">
        <f>397.98+3799.25</f>
        <v>4197.23</v>
      </c>
      <c r="N212" s="235"/>
      <c r="O212" s="208">
        <f t="shared" si="68"/>
        <v>131177.63</v>
      </c>
      <c r="P212" s="292"/>
      <c r="Q212" s="167">
        <f t="shared" si="62"/>
        <v>131177.63</v>
      </c>
    </row>
    <row r="213" spans="1:17" ht="12.75">
      <c r="A213" s="20" t="s">
        <v>330</v>
      </c>
      <c r="B213" s="57">
        <v>33167</v>
      </c>
      <c r="C213" s="112"/>
      <c r="D213" s="102">
        <f>15000</f>
        <v>15000</v>
      </c>
      <c r="E213" s="73"/>
      <c r="F213" s="190">
        <f t="shared" si="65"/>
        <v>15000</v>
      </c>
      <c r="G213" s="74"/>
      <c r="H213" s="235"/>
      <c r="I213" s="208">
        <f t="shared" si="66"/>
        <v>15000</v>
      </c>
      <c r="J213" s="257">
        <f>-10005.73</f>
        <v>-10005.73</v>
      </c>
      <c r="K213" s="235"/>
      <c r="L213" s="208">
        <f t="shared" si="67"/>
        <v>4994.27</v>
      </c>
      <c r="M213" s="257"/>
      <c r="N213" s="235"/>
      <c r="O213" s="208">
        <f t="shared" si="68"/>
        <v>4994.27</v>
      </c>
      <c r="P213" s="292"/>
      <c r="Q213" s="167"/>
    </row>
    <row r="214" spans="1:17" ht="12.75">
      <c r="A214" s="20" t="s">
        <v>346</v>
      </c>
      <c r="B214" s="57">
        <v>13305</v>
      </c>
      <c r="C214" s="112"/>
      <c r="D214" s="102"/>
      <c r="E214" s="73"/>
      <c r="F214" s="190">
        <f t="shared" si="65"/>
        <v>0</v>
      </c>
      <c r="G214" s="74">
        <f>5674.87</f>
        <v>5674.87</v>
      </c>
      <c r="H214" s="235"/>
      <c r="I214" s="208">
        <f t="shared" si="66"/>
        <v>5674.87</v>
      </c>
      <c r="J214" s="257">
        <f>3783.25</f>
        <v>3783.25</v>
      </c>
      <c r="K214" s="235"/>
      <c r="L214" s="208">
        <f t="shared" si="67"/>
        <v>9458.119999999999</v>
      </c>
      <c r="M214" s="257"/>
      <c r="N214" s="235"/>
      <c r="O214" s="208">
        <f t="shared" si="68"/>
        <v>9458.119999999999</v>
      </c>
      <c r="P214" s="292"/>
      <c r="Q214" s="167"/>
    </row>
    <row r="215" spans="1:17" ht="12.75">
      <c r="A215" s="20" t="s">
        <v>341</v>
      </c>
      <c r="B215" s="228" t="s">
        <v>342</v>
      </c>
      <c r="C215" s="112"/>
      <c r="D215" s="102"/>
      <c r="E215" s="73"/>
      <c r="F215" s="190">
        <f t="shared" si="65"/>
        <v>0</v>
      </c>
      <c r="G215" s="74">
        <f>153.78+871.4</f>
        <v>1025.18</v>
      </c>
      <c r="H215" s="235"/>
      <c r="I215" s="208">
        <f t="shared" si="66"/>
        <v>1025.18</v>
      </c>
      <c r="J215" s="257"/>
      <c r="K215" s="235"/>
      <c r="L215" s="208">
        <f t="shared" si="67"/>
        <v>1025.18</v>
      </c>
      <c r="M215" s="257"/>
      <c r="N215" s="235"/>
      <c r="O215" s="208">
        <f t="shared" si="68"/>
        <v>1025.18</v>
      </c>
      <c r="P215" s="292"/>
      <c r="Q215" s="167"/>
    </row>
    <row r="216" spans="1:17" ht="12.75" hidden="1">
      <c r="A216" s="20" t="s">
        <v>242</v>
      </c>
      <c r="B216" s="279" t="s">
        <v>243</v>
      </c>
      <c r="C216" s="112"/>
      <c r="D216" s="102"/>
      <c r="E216" s="73"/>
      <c r="F216" s="190">
        <f t="shared" si="65"/>
        <v>0</v>
      </c>
      <c r="G216" s="74"/>
      <c r="H216" s="235"/>
      <c r="I216" s="208">
        <f t="shared" si="66"/>
        <v>0</v>
      </c>
      <c r="J216" s="257"/>
      <c r="K216" s="235"/>
      <c r="L216" s="208">
        <f t="shared" si="67"/>
        <v>0</v>
      </c>
      <c r="M216" s="257"/>
      <c r="N216" s="235"/>
      <c r="O216" s="208">
        <f t="shared" si="68"/>
        <v>0</v>
      </c>
      <c r="P216" s="292"/>
      <c r="Q216" s="167">
        <f t="shared" si="62"/>
        <v>0</v>
      </c>
    </row>
    <row r="217" spans="1:17" ht="12.75" hidden="1">
      <c r="A217" s="20" t="s">
        <v>290</v>
      </c>
      <c r="B217" s="57"/>
      <c r="C217" s="112"/>
      <c r="D217" s="102"/>
      <c r="E217" s="73"/>
      <c r="F217" s="190">
        <f t="shared" si="65"/>
        <v>0</v>
      </c>
      <c r="G217" s="74"/>
      <c r="H217" s="235"/>
      <c r="I217" s="208">
        <f t="shared" si="66"/>
        <v>0</v>
      </c>
      <c r="J217" s="257"/>
      <c r="K217" s="235"/>
      <c r="L217" s="208">
        <f t="shared" si="67"/>
        <v>0</v>
      </c>
      <c r="M217" s="257"/>
      <c r="N217" s="235"/>
      <c r="O217" s="208">
        <f t="shared" si="68"/>
        <v>0</v>
      </c>
      <c r="P217" s="292"/>
      <c r="Q217" s="167">
        <f t="shared" si="62"/>
        <v>0</v>
      </c>
    </row>
    <row r="218" spans="1:17" ht="12.75">
      <c r="A218" s="20" t="s">
        <v>351</v>
      </c>
      <c r="B218" s="57"/>
      <c r="C218" s="112"/>
      <c r="D218" s="102"/>
      <c r="E218" s="73"/>
      <c r="F218" s="190">
        <f t="shared" si="65"/>
        <v>0</v>
      </c>
      <c r="G218" s="74">
        <f>6.89+12.28+3.92</f>
        <v>23.089999999999996</v>
      </c>
      <c r="H218" s="235"/>
      <c r="I218" s="208">
        <f t="shared" si="66"/>
        <v>23.089999999999996</v>
      </c>
      <c r="J218" s="257"/>
      <c r="K218" s="235"/>
      <c r="L218" s="208">
        <f t="shared" si="67"/>
        <v>23.089999999999996</v>
      </c>
      <c r="M218" s="257"/>
      <c r="N218" s="235"/>
      <c r="O218" s="208">
        <f t="shared" si="68"/>
        <v>23.089999999999996</v>
      </c>
      <c r="P218" s="292"/>
      <c r="Q218" s="167"/>
    </row>
    <row r="219" spans="1:17" ht="12.75">
      <c r="A219" s="20" t="s">
        <v>329</v>
      </c>
      <c r="B219" s="279" t="s">
        <v>243</v>
      </c>
      <c r="C219" s="112"/>
      <c r="D219" s="102">
        <f>754.79</f>
        <v>754.79</v>
      </c>
      <c r="E219" s="73"/>
      <c r="F219" s="190">
        <f t="shared" si="65"/>
        <v>754.79</v>
      </c>
      <c r="G219" s="74">
        <f>13.41+228</f>
        <v>241.41</v>
      </c>
      <c r="H219" s="235"/>
      <c r="I219" s="208">
        <f t="shared" si="66"/>
        <v>996.1999999999999</v>
      </c>
      <c r="J219" s="257">
        <f>36.32+1002.11</f>
        <v>1038.43</v>
      </c>
      <c r="K219" s="235"/>
      <c r="L219" s="208">
        <f t="shared" si="67"/>
        <v>2034.63</v>
      </c>
      <c r="M219" s="257"/>
      <c r="N219" s="235"/>
      <c r="O219" s="208">
        <f t="shared" si="68"/>
        <v>2034.63</v>
      </c>
      <c r="P219" s="292"/>
      <c r="Q219" s="167"/>
    </row>
    <row r="220" spans="1:17" ht="12.75">
      <c r="A220" s="20" t="s">
        <v>312</v>
      </c>
      <c r="B220" s="57">
        <v>2054</v>
      </c>
      <c r="C220" s="112"/>
      <c r="D220" s="102">
        <f>3552.18</f>
        <v>3552.18</v>
      </c>
      <c r="E220" s="73"/>
      <c r="F220" s="190">
        <f t="shared" si="65"/>
        <v>3552.18</v>
      </c>
      <c r="G220" s="74"/>
      <c r="H220" s="235"/>
      <c r="I220" s="208">
        <f t="shared" si="66"/>
        <v>3552.18</v>
      </c>
      <c r="J220" s="257"/>
      <c r="K220" s="235"/>
      <c r="L220" s="208">
        <f t="shared" si="67"/>
        <v>3552.18</v>
      </c>
      <c r="M220" s="257"/>
      <c r="N220" s="235"/>
      <c r="O220" s="208">
        <f t="shared" si="68"/>
        <v>3552.18</v>
      </c>
      <c r="P220" s="292"/>
      <c r="Q220" s="167">
        <f t="shared" si="62"/>
        <v>3552.18</v>
      </c>
    </row>
    <row r="221" spans="1:17" ht="12.75">
      <c r="A221" s="20" t="s">
        <v>314</v>
      </c>
      <c r="B221" s="57"/>
      <c r="C221" s="112"/>
      <c r="D221" s="102">
        <f>2429.34</f>
        <v>2429.34</v>
      </c>
      <c r="E221" s="73"/>
      <c r="F221" s="190">
        <f t="shared" si="65"/>
        <v>2429.34</v>
      </c>
      <c r="G221" s="74"/>
      <c r="H221" s="235"/>
      <c r="I221" s="208">
        <f t="shared" si="66"/>
        <v>2429.34</v>
      </c>
      <c r="J221" s="257"/>
      <c r="K221" s="235"/>
      <c r="L221" s="208">
        <f t="shared" si="67"/>
        <v>2429.34</v>
      </c>
      <c r="M221" s="257"/>
      <c r="N221" s="235"/>
      <c r="O221" s="208">
        <f t="shared" si="68"/>
        <v>2429.34</v>
      </c>
      <c r="P221" s="292"/>
      <c r="Q221" s="167"/>
    </row>
    <row r="222" spans="1:17" ht="12.75">
      <c r="A222" s="20" t="s">
        <v>340</v>
      </c>
      <c r="B222" s="57"/>
      <c r="C222" s="112"/>
      <c r="D222" s="102"/>
      <c r="E222" s="73"/>
      <c r="F222" s="190">
        <f t="shared" si="65"/>
        <v>0</v>
      </c>
      <c r="G222" s="74">
        <f>1974.38</f>
        <v>1974.38</v>
      </c>
      <c r="H222" s="235"/>
      <c r="I222" s="208">
        <f t="shared" si="66"/>
        <v>1974.38</v>
      </c>
      <c r="J222" s="257"/>
      <c r="K222" s="235"/>
      <c r="L222" s="208">
        <f t="shared" si="67"/>
        <v>1974.38</v>
      </c>
      <c r="M222" s="257">
        <f>758.58</f>
        <v>758.58</v>
      </c>
      <c r="N222" s="235"/>
      <c r="O222" s="208">
        <f t="shared" si="68"/>
        <v>2732.96</v>
      </c>
      <c r="P222" s="292"/>
      <c r="Q222" s="167"/>
    </row>
    <row r="223" spans="1:17" ht="12.75">
      <c r="A223" s="20" t="s">
        <v>313</v>
      </c>
      <c r="B223" s="57">
        <v>2066</v>
      </c>
      <c r="C223" s="112"/>
      <c r="D223" s="102">
        <f>18909.29</f>
        <v>18909.29</v>
      </c>
      <c r="E223" s="73"/>
      <c r="F223" s="190">
        <f t="shared" si="65"/>
        <v>18909.29</v>
      </c>
      <c r="G223" s="74"/>
      <c r="H223" s="235"/>
      <c r="I223" s="208">
        <f t="shared" si="66"/>
        <v>18909.29</v>
      </c>
      <c r="J223" s="257"/>
      <c r="K223" s="235"/>
      <c r="L223" s="208">
        <f t="shared" si="67"/>
        <v>18909.29</v>
      </c>
      <c r="M223" s="257"/>
      <c r="N223" s="235"/>
      <c r="O223" s="208">
        <f t="shared" si="68"/>
        <v>18909.29</v>
      </c>
      <c r="P223" s="292"/>
      <c r="Q223" s="167">
        <f t="shared" si="62"/>
        <v>18909.29</v>
      </c>
    </row>
    <row r="224" spans="1:17" ht="12.75">
      <c r="A224" s="20" t="s">
        <v>352</v>
      </c>
      <c r="B224" s="57"/>
      <c r="C224" s="112"/>
      <c r="D224" s="102"/>
      <c r="E224" s="73"/>
      <c r="F224" s="190">
        <f t="shared" si="65"/>
        <v>0</v>
      </c>
      <c r="G224" s="74">
        <f>28283.24</f>
        <v>28283.24</v>
      </c>
      <c r="H224" s="235"/>
      <c r="I224" s="208">
        <f t="shared" si="66"/>
        <v>28283.24</v>
      </c>
      <c r="J224" s="257">
        <f>19829.14</f>
        <v>19829.14</v>
      </c>
      <c r="K224" s="235"/>
      <c r="L224" s="208">
        <f t="shared" si="67"/>
        <v>48112.380000000005</v>
      </c>
      <c r="M224" s="257"/>
      <c r="N224" s="235"/>
      <c r="O224" s="208">
        <f t="shared" si="68"/>
        <v>48112.380000000005</v>
      </c>
      <c r="P224" s="292"/>
      <c r="Q224" s="167"/>
    </row>
    <row r="225" spans="1:17" ht="12.75">
      <c r="A225" s="20" t="s">
        <v>71</v>
      </c>
      <c r="B225" s="108" t="s">
        <v>240</v>
      </c>
      <c r="C225" s="112">
        <v>6820</v>
      </c>
      <c r="D225" s="102">
        <f>2000+12054.72+345.99+3113.45+17829.24</f>
        <v>35343.4</v>
      </c>
      <c r="E225" s="73"/>
      <c r="F225" s="190">
        <f t="shared" si="65"/>
        <v>42163.4</v>
      </c>
      <c r="G225" s="74">
        <f>-6664</f>
        <v>-6664</v>
      </c>
      <c r="H225" s="235"/>
      <c r="I225" s="208">
        <f>F225+G225+H225</f>
        <v>35499.4</v>
      </c>
      <c r="J225" s="257">
        <f>28729.18</f>
        <v>28729.18</v>
      </c>
      <c r="K225" s="235"/>
      <c r="L225" s="208">
        <f t="shared" si="67"/>
        <v>64228.58</v>
      </c>
      <c r="M225" s="260">
        <f>200</f>
        <v>200</v>
      </c>
      <c r="N225" s="235"/>
      <c r="O225" s="208">
        <f t="shared" si="68"/>
        <v>64428.58</v>
      </c>
      <c r="P225" s="292"/>
      <c r="Q225" s="167">
        <f t="shared" si="62"/>
        <v>64428.58</v>
      </c>
    </row>
    <row r="226" spans="1:17" ht="12.75">
      <c r="A226" s="20" t="s">
        <v>50</v>
      </c>
      <c r="B226" s="57"/>
      <c r="C226" s="112">
        <v>56295.41</v>
      </c>
      <c r="D226" s="102">
        <f>1474+6205.78+2500-16092.87+5000+20000+10000+6000</f>
        <v>35086.909999999996</v>
      </c>
      <c r="E226" s="73"/>
      <c r="F226" s="190">
        <f t="shared" si="65"/>
        <v>91382.32</v>
      </c>
      <c r="G226" s="74">
        <f>-6500-49354.21-392.46</f>
        <v>-56246.67</v>
      </c>
      <c r="H226" s="235"/>
      <c r="I226" s="208">
        <f>F226+G226+H226</f>
        <v>35135.65000000001</v>
      </c>
      <c r="J226" s="257">
        <f>891.89-4250-500</f>
        <v>-3858.11</v>
      </c>
      <c r="K226" s="235"/>
      <c r="L226" s="208">
        <f>I226+J226+K226</f>
        <v>31277.540000000008</v>
      </c>
      <c r="M226" s="260">
        <f>-10410.83-473.46</f>
        <v>-10884.289999999999</v>
      </c>
      <c r="N226" s="235"/>
      <c r="O226" s="208">
        <f t="shared" si="68"/>
        <v>20393.250000000007</v>
      </c>
      <c r="P226" s="292"/>
      <c r="Q226" s="167">
        <f t="shared" si="62"/>
        <v>20393.250000000007</v>
      </c>
    </row>
    <row r="227" spans="1:17" ht="12.75">
      <c r="A227" s="23" t="s">
        <v>52</v>
      </c>
      <c r="B227" s="61"/>
      <c r="C227" s="116">
        <f>SUM(C229:C236)</f>
        <v>740</v>
      </c>
      <c r="D227" s="106">
        <f aca="true" t="shared" si="69" ref="D227:Q227">SUM(D229:D236)</f>
        <v>7627.6</v>
      </c>
      <c r="E227" s="83">
        <f t="shared" si="69"/>
        <v>0</v>
      </c>
      <c r="F227" s="194">
        <f t="shared" si="69"/>
        <v>8367.6</v>
      </c>
      <c r="G227" s="82">
        <f t="shared" si="69"/>
        <v>12447.76</v>
      </c>
      <c r="H227" s="240">
        <f t="shared" si="69"/>
        <v>0</v>
      </c>
      <c r="I227" s="212">
        <f t="shared" si="69"/>
        <v>20815.36</v>
      </c>
      <c r="J227" s="263">
        <f t="shared" si="69"/>
        <v>-12.46</v>
      </c>
      <c r="K227" s="240">
        <f t="shared" si="69"/>
        <v>0</v>
      </c>
      <c r="L227" s="212">
        <f t="shared" si="69"/>
        <v>20802.9</v>
      </c>
      <c r="M227" s="263">
        <f t="shared" si="69"/>
        <v>6048.0599999999995</v>
      </c>
      <c r="N227" s="240">
        <f t="shared" si="69"/>
        <v>0</v>
      </c>
      <c r="O227" s="212">
        <f t="shared" si="69"/>
        <v>26850.96</v>
      </c>
      <c r="P227" s="106">
        <f t="shared" si="69"/>
        <v>0</v>
      </c>
      <c r="Q227" s="155">
        <f t="shared" si="69"/>
        <v>26634.199999999997</v>
      </c>
    </row>
    <row r="228" spans="1:17" ht="12.75">
      <c r="A228" s="18" t="s">
        <v>26</v>
      </c>
      <c r="B228" s="57"/>
      <c r="C228" s="112"/>
      <c r="D228" s="102"/>
      <c r="E228" s="73"/>
      <c r="F228" s="190"/>
      <c r="G228" s="74"/>
      <c r="H228" s="235"/>
      <c r="I228" s="207"/>
      <c r="J228" s="257"/>
      <c r="K228" s="235"/>
      <c r="L228" s="207"/>
      <c r="M228" s="257"/>
      <c r="N228" s="235"/>
      <c r="O228" s="207"/>
      <c r="P228" s="292"/>
      <c r="Q228" s="167"/>
    </row>
    <row r="229" spans="1:17" ht="12.75">
      <c r="A229" s="20" t="s">
        <v>79</v>
      </c>
      <c r="B229" s="57"/>
      <c r="C229" s="112">
        <v>740</v>
      </c>
      <c r="D229" s="102">
        <f>591+424.61</f>
        <v>1015.61</v>
      </c>
      <c r="E229" s="73"/>
      <c r="F229" s="190">
        <f aca="true" t="shared" si="70" ref="F229:F236">C229+D229+E229</f>
        <v>1755.6100000000001</v>
      </c>
      <c r="G229" s="74">
        <f>5567</f>
        <v>5567</v>
      </c>
      <c r="H229" s="235"/>
      <c r="I229" s="208">
        <f aca="true" t="shared" si="71" ref="I229:I236">F229+G229+H229</f>
        <v>7322.610000000001</v>
      </c>
      <c r="J229" s="257">
        <f>-12.46</f>
        <v>-12.46</v>
      </c>
      <c r="K229" s="235"/>
      <c r="L229" s="208">
        <f aca="true" t="shared" si="72" ref="L229:L236">I229+J229+K229</f>
        <v>7310.150000000001</v>
      </c>
      <c r="M229" s="257">
        <f>2851.31+3196.75</f>
        <v>6048.0599999999995</v>
      </c>
      <c r="N229" s="235"/>
      <c r="O229" s="208">
        <f aca="true" t="shared" si="73" ref="O229:O236">L229+M229+N229</f>
        <v>13358.21</v>
      </c>
      <c r="P229" s="292"/>
      <c r="Q229" s="167">
        <f t="shared" si="62"/>
        <v>13358.21</v>
      </c>
    </row>
    <row r="230" spans="1:17" ht="12.75" hidden="1">
      <c r="A230" s="20" t="s">
        <v>242</v>
      </c>
      <c r="B230" s="57" t="s">
        <v>244</v>
      </c>
      <c r="C230" s="112"/>
      <c r="D230" s="102"/>
      <c r="E230" s="73"/>
      <c r="F230" s="190">
        <f t="shared" si="70"/>
        <v>0</v>
      </c>
      <c r="G230" s="74"/>
      <c r="H230" s="235"/>
      <c r="I230" s="208">
        <f t="shared" si="71"/>
        <v>0</v>
      </c>
      <c r="J230" s="257"/>
      <c r="K230" s="235"/>
      <c r="L230" s="208">
        <f t="shared" si="72"/>
        <v>0</v>
      </c>
      <c r="M230" s="257"/>
      <c r="N230" s="235"/>
      <c r="O230" s="208">
        <f t="shared" si="73"/>
        <v>0</v>
      </c>
      <c r="P230" s="292"/>
      <c r="Q230" s="167">
        <f t="shared" si="62"/>
        <v>0</v>
      </c>
    </row>
    <row r="231" spans="1:17" ht="12.75">
      <c r="A231" s="20" t="s">
        <v>313</v>
      </c>
      <c r="B231" s="57"/>
      <c r="C231" s="112"/>
      <c r="D231" s="102">
        <f>1918.64</f>
        <v>1918.64</v>
      </c>
      <c r="E231" s="73"/>
      <c r="F231" s="190">
        <f t="shared" si="70"/>
        <v>1918.64</v>
      </c>
      <c r="G231" s="74"/>
      <c r="H231" s="235"/>
      <c r="I231" s="208">
        <f t="shared" si="71"/>
        <v>1918.64</v>
      </c>
      <c r="J231" s="257"/>
      <c r="K231" s="235"/>
      <c r="L231" s="208">
        <f t="shared" si="72"/>
        <v>1918.64</v>
      </c>
      <c r="M231" s="257"/>
      <c r="N231" s="235"/>
      <c r="O231" s="208">
        <f t="shared" si="73"/>
        <v>1918.64</v>
      </c>
      <c r="P231" s="292"/>
      <c r="Q231" s="167">
        <f t="shared" si="62"/>
        <v>1918.64</v>
      </c>
    </row>
    <row r="232" spans="1:17" ht="12.75">
      <c r="A232" s="20" t="s">
        <v>352</v>
      </c>
      <c r="B232" s="57"/>
      <c r="C232" s="112"/>
      <c r="D232" s="102"/>
      <c r="E232" s="73"/>
      <c r="F232" s="190">
        <f t="shared" si="70"/>
        <v>0</v>
      </c>
      <c r="G232" s="74">
        <f>216.76</f>
        <v>216.76</v>
      </c>
      <c r="H232" s="235"/>
      <c r="I232" s="208">
        <f t="shared" si="71"/>
        <v>216.76</v>
      </c>
      <c r="J232" s="257"/>
      <c r="K232" s="235"/>
      <c r="L232" s="208">
        <f t="shared" si="72"/>
        <v>216.76</v>
      </c>
      <c r="M232" s="257"/>
      <c r="N232" s="235"/>
      <c r="O232" s="208">
        <f t="shared" si="73"/>
        <v>216.76</v>
      </c>
      <c r="P232" s="292"/>
      <c r="Q232" s="167"/>
    </row>
    <row r="233" spans="1:17" ht="12.75" hidden="1">
      <c r="A233" s="20" t="s">
        <v>64</v>
      </c>
      <c r="B233" s="57"/>
      <c r="C233" s="112"/>
      <c r="D233" s="102"/>
      <c r="E233" s="73"/>
      <c r="F233" s="190">
        <f t="shared" si="70"/>
        <v>0</v>
      </c>
      <c r="G233" s="74"/>
      <c r="H233" s="235"/>
      <c r="I233" s="208">
        <f t="shared" si="71"/>
        <v>0</v>
      </c>
      <c r="J233" s="257"/>
      <c r="K233" s="235"/>
      <c r="L233" s="208">
        <f t="shared" si="72"/>
        <v>0</v>
      </c>
      <c r="M233" s="257"/>
      <c r="N233" s="235"/>
      <c r="O233" s="208">
        <f t="shared" si="73"/>
        <v>0</v>
      </c>
      <c r="P233" s="292"/>
      <c r="Q233" s="167">
        <f t="shared" si="62"/>
        <v>0</v>
      </c>
    </row>
    <row r="234" spans="1:17" ht="12.75" hidden="1">
      <c r="A234" s="20" t="s">
        <v>80</v>
      </c>
      <c r="B234" s="57"/>
      <c r="C234" s="112"/>
      <c r="D234" s="102"/>
      <c r="E234" s="73"/>
      <c r="F234" s="190">
        <f t="shared" si="70"/>
        <v>0</v>
      </c>
      <c r="G234" s="74"/>
      <c r="H234" s="235"/>
      <c r="I234" s="208">
        <f t="shared" si="71"/>
        <v>0</v>
      </c>
      <c r="J234" s="257"/>
      <c r="K234" s="235"/>
      <c r="L234" s="208">
        <f t="shared" si="72"/>
        <v>0</v>
      </c>
      <c r="M234" s="257"/>
      <c r="N234" s="235"/>
      <c r="O234" s="208">
        <f t="shared" si="73"/>
        <v>0</v>
      </c>
      <c r="P234" s="292"/>
      <c r="Q234" s="167">
        <f t="shared" si="62"/>
        <v>0</v>
      </c>
    </row>
    <row r="235" spans="1:17" ht="12.75" hidden="1">
      <c r="A235" s="20" t="s">
        <v>53</v>
      </c>
      <c r="B235" s="57"/>
      <c r="C235" s="112"/>
      <c r="D235" s="102"/>
      <c r="E235" s="73"/>
      <c r="F235" s="190">
        <f t="shared" si="70"/>
        <v>0</v>
      </c>
      <c r="G235" s="74"/>
      <c r="H235" s="235"/>
      <c r="I235" s="208">
        <f t="shared" si="71"/>
        <v>0</v>
      </c>
      <c r="J235" s="257"/>
      <c r="K235" s="243"/>
      <c r="L235" s="208">
        <f t="shared" si="72"/>
        <v>0</v>
      </c>
      <c r="M235" s="257"/>
      <c r="N235" s="235"/>
      <c r="O235" s="208">
        <f t="shared" si="73"/>
        <v>0</v>
      </c>
      <c r="P235" s="292"/>
      <c r="Q235" s="167">
        <f t="shared" si="62"/>
        <v>0</v>
      </c>
    </row>
    <row r="236" spans="1:17" ht="12.75">
      <c r="A236" s="26" t="s">
        <v>71</v>
      </c>
      <c r="B236" s="60"/>
      <c r="C236" s="181"/>
      <c r="D236" s="172">
        <f>4693.35</f>
        <v>4693.35</v>
      </c>
      <c r="E236" s="81"/>
      <c r="F236" s="195">
        <f t="shared" si="70"/>
        <v>4693.35</v>
      </c>
      <c r="G236" s="226">
        <f>6664</f>
        <v>6664</v>
      </c>
      <c r="H236" s="241"/>
      <c r="I236" s="213">
        <f t="shared" si="71"/>
        <v>11357.35</v>
      </c>
      <c r="J236" s="264"/>
      <c r="K236" s="282"/>
      <c r="L236" s="213">
        <f t="shared" si="72"/>
        <v>11357.35</v>
      </c>
      <c r="M236" s="264"/>
      <c r="N236" s="241"/>
      <c r="O236" s="213">
        <f t="shared" si="73"/>
        <v>11357.35</v>
      </c>
      <c r="P236" s="295"/>
      <c r="Q236" s="168">
        <f t="shared" si="62"/>
        <v>11357.35</v>
      </c>
    </row>
    <row r="237" spans="1:17" ht="12.75">
      <c r="A237" s="13" t="s">
        <v>81</v>
      </c>
      <c r="B237" s="61"/>
      <c r="C237" s="111">
        <f>C238+C250</f>
        <v>753600.5</v>
      </c>
      <c r="D237" s="92">
        <f aca="true" t="shared" si="74" ref="D237:Q237">D238+D250</f>
        <v>66483.95</v>
      </c>
      <c r="E237" s="72">
        <f t="shared" si="74"/>
        <v>0</v>
      </c>
      <c r="F237" s="189">
        <f t="shared" si="74"/>
        <v>820084.45</v>
      </c>
      <c r="G237" s="71">
        <f t="shared" si="74"/>
        <v>-65615.41</v>
      </c>
      <c r="H237" s="234">
        <f t="shared" si="74"/>
        <v>0</v>
      </c>
      <c r="I237" s="207">
        <f t="shared" si="74"/>
        <v>754469.0399999999</v>
      </c>
      <c r="J237" s="256">
        <f t="shared" si="74"/>
        <v>1000</v>
      </c>
      <c r="K237" s="234">
        <f t="shared" si="74"/>
        <v>0</v>
      </c>
      <c r="L237" s="207">
        <f t="shared" si="74"/>
        <v>755469.0399999999</v>
      </c>
      <c r="M237" s="256">
        <f t="shared" si="74"/>
        <v>-83732</v>
      </c>
      <c r="N237" s="234">
        <f t="shared" si="74"/>
        <v>-112376.97</v>
      </c>
      <c r="O237" s="207">
        <f t="shared" si="74"/>
        <v>559360.0700000001</v>
      </c>
      <c r="P237" s="92">
        <f t="shared" si="74"/>
        <v>0</v>
      </c>
      <c r="Q237" s="150">
        <f t="shared" si="74"/>
        <v>559360.0700000001</v>
      </c>
    </row>
    <row r="238" spans="1:17" ht="12.75">
      <c r="A238" s="22" t="s">
        <v>48</v>
      </c>
      <c r="B238" s="61"/>
      <c r="C238" s="115">
        <f>SUM(C240:C249)</f>
        <v>753600.5</v>
      </c>
      <c r="D238" s="105">
        <f aca="true" t="shared" si="75" ref="D238:Q238">SUM(D240:D249)</f>
        <v>65515</v>
      </c>
      <c r="E238" s="80">
        <f t="shared" si="75"/>
        <v>0</v>
      </c>
      <c r="F238" s="193">
        <f t="shared" si="75"/>
        <v>819115.5</v>
      </c>
      <c r="G238" s="79">
        <f t="shared" si="75"/>
        <v>-65615.41</v>
      </c>
      <c r="H238" s="239">
        <f t="shared" si="75"/>
        <v>0</v>
      </c>
      <c r="I238" s="211">
        <f t="shared" si="75"/>
        <v>753500.09</v>
      </c>
      <c r="J238" s="262">
        <f t="shared" si="75"/>
        <v>-59000</v>
      </c>
      <c r="K238" s="239">
        <f t="shared" si="75"/>
        <v>-8000</v>
      </c>
      <c r="L238" s="211">
        <f t="shared" si="75"/>
        <v>686500.09</v>
      </c>
      <c r="M238" s="262">
        <f t="shared" si="75"/>
        <v>-33732</v>
      </c>
      <c r="N238" s="239">
        <f t="shared" si="75"/>
        <v>-191376.97</v>
      </c>
      <c r="O238" s="211">
        <f t="shared" si="75"/>
        <v>461391.12000000005</v>
      </c>
      <c r="P238" s="105">
        <f t="shared" si="75"/>
        <v>0</v>
      </c>
      <c r="Q238" s="154">
        <f t="shared" si="75"/>
        <v>461391.12000000005</v>
      </c>
    </row>
    <row r="239" spans="1:17" ht="12.75">
      <c r="A239" s="18" t="s">
        <v>26</v>
      </c>
      <c r="B239" s="57"/>
      <c r="C239" s="112"/>
      <c r="D239" s="102"/>
      <c r="E239" s="73"/>
      <c r="F239" s="189"/>
      <c r="G239" s="74"/>
      <c r="H239" s="235"/>
      <c r="I239" s="207"/>
      <c r="J239" s="257"/>
      <c r="K239" s="235"/>
      <c r="L239" s="207"/>
      <c r="M239" s="257"/>
      <c r="N239" s="235"/>
      <c r="O239" s="207"/>
      <c r="P239" s="292"/>
      <c r="Q239" s="167"/>
    </row>
    <row r="240" spans="1:17" ht="12.75">
      <c r="A240" s="15" t="s">
        <v>68</v>
      </c>
      <c r="B240" s="57"/>
      <c r="C240" s="112">
        <v>371000</v>
      </c>
      <c r="D240" s="102">
        <f>1095</f>
        <v>1095</v>
      </c>
      <c r="E240" s="73"/>
      <c r="F240" s="190">
        <f aca="true" t="shared" si="76" ref="F240:F249">C240+D240+E240</f>
        <v>372095</v>
      </c>
      <c r="G240" s="74">
        <f>-70000</f>
        <v>-70000</v>
      </c>
      <c r="H240" s="235"/>
      <c r="I240" s="208">
        <f aca="true" t="shared" si="77" ref="I240:I249">F240+G240+H240</f>
        <v>302095</v>
      </c>
      <c r="J240" s="257"/>
      <c r="K240" s="235"/>
      <c r="L240" s="208">
        <f aca="true" t="shared" si="78" ref="L240:L249">I240+J240+K240</f>
        <v>302095</v>
      </c>
      <c r="M240" s="257">
        <f>-732</f>
        <v>-732</v>
      </c>
      <c r="N240" s="235">
        <f>-3616-33000</f>
        <v>-36616</v>
      </c>
      <c r="O240" s="208">
        <f aca="true" t="shared" si="79" ref="O240:O249">L240+M240+N240</f>
        <v>264747</v>
      </c>
      <c r="P240" s="292"/>
      <c r="Q240" s="167">
        <f>O240+P240</f>
        <v>264747</v>
      </c>
    </row>
    <row r="241" spans="1:17" ht="12.75" hidden="1">
      <c r="A241" s="58" t="s">
        <v>191</v>
      </c>
      <c r="B241" s="57"/>
      <c r="C241" s="112"/>
      <c r="D241" s="102"/>
      <c r="E241" s="73"/>
      <c r="F241" s="190">
        <f t="shared" si="76"/>
        <v>0</v>
      </c>
      <c r="G241" s="74"/>
      <c r="H241" s="235"/>
      <c r="I241" s="208">
        <f t="shared" si="77"/>
        <v>0</v>
      </c>
      <c r="J241" s="257"/>
      <c r="K241" s="235"/>
      <c r="L241" s="208">
        <f t="shared" si="78"/>
        <v>0</v>
      </c>
      <c r="M241" s="257"/>
      <c r="N241" s="235"/>
      <c r="O241" s="208">
        <f t="shared" si="79"/>
        <v>0</v>
      </c>
      <c r="P241" s="292"/>
      <c r="Q241" s="167">
        <f aca="true" t="shared" si="80" ref="Q241:Q248">O241+P241</f>
        <v>0</v>
      </c>
    </row>
    <row r="242" spans="1:17" ht="12.75">
      <c r="A242" s="20" t="s">
        <v>61</v>
      </c>
      <c r="B242" s="57"/>
      <c r="C242" s="112">
        <v>231476</v>
      </c>
      <c r="D242" s="102">
        <f>60000</f>
        <v>60000</v>
      </c>
      <c r="E242" s="73">
        <f>32760</f>
        <v>32760</v>
      </c>
      <c r="F242" s="190">
        <f t="shared" si="76"/>
        <v>324236</v>
      </c>
      <c r="G242" s="74"/>
      <c r="H242" s="235"/>
      <c r="I242" s="208">
        <f t="shared" si="77"/>
        <v>324236</v>
      </c>
      <c r="J242" s="257"/>
      <c r="K242" s="235">
        <f>500</f>
        <v>500</v>
      </c>
      <c r="L242" s="208">
        <f t="shared" si="78"/>
        <v>324736</v>
      </c>
      <c r="M242" s="257">
        <f>-14000</f>
        <v>-14000</v>
      </c>
      <c r="N242" s="235">
        <f>-108760.97-46000</f>
        <v>-154760.97</v>
      </c>
      <c r="O242" s="208">
        <f t="shared" si="79"/>
        <v>155975.03</v>
      </c>
      <c r="P242" s="292"/>
      <c r="Q242" s="167">
        <f t="shared" si="80"/>
        <v>155975.03</v>
      </c>
    </row>
    <row r="243" spans="1:17" ht="12.75" hidden="1">
      <c r="A243" s="20" t="s">
        <v>160</v>
      </c>
      <c r="B243" s="57"/>
      <c r="C243" s="112">
        <v>0</v>
      </c>
      <c r="D243" s="142"/>
      <c r="E243" s="73"/>
      <c r="F243" s="190">
        <f t="shared" si="76"/>
        <v>0</v>
      </c>
      <c r="G243" s="74"/>
      <c r="H243" s="235"/>
      <c r="I243" s="208">
        <f t="shared" si="77"/>
        <v>0</v>
      </c>
      <c r="J243" s="257"/>
      <c r="K243" s="235"/>
      <c r="L243" s="208">
        <f t="shared" si="78"/>
        <v>0</v>
      </c>
      <c r="M243" s="257"/>
      <c r="N243" s="235"/>
      <c r="O243" s="208">
        <f t="shared" si="79"/>
        <v>0</v>
      </c>
      <c r="P243" s="292"/>
      <c r="Q243" s="167">
        <f t="shared" si="80"/>
        <v>0</v>
      </c>
    </row>
    <row r="244" spans="1:17" ht="12.75">
      <c r="A244" s="20" t="s">
        <v>50</v>
      </c>
      <c r="B244" s="57"/>
      <c r="C244" s="117">
        <v>151124.5</v>
      </c>
      <c r="D244" s="102">
        <f>100+100+1000</f>
        <v>1200</v>
      </c>
      <c r="E244" s="73">
        <f>-32760</f>
        <v>-32760</v>
      </c>
      <c r="F244" s="190">
        <f t="shared" si="76"/>
        <v>119564.5</v>
      </c>
      <c r="G244" s="74">
        <f>478+380.76</f>
        <v>858.76</v>
      </c>
      <c r="H244" s="235"/>
      <c r="I244" s="208">
        <f t="shared" si="77"/>
        <v>120423.26</v>
      </c>
      <c r="J244" s="257">
        <f>-60000+1000</f>
        <v>-59000</v>
      </c>
      <c r="K244" s="235">
        <f>-500-8000</f>
        <v>-8500</v>
      </c>
      <c r="L244" s="208">
        <f t="shared" si="78"/>
        <v>52923.259999999995</v>
      </c>
      <c r="M244" s="257">
        <f>-6000-3000-10000</f>
        <v>-19000</v>
      </c>
      <c r="N244" s="235"/>
      <c r="O244" s="208">
        <f t="shared" si="79"/>
        <v>33923.259999999995</v>
      </c>
      <c r="P244" s="292"/>
      <c r="Q244" s="167">
        <f t="shared" si="80"/>
        <v>33923.259999999995</v>
      </c>
    </row>
    <row r="245" spans="1:17" ht="12.75" hidden="1">
      <c r="A245" s="20" t="s">
        <v>72</v>
      </c>
      <c r="B245" s="57"/>
      <c r="C245" s="117"/>
      <c r="D245" s="102"/>
      <c r="E245" s="73"/>
      <c r="F245" s="190">
        <f t="shared" si="76"/>
        <v>0</v>
      </c>
      <c r="G245" s="74"/>
      <c r="H245" s="235"/>
      <c r="I245" s="208">
        <f t="shared" si="77"/>
        <v>0</v>
      </c>
      <c r="J245" s="257"/>
      <c r="K245" s="235"/>
      <c r="L245" s="208">
        <f t="shared" si="78"/>
        <v>0</v>
      </c>
      <c r="M245" s="257"/>
      <c r="N245" s="235"/>
      <c r="O245" s="208">
        <f t="shared" si="79"/>
        <v>0</v>
      </c>
      <c r="P245" s="292"/>
      <c r="Q245" s="167">
        <f t="shared" si="80"/>
        <v>0</v>
      </c>
    </row>
    <row r="246" spans="1:17" ht="12.75">
      <c r="A246" s="36" t="s">
        <v>358</v>
      </c>
      <c r="B246" s="57">
        <v>35026</v>
      </c>
      <c r="C246" s="117"/>
      <c r="D246" s="102">
        <f>1096+224</f>
        <v>1320</v>
      </c>
      <c r="E246" s="73"/>
      <c r="F246" s="190">
        <f t="shared" si="76"/>
        <v>1320</v>
      </c>
      <c r="G246" s="74"/>
      <c r="H246" s="235"/>
      <c r="I246" s="208">
        <f t="shared" si="77"/>
        <v>1320</v>
      </c>
      <c r="J246" s="257"/>
      <c r="K246" s="235"/>
      <c r="L246" s="208">
        <f t="shared" si="78"/>
        <v>1320</v>
      </c>
      <c r="M246" s="257"/>
      <c r="N246" s="235"/>
      <c r="O246" s="208">
        <f t="shared" si="79"/>
        <v>1320</v>
      </c>
      <c r="P246" s="292"/>
      <c r="Q246" s="167">
        <f t="shared" si="80"/>
        <v>1320</v>
      </c>
    </row>
    <row r="247" spans="1:17" ht="12.75">
      <c r="A247" s="20" t="s">
        <v>249</v>
      </c>
      <c r="B247" s="57">
        <v>35018</v>
      </c>
      <c r="C247" s="117"/>
      <c r="D247" s="102">
        <f>1900</f>
        <v>1900</v>
      </c>
      <c r="E247" s="73"/>
      <c r="F247" s="190">
        <f t="shared" si="76"/>
        <v>1900</v>
      </c>
      <c r="G247" s="74">
        <f>3525.83</f>
        <v>3525.83</v>
      </c>
      <c r="H247" s="235"/>
      <c r="I247" s="208">
        <f t="shared" si="77"/>
        <v>5425.83</v>
      </c>
      <c r="J247" s="257"/>
      <c r="K247" s="235"/>
      <c r="L247" s="208">
        <f t="shared" si="78"/>
        <v>5425.83</v>
      </c>
      <c r="M247" s="257"/>
      <c r="N247" s="235"/>
      <c r="O247" s="208">
        <f t="shared" si="79"/>
        <v>5425.83</v>
      </c>
      <c r="P247" s="292"/>
      <c r="Q247" s="167">
        <f t="shared" si="80"/>
        <v>5425.83</v>
      </c>
    </row>
    <row r="248" spans="1:17" ht="12.75" hidden="1">
      <c r="A248" s="20" t="s">
        <v>274</v>
      </c>
      <c r="B248" s="57"/>
      <c r="C248" s="117"/>
      <c r="D248" s="102"/>
      <c r="E248" s="73"/>
      <c r="F248" s="190">
        <f t="shared" si="76"/>
        <v>0</v>
      </c>
      <c r="G248" s="74"/>
      <c r="H248" s="235"/>
      <c r="I248" s="208">
        <f t="shared" si="77"/>
        <v>0</v>
      </c>
      <c r="J248" s="257"/>
      <c r="K248" s="235"/>
      <c r="L248" s="208">
        <f t="shared" si="78"/>
        <v>0</v>
      </c>
      <c r="M248" s="257"/>
      <c r="N248" s="235"/>
      <c r="O248" s="208">
        <f t="shared" si="79"/>
        <v>0</v>
      </c>
      <c r="P248" s="292"/>
      <c r="Q248" s="167">
        <f t="shared" si="80"/>
        <v>0</v>
      </c>
    </row>
    <row r="249" spans="1:17" ht="12.75" hidden="1">
      <c r="A249" s="20" t="s">
        <v>82</v>
      </c>
      <c r="B249" s="57"/>
      <c r="C249" s="112"/>
      <c r="D249" s="102"/>
      <c r="E249" s="73"/>
      <c r="F249" s="190">
        <f t="shared" si="76"/>
        <v>0</v>
      </c>
      <c r="G249" s="74"/>
      <c r="H249" s="235"/>
      <c r="I249" s="208">
        <f t="shared" si="77"/>
        <v>0</v>
      </c>
      <c r="J249" s="257"/>
      <c r="K249" s="235"/>
      <c r="L249" s="208">
        <f t="shared" si="78"/>
        <v>0</v>
      </c>
      <c r="M249" s="257"/>
      <c r="N249" s="235"/>
      <c r="O249" s="208">
        <f t="shared" si="79"/>
        <v>0</v>
      </c>
      <c r="P249" s="292"/>
      <c r="Q249" s="167">
        <f>O249+P249</f>
        <v>0</v>
      </c>
    </row>
    <row r="250" spans="1:17" ht="12.75">
      <c r="A250" s="22" t="s">
        <v>52</v>
      </c>
      <c r="B250" s="61"/>
      <c r="C250" s="115">
        <f>SUM(C252:C256)</f>
        <v>0</v>
      </c>
      <c r="D250" s="105">
        <f aca="true" t="shared" si="81" ref="D250:Q250">SUM(D252:D256)</f>
        <v>968.95</v>
      </c>
      <c r="E250" s="80">
        <f t="shared" si="81"/>
        <v>0</v>
      </c>
      <c r="F250" s="193">
        <f t="shared" si="81"/>
        <v>968.95</v>
      </c>
      <c r="G250" s="79">
        <f t="shared" si="81"/>
        <v>0</v>
      </c>
      <c r="H250" s="239">
        <f t="shared" si="81"/>
        <v>0</v>
      </c>
      <c r="I250" s="211">
        <f t="shared" si="81"/>
        <v>968.95</v>
      </c>
      <c r="J250" s="262">
        <f t="shared" si="81"/>
        <v>60000</v>
      </c>
      <c r="K250" s="239">
        <f t="shared" si="81"/>
        <v>8000</v>
      </c>
      <c r="L250" s="211">
        <f t="shared" si="81"/>
        <v>68968.95</v>
      </c>
      <c r="M250" s="262">
        <f t="shared" si="81"/>
        <v>-50000</v>
      </c>
      <c r="N250" s="239">
        <f t="shared" si="81"/>
        <v>79000</v>
      </c>
      <c r="O250" s="211">
        <f t="shared" si="81"/>
        <v>97968.95</v>
      </c>
      <c r="P250" s="105">
        <f t="shared" si="81"/>
        <v>0</v>
      </c>
      <c r="Q250" s="154">
        <f t="shared" si="81"/>
        <v>97968.95</v>
      </c>
    </row>
    <row r="251" spans="1:17" ht="12.75">
      <c r="A251" s="18" t="s">
        <v>26</v>
      </c>
      <c r="B251" s="57"/>
      <c r="C251" s="112"/>
      <c r="D251" s="102"/>
      <c r="E251" s="73"/>
      <c r="F251" s="190"/>
      <c r="G251" s="74"/>
      <c r="H251" s="235"/>
      <c r="I251" s="208"/>
      <c r="J251" s="257"/>
      <c r="K251" s="235"/>
      <c r="L251" s="208"/>
      <c r="M251" s="257"/>
      <c r="N251" s="235"/>
      <c r="O251" s="208"/>
      <c r="P251" s="292"/>
      <c r="Q251" s="167"/>
    </row>
    <row r="252" spans="1:17" ht="12.75">
      <c r="A252" s="20" t="s">
        <v>53</v>
      </c>
      <c r="B252" s="57"/>
      <c r="C252" s="112">
        <v>0</v>
      </c>
      <c r="D252" s="102"/>
      <c r="E252" s="73"/>
      <c r="F252" s="190">
        <f>C252+D252+E252</f>
        <v>0</v>
      </c>
      <c r="G252" s="74"/>
      <c r="H252" s="235"/>
      <c r="I252" s="208">
        <f>F252+G252+H252</f>
        <v>0</v>
      </c>
      <c r="J252" s="257">
        <f>60000</f>
        <v>60000</v>
      </c>
      <c r="K252" s="235"/>
      <c r="L252" s="208">
        <f>I252+J252+K252</f>
        <v>60000</v>
      </c>
      <c r="M252" s="257">
        <f>-60000</f>
        <v>-60000</v>
      </c>
      <c r="N252" s="235"/>
      <c r="O252" s="208">
        <f>L252+M252+N252</f>
        <v>0</v>
      </c>
      <c r="P252" s="292"/>
      <c r="Q252" s="167">
        <f>O252+P252</f>
        <v>0</v>
      </c>
    </row>
    <row r="253" spans="1:17" ht="12.75">
      <c r="A253" s="20" t="s">
        <v>218</v>
      </c>
      <c r="B253" s="57"/>
      <c r="C253" s="112"/>
      <c r="D253" s="142">
        <f>968.95</f>
        <v>968.95</v>
      </c>
      <c r="E253" s="73"/>
      <c r="F253" s="190">
        <f>C253+D253+E253</f>
        <v>968.95</v>
      </c>
      <c r="G253" s="74"/>
      <c r="H253" s="235"/>
      <c r="I253" s="208">
        <f>F253+G253+H253</f>
        <v>968.95</v>
      </c>
      <c r="J253" s="257"/>
      <c r="K253" s="235">
        <f>8000</f>
        <v>8000</v>
      </c>
      <c r="L253" s="208">
        <f>I253+J253+K253</f>
        <v>8968.95</v>
      </c>
      <c r="M253" s="257"/>
      <c r="N253" s="235">
        <f>46000</f>
        <v>46000</v>
      </c>
      <c r="O253" s="208">
        <f>L253+M253+N253</f>
        <v>54968.95</v>
      </c>
      <c r="P253" s="292"/>
      <c r="Q253" s="167">
        <f>O253+P253</f>
        <v>54968.95</v>
      </c>
    </row>
    <row r="254" spans="1:17" ht="12.75">
      <c r="A254" s="26" t="s">
        <v>79</v>
      </c>
      <c r="B254" s="60"/>
      <c r="C254" s="181"/>
      <c r="D254" s="172"/>
      <c r="E254" s="81"/>
      <c r="F254" s="195">
        <f>C254+D254+E254</f>
        <v>0</v>
      </c>
      <c r="G254" s="226"/>
      <c r="H254" s="241"/>
      <c r="I254" s="213">
        <f>F254+G254+H254</f>
        <v>0</v>
      </c>
      <c r="J254" s="264"/>
      <c r="K254" s="241"/>
      <c r="L254" s="213">
        <f>I254+J254+K254</f>
        <v>0</v>
      </c>
      <c r="M254" s="264">
        <f>10000</f>
        <v>10000</v>
      </c>
      <c r="N254" s="241">
        <f>33000</f>
        <v>33000</v>
      </c>
      <c r="O254" s="213">
        <f>L254+M254+N254</f>
        <v>43000</v>
      </c>
      <c r="P254" s="292"/>
      <c r="Q254" s="167">
        <f>O254+P254</f>
        <v>43000</v>
      </c>
    </row>
    <row r="255" spans="1:17" ht="12.75" hidden="1">
      <c r="A255" s="20" t="s">
        <v>193</v>
      </c>
      <c r="B255" s="57"/>
      <c r="C255" s="112"/>
      <c r="D255" s="102"/>
      <c r="E255" s="73"/>
      <c r="F255" s="190">
        <f>C255+D255+E255</f>
        <v>0</v>
      </c>
      <c r="G255" s="74"/>
      <c r="H255" s="235"/>
      <c r="I255" s="208">
        <f>F255+G255+H255</f>
        <v>0</v>
      </c>
      <c r="J255" s="257"/>
      <c r="K255" s="235"/>
      <c r="L255" s="208">
        <f>I255+J255+K255</f>
        <v>0</v>
      </c>
      <c r="M255" s="257"/>
      <c r="N255" s="235"/>
      <c r="O255" s="208">
        <f>L255+M255+N255</f>
        <v>0</v>
      </c>
      <c r="P255" s="292"/>
      <c r="Q255" s="167">
        <f>O255+P255</f>
        <v>0</v>
      </c>
    </row>
    <row r="256" spans="1:17" ht="12.75" hidden="1">
      <c r="A256" s="19" t="s">
        <v>72</v>
      </c>
      <c r="B256" s="60"/>
      <c r="C256" s="181"/>
      <c r="D256" s="172"/>
      <c r="E256" s="81"/>
      <c r="F256" s="195">
        <f>C256+D256+E256</f>
        <v>0</v>
      </c>
      <c r="G256" s="226"/>
      <c r="H256" s="241"/>
      <c r="I256" s="213">
        <f>F256+G256+H256</f>
        <v>0</v>
      </c>
      <c r="J256" s="264"/>
      <c r="K256" s="241"/>
      <c r="L256" s="213">
        <f>I256+J256+K256</f>
        <v>0</v>
      </c>
      <c r="M256" s="264"/>
      <c r="N256" s="241"/>
      <c r="O256" s="213">
        <f>L256+M256+N256</f>
        <v>0</v>
      </c>
      <c r="P256" s="295"/>
      <c r="Q256" s="168">
        <f>O256+P256</f>
        <v>0</v>
      </c>
    </row>
    <row r="257" spans="1:17" ht="12.75">
      <c r="A257" s="27" t="s">
        <v>280</v>
      </c>
      <c r="B257" s="62"/>
      <c r="C257" s="113">
        <f>C258+C277</f>
        <v>264482.6</v>
      </c>
      <c r="D257" s="103">
        <f aca="true" t="shared" si="82" ref="D257:Q257">D258+D277</f>
        <v>43534.76</v>
      </c>
      <c r="E257" s="76">
        <f t="shared" si="82"/>
        <v>0</v>
      </c>
      <c r="F257" s="191">
        <f t="shared" si="82"/>
        <v>308017.36</v>
      </c>
      <c r="G257" s="75">
        <f t="shared" si="82"/>
        <v>14315.630000000001</v>
      </c>
      <c r="H257" s="237">
        <f t="shared" si="82"/>
        <v>0</v>
      </c>
      <c r="I257" s="209">
        <f t="shared" si="82"/>
        <v>322332.99000000005</v>
      </c>
      <c r="J257" s="259">
        <f t="shared" si="82"/>
        <v>17879.300000000003</v>
      </c>
      <c r="K257" s="237">
        <f t="shared" si="82"/>
        <v>988</v>
      </c>
      <c r="L257" s="209">
        <f t="shared" si="82"/>
        <v>341200.29000000004</v>
      </c>
      <c r="M257" s="259">
        <f t="shared" si="82"/>
        <v>6827.16</v>
      </c>
      <c r="N257" s="237">
        <f t="shared" si="82"/>
        <v>455.3</v>
      </c>
      <c r="O257" s="209">
        <f t="shared" si="82"/>
        <v>348482.75000000006</v>
      </c>
      <c r="P257" s="103">
        <f t="shared" si="82"/>
        <v>0</v>
      </c>
      <c r="Q257" s="152">
        <f t="shared" si="82"/>
        <v>325328.97000000003</v>
      </c>
    </row>
    <row r="258" spans="1:17" ht="12.75">
      <c r="A258" s="22" t="s">
        <v>48</v>
      </c>
      <c r="B258" s="61"/>
      <c r="C258" s="115">
        <f>SUM(C260:C276)</f>
        <v>261632.59999999998</v>
      </c>
      <c r="D258" s="105">
        <f aca="true" t="shared" si="83" ref="D258:Q258">SUM(D260:D276)</f>
        <v>41578.69</v>
      </c>
      <c r="E258" s="80">
        <f t="shared" si="83"/>
        <v>0</v>
      </c>
      <c r="F258" s="193">
        <f t="shared" si="83"/>
        <v>303211.29</v>
      </c>
      <c r="G258" s="79">
        <f t="shared" si="83"/>
        <v>10105.16</v>
      </c>
      <c r="H258" s="239">
        <f t="shared" si="83"/>
        <v>0</v>
      </c>
      <c r="I258" s="211">
        <f t="shared" si="83"/>
        <v>313316.45000000007</v>
      </c>
      <c r="J258" s="262">
        <f t="shared" si="83"/>
        <v>-1452.5299999999997</v>
      </c>
      <c r="K258" s="239">
        <f t="shared" si="83"/>
        <v>988</v>
      </c>
      <c r="L258" s="211">
        <f t="shared" si="83"/>
        <v>312851.92000000004</v>
      </c>
      <c r="M258" s="262">
        <f t="shared" si="83"/>
        <v>6419.14</v>
      </c>
      <c r="N258" s="239">
        <f t="shared" si="83"/>
        <v>455.3</v>
      </c>
      <c r="O258" s="211">
        <f t="shared" si="83"/>
        <v>319726.36000000004</v>
      </c>
      <c r="P258" s="105">
        <f t="shared" si="83"/>
        <v>0</v>
      </c>
      <c r="Q258" s="154">
        <f t="shared" si="83"/>
        <v>311889.54000000004</v>
      </c>
    </row>
    <row r="259" spans="1:17" ht="12.75">
      <c r="A259" s="18" t="s">
        <v>26</v>
      </c>
      <c r="B259" s="57"/>
      <c r="C259" s="112"/>
      <c r="D259" s="102"/>
      <c r="E259" s="73"/>
      <c r="F259" s="190"/>
      <c r="G259" s="74"/>
      <c r="H259" s="235"/>
      <c r="I259" s="208"/>
      <c r="J259" s="257"/>
      <c r="K259" s="235"/>
      <c r="L259" s="208"/>
      <c r="M259" s="257"/>
      <c r="N259" s="235"/>
      <c r="O259" s="208"/>
      <c r="P259" s="292"/>
      <c r="Q259" s="167"/>
    </row>
    <row r="260" spans="1:17" ht="12.75">
      <c r="A260" s="20" t="s">
        <v>68</v>
      </c>
      <c r="B260" s="57"/>
      <c r="C260" s="112">
        <v>216759.6</v>
      </c>
      <c r="D260" s="102">
        <f>6097.55+16268.2</f>
        <v>22365.75</v>
      </c>
      <c r="E260" s="73">
        <f>308.2</f>
        <v>308.2</v>
      </c>
      <c r="F260" s="190">
        <f aca="true" t="shared" si="84" ref="F260:F276">C260+D260+E260</f>
        <v>239433.55000000002</v>
      </c>
      <c r="G260" s="74">
        <f>315.1+150+6580.19+49.66</f>
        <v>7094.95</v>
      </c>
      <c r="H260" s="235"/>
      <c r="I260" s="208">
        <f>F260+G260+H260</f>
        <v>246528.50000000003</v>
      </c>
      <c r="J260" s="257">
        <f>-5000-32.55+1494.2</f>
        <v>-3538.3500000000004</v>
      </c>
      <c r="K260" s="235"/>
      <c r="L260" s="208">
        <f>I260+J260+K260</f>
        <v>242990.15000000002</v>
      </c>
      <c r="M260" s="257">
        <f>36.5+4832.2</f>
        <v>4868.7</v>
      </c>
      <c r="N260" s="235">
        <f>455.3</f>
        <v>455.3</v>
      </c>
      <c r="O260" s="208">
        <f>L260+M260+N260</f>
        <v>248314.15000000002</v>
      </c>
      <c r="P260" s="292"/>
      <c r="Q260" s="167">
        <f aca="true" t="shared" si="85" ref="Q260:Q276">O260+P260</f>
        <v>248314.15000000002</v>
      </c>
    </row>
    <row r="261" spans="1:17" ht="12.75">
      <c r="A261" s="20" t="s">
        <v>50</v>
      </c>
      <c r="B261" s="57"/>
      <c r="C261" s="112">
        <v>41264.7</v>
      </c>
      <c r="D261" s="102">
        <f>-6327.4-1620+4067.47+1815.87+5209+550+3000+2500</f>
        <v>9194.94</v>
      </c>
      <c r="E261" s="73">
        <f>-308.2</f>
        <v>-308.2</v>
      </c>
      <c r="F261" s="190">
        <f t="shared" si="84"/>
        <v>50151.44</v>
      </c>
      <c r="G261" s="74">
        <f>-291.8-49.66</f>
        <v>-341.46000000000004</v>
      </c>
      <c r="H261" s="235"/>
      <c r="I261" s="208">
        <f aca="true" t="shared" si="86" ref="I261:I276">F261+G261+H261</f>
        <v>49809.98</v>
      </c>
      <c r="J261" s="257">
        <f>32.55-6000+150</f>
        <v>-5817.45</v>
      </c>
      <c r="K261" s="235">
        <f>988</f>
        <v>988</v>
      </c>
      <c r="L261" s="208">
        <f aca="true" t="shared" si="87" ref="L261:L276">I261+J261+K261</f>
        <v>44980.530000000006</v>
      </c>
      <c r="M261" s="257">
        <f>-36.5-2000</f>
        <v>-2036.5</v>
      </c>
      <c r="N261" s="235"/>
      <c r="O261" s="208">
        <f aca="true" t="shared" si="88" ref="O261:O276">L261+M261+N261</f>
        <v>42944.030000000006</v>
      </c>
      <c r="P261" s="292"/>
      <c r="Q261" s="167">
        <f t="shared" si="85"/>
        <v>42944.030000000006</v>
      </c>
    </row>
    <row r="262" spans="1:17" ht="12.75">
      <c r="A262" s="20" t="s">
        <v>124</v>
      </c>
      <c r="B262" s="57"/>
      <c r="C262" s="112">
        <v>3608.3</v>
      </c>
      <c r="D262" s="102"/>
      <c r="E262" s="73">
        <f>683.7</f>
        <v>683.7</v>
      </c>
      <c r="F262" s="190">
        <f t="shared" si="84"/>
        <v>4292</v>
      </c>
      <c r="G262" s="74"/>
      <c r="H262" s="235"/>
      <c r="I262" s="208">
        <f t="shared" si="86"/>
        <v>4292</v>
      </c>
      <c r="J262" s="257"/>
      <c r="K262" s="235"/>
      <c r="L262" s="208">
        <f t="shared" si="87"/>
        <v>4292</v>
      </c>
      <c r="M262" s="257"/>
      <c r="N262" s="235"/>
      <c r="O262" s="208">
        <f t="shared" si="88"/>
        <v>4292</v>
      </c>
      <c r="P262" s="292"/>
      <c r="Q262" s="167">
        <f t="shared" si="85"/>
        <v>4292</v>
      </c>
    </row>
    <row r="263" spans="1:17" ht="12.75">
      <c r="A263" s="20" t="s">
        <v>62</v>
      </c>
      <c r="B263" s="57"/>
      <c r="C263" s="112"/>
      <c r="D263" s="102">
        <f>6327.4+1620+1093.35</f>
        <v>9040.75</v>
      </c>
      <c r="E263" s="73">
        <f>-683.7</f>
        <v>-683.7</v>
      </c>
      <c r="F263" s="190">
        <f t="shared" si="84"/>
        <v>8357.05</v>
      </c>
      <c r="G263" s="74"/>
      <c r="H263" s="235"/>
      <c r="I263" s="208">
        <f t="shared" si="86"/>
        <v>8357.05</v>
      </c>
      <c r="J263" s="257"/>
      <c r="K263" s="235"/>
      <c r="L263" s="208">
        <f t="shared" si="87"/>
        <v>8357.05</v>
      </c>
      <c r="M263" s="257"/>
      <c r="N263" s="235"/>
      <c r="O263" s="208">
        <f t="shared" si="88"/>
        <v>8357.05</v>
      </c>
      <c r="P263" s="292"/>
      <c r="Q263" s="167">
        <f t="shared" si="85"/>
        <v>8357.05</v>
      </c>
    </row>
    <row r="264" spans="1:17" ht="12.75">
      <c r="A264" s="20" t="s">
        <v>83</v>
      </c>
      <c r="B264" s="57">
        <v>34070</v>
      </c>
      <c r="C264" s="112"/>
      <c r="D264" s="102"/>
      <c r="E264" s="73"/>
      <c r="F264" s="190">
        <f t="shared" si="84"/>
        <v>0</v>
      </c>
      <c r="G264" s="74">
        <f>43</f>
        <v>43</v>
      </c>
      <c r="H264" s="235"/>
      <c r="I264" s="208">
        <f t="shared" si="86"/>
        <v>43</v>
      </c>
      <c r="J264" s="257">
        <f>2120</f>
        <v>2120</v>
      </c>
      <c r="K264" s="235"/>
      <c r="L264" s="208">
        <f t="shared" si="87"/>
        <v>2163</v>
      </c>
      <c r="M264" s="257"/>
      <c r="N264" s="235"/>
      <c r="O264" s="208">
        <f t="shared" si="88"/>
        <v>2163</v>
      </c>
      <c r="P264" s="292"/>
      <c r="Q264" s="167">
        <f t="shared" si="85"/>
        <v>2163</v>
      </c>
    </row>
    <row r="265" spans="1:17" ht="12.75">
      <c r="A265" s="20" t="s">
        <v>84</v>
      </c>
      <c r="B265" s="57">
        <v>34053</v>
      </c>
      <c r="C265" s="112"/>
      <c r="D265" s="102"/>
      <c r="E265" s="73"/>
      <c r="F265" s="190">
        <f t="shared" si="84"/>
        <v>0</v>
      </c>
      <c r="G265" s="74">
        <f>135+54+45+19+45</f>
        <v>298</v>
      </c>
      <c r="H265" s="235"/>
      <c r="I265" s="208">
        <f t="shared" si="86"/>
        <v>298</v>
      </c>
      <c r="J265" s="257"/>
      <c r="K265" s="235"/>
      <c r="L265" s="208">
        <f t="shared" si="87"/>
        <v>298</v>
      </c>
      <c r="M265" s="257"/>
      <c r="N265" s="235"/>
      <c r="O265" s="208">
        <f t="shared" si="88"/>
        <v>298</v>
      </c>
      <c r="P265" s="292"/>
      <c r="Q265" s="167">
        <f t="shared" si="85"/>
        <v>298</v>
      </c>
    </row>
    <row r="266" spans="1:17" ht="12.75">
      <c r="A266" s="20" t="s">
        <v>349</v>
      </c>
      <c r="B266" s="57">
        <v>34019</v>
      </c>
      <c r="C266" s="112"/>
      <c r="D266" s="102"/>
      <c r="E266" s="73"/>
      <c r="F266" s="190">
        <f t="shared" si="84"/>
        <v>0</v>
      </c>
      <c r="G266" s="74">
        <f>41+18.12+51</f>
        <v>110.12</v>
      </c>
      <c r="H266" s="235"/>
      <c r="I266" s="208">
        <f t="shared" si="86"/>
        <v>110.12</v>
      </c>
      <c r="J266" s="257"/>
      <c r="K266" s="235"/>
      <c r="L266" s="208">
        <f t="shared" si="87"/>
        <v>110.12</v>
      </c>
      <c r="M266" s="257"/>
      <c r="N266" s="235"/>
      <c r="O266" s="208">
        <f t="shared" si="88"/>
        <v>110.12</v>
      </c>
      <c r="P266" s="292"/>
      <c r="Q266" s="167"/>
    </row>
    <row r="267" spans="1:17" ht="12.75">
      <c r="A267" s="20" t="s">
        <v>375</v>
      </c>
      <c r="B267" s="57">
        <v>34033</v>
      </c>
      <c r="C267" s="112"/>
      <c r="D267" s="102">
        <f>451.07</f>
        <v>451.07</v>
      </c>
      <c r="E267" s="73"/>
      <c r="F267" s="190">
        <f t="shared" si="84"/>
        <v>451.07</v>
      </c>
      <c r="G267" s="74"/>
      <c r="H267" s="235"/>
      <c r="I267" s="208">
        <f t="shared" si="86"/>
        <v>451.07</v>
      </c>
      <c r="J267" s="257">
        <f>747.36+14</f>
        <v>761.36</v>
      </c>
      <c r="K267" s="235"/>
      <c r="L267" s="208">
        <f t="shared" si="87"/>
        <v>1212.43</v>
      </c>
      <c r="M267" s="257">
        <f>592.55+242+1630+69</f>
        <v>2533.55</v>
      </c>
      <c r="N267" s="235"/>
      <c r="O267" s="208">
        <f t="shared" si="88"/>
        <v>3745.9800000000005</v>
      </c>
      <c r="P267" s="292"/>
      <c r="Q267" s="167"/>
    </row>
    <row r="268" spans="1:17" ht="12.75">
      <c r="A268" s="20" t="s">
        <v>374</v>
      </c>
      <c r="B268" s="57">
        <v>17055</v>
      </c>
      <c r="C268" s="112"/>
      <c r="D268" s="102">
        <f>81.23</f>
        <v>81.23</v>
      </c>
      <c r="E268" s="73"/>
      <c r="F268" s="190">
        <f t="shared" si="84"/>
        <v>81.23</v>
      </c>
      <c r="G268" s="74">
        <f>-81.23</f>
        <v>-81.23</v>
      </c>
      <c r="H268" s="235"/>
      <c r="I268" s="208">
        <f t="shared" si="86"/>
        <v>0</v>
      </c>
      <c r="J268" s="257"/>
      <c r="K268" s="235"/>
      <c r="L268" s="208">
        <f t="shared" si="87"/>
        <v>0</v>
      </c>
      <c r="M268" s="257">
        <f>1053.39</f>
        <v>1053.39</v>
      </c>
      <c r="N268" s="235"/>
      <c r="O268" s="208">
        <f t="shared" si="88"/>
        <v>1053.39</v>
      </c>
      <c r="P268" s="292"/>
      <c r="Q268" s="167"/>
    </row>
    <row r="269" spans="1:17" ht="12.75">
      <c r="A269" s="20" t="s">
        <v>348</v>
      </c>
      <c r="B269" s="57">
        <v>34031</v>
      </c>
      <c r="C269" s="112"/>
      <c r="D269" s="102"/>
      <c r="E269" s="73"/>
      <c r="F269" s="190">
        <f t="shared" si="84"/>
        <v>0</v>
      </c>
      <c r="G269" s="74">
        <f>109+96+55+123+63</f>
        <v>446</v>
      </c>
      <c r="H269" s="235"/>
      <c r="I269" s="208">
        <f t="shared" si="86"/>
        <v>446</v>
      </c>
      <c r="J269" s="257">
        <f>117</f>
        <v>117</v>
      </c>
      <c r="K269" s="235"/>
      <c r="L269" s="208">
        <f t="shared" si="87"/>
        <v>563</v>
      </c>
      <c r="M269" s="257"/>
      <c r="N269" s="235"/>
      <c r="O269" s="208">
        <f t="shared" si="88"/>
        <v>563</v>
      </c>
      <c r="P269" s="292"/>
      <c r="Q269" s="167"/>
    </row>
    <row r="270" spans="1:17" ht="12.75">
      <c r="A270" s="20" t="s">
        <v>367</v>
      </c>
      <c r="B270" s="57">
        <v>34017</v>
      </c>
      <c r="C270" s="112"/>
      <c r="D270" s="102"/>
      <c r="E270" s="73"/>
      <c r="F270" s="190"/>
      <c r="G270" s="74"/>
      <c r="H270" s="235"/>
      <c r="I270" s="208">
        <f t="shared" si="86"/>
        <v>0</v>
      </c>
      <c r="J270" s="257">
        <f>90</f>
        <v>90</v>
      </c>
      <c r="K270" s="235"/>
      <c r="L270" s="208">
        <f t="shared" si="87"/>
        <v>90</v>
      </c>
      <c r="M270" s="257"/>
      <c r="N270" s="235"/>
      <c r="O270" s="208">
        <f t="shared" si="88"/>
        <v>90</v>
      </c>
      <c r="P270" s="292"/>
      <c r="Q270" s="167"/>
    </row>
    <row r="271" spans="1:17" ht="12.75">
      <c r="A271" s="20" t="s">
        <v>368</v>
      </c>
      <c r="B271" s="57">
        <v>34021</v>
      </c>
      <c r="C271" s="112"/>
      <c r="D271" s="102"/>
      <c r="E271" s="73"/>
      <c r="F271" s="190"/>
      <c r="G271" s="74"/>
      <c r="H271" s="235"/>
      <c r="I271" s="208">
        <f t="shared" si="86"/>
        <v>0</v>
      </c>
      <c r="J271" s="257">
        <f>95</f>
        <v>95</v>
      </c>
      <c r="K271" s="235"/>
      <c r="L271" s="208">
        <f t="shared" si="87"/>
        <v>95</v>
      </c>
      <c r="M271" s="257"/>
      <c r="N271" s="235"/>
      <c r="O271" s="208">
        <f t="shared" si="88"/>
        <v>95</v>
      </c>
      <c r="P271" s="292"/>
      <c r="Q271" s="167"/>
    </row>
    <row r="272" spans="1:17" ht="12.75" hidden="1">
      <c r="A272" s="20" t="s">
        <v>292</v>
      </c>
      <c r="B272" s="57"/>
      <c r="C272" s="112"/>
      <c r="D272" s="102"/>
      <c r="E272" s="73"/>
      <c r="F272" s="190">
        <f t="shared" si="84"/>
        <v>0</v>
      </c>
      <c r="G272" s="74"/>
      <c r="H272" s="235"/>
      <c r="I272" s="208">
        <f t="shared" si="86"/>
        <v>0</v>
      </c>
      <c r="J272" s="257"/>
      <c r="K272" s="235"/>
      <c r="L272" s="208">
        <f t="shared" si="87"/>
        <v>0</v>
      </c>
      <c r="M272" s="257"/>
      <c r="N272" s="235"/>
      <c r="O272" s="208">
        <f t="shared" si="88"/>
        <v>0</v>
      </c>
      <c r="P272" s="292"/>
      <c r="Q272" s="167">
        <f t="shared" si="85"/>
        <v>0</v>
      </c>
    </row>
    <row r="273" spans="1:17" ht="12.75">
      <c r="A273" s="36" t="s">
        <v>353</v>
      </c>
      <c r="B273" s="57"/>
      <c r="C273" s="112"/>
      <c r="D273" s="102"/>
      <c r="E273" s="73"/>
      <c r="F273" s="190">
        <f t="shared" si="84"/>
        <v>0</v>
      </c>
      <c r="G273" s="74">
        <f>1423.76</f>
        <v>1423.76</v>
      </c>
      <c r="H273" s="235"/>
      <c r="I273" s="208">
        <f t="shared" si="86"/>
        <v>1423.76</v>
      </c>
      <c r="J273" s="257"/>
      <c r="K273" s="235"/>
      <c r="L273" s="208">
        <f t="shared" si="87"/>
        <v>1423.76</v>
      </c>
      <c r="M273" s="257"/>
      <c r="N273" s="235"/>
      <c r="O273" s="208">
        <f t="shared" si="88"/>
        <v>1423.76</v>
      </c>
      <c r="P273" s="292"/>
      <c r="Q273" s="167"/>
    </row>
    <row r="274" spans="1:17" ht="12.75">
      <c r="A274" s="20" t="s">
        <v>308</v>
      </c>
      <c r="B274" s="57"/>
      <c r="C274" s="112"/>
      <c r="D274" s="102">
        <f>55.21+9.74</f>
        <v>64.95</v>
      </c>
      <c r="E274" s="73"/>
      <c r="F274" s="190">
        <f t="shared" si="84"/>
        <v>64.95</v>
      </c>
      <c r="G274" s="74"/>
      <c r="H274" s="235"/>
      <c r="I274" s="208">
        <f t="shared" si="86"/>
        <v>64.95</v>
      </c>
      <c r="J274" s="257">
        <f>103.59+587.03</f>
        <v>690.62</v>
      </c>
      <c r="K274" s="235"/>
      <c r="L274" s="208">
        <f t="shared" si="87"/>
        <v>755.57</v>
      </c>
      <c r="M274" s="257"/>
      <c r="N274" s="235"/>
      <c r="O274" s="208">
        <f t="shared" si="88"/>
        <v>755.57</v>
      </c>
      <c r="P274" s="292"/>
      <c r="Q274" s="167"/>
    </row>
    <row r="275" spans="1:17" ht="12.75" hidden="1">
      <c r="A275" s="20" t="s">
        <v>248</v>
      </c>
      <c r="B275" s="57"/>
      <c r="C275" s="112"/>
      <c r="D275" s="102"/>
      <c r="E275" s="73"/>
      <c r="F275" s="190">
        <f t="shared" si="84"/>
        <v>0</v>
      </c>
      <c r="G275" s="74"/>
      <c r="H275" s="235"/>
      <c r="I275" s="208">
        <f t="shared" si="86"/>
        <v>0</v>
      </c>
      <c r="J275" s="257"/>
      <c r="K275" s="235"/>
      <c r="L275" s="208">
        <f t="shared" si="87"/>
        <v>0</v>
      </c>
      <c r="M275" s="257"/>
      <c r="N275" s="235"/>
      <c r="O275" s="208">
        <f t="shared" si="88"/>
        <v>0</v>
      </c>
      <c r="P275" s="292"/>
      <c r="Q275" s="167">
        <f t="shared" si="85"/>
        <v>0</v>
      </c>
    </row>
    <row r="276" spans="1:17" ht="12.75">
      <c r="A276" s="20" t="s">
        <v>72</v>
      </c>
      <c r="B276" s="57"/>
      <c r="C276" s="112"/>
      <c r="D276" s="102">
        <f>280+100</f>
        <v>380</v>
      </c>
      <c r="E276" s="73"/>
      <c r="F276" s="190">
        <f t="shared" si="84"/>
        <v>380</v>
      </c>
      <c r="G276" s="74">
        <f>210.47+300.15+601.4</f>
        <v>1112.02</v>
      </c>
      <c r="H276" s="235"/>
      <c r="I276" s="208">
        <f t="shared" si="86"/>
        <v>1492.02</v>
      </c>
      <c r="J276" s="257">
        <f>1500+2529.29</f>
        <v>4029.29</v>
      </c>
      <c r="K276" s="235"/>
      <c r="L276" s="208">
        <f t="shared" si="87"/>
        <v>5521.3099999999995</v>
      </c>
      <c r="M276" s="257"/>
      <c r="N276" s="235"/>
      <c r="O276" s="208">
        <f t="shared" si="88"/>
        <v>5521.3099999999995</v>
      </c>
      <c r="P276" s="292"/>
      <c r="Q276" s="167">
        <f t="shared" si="85"/>
        <v>5521.3099999999995</v>
      </c>
    </row>
    <row r="277" spans="1:17" ht="12.75">
      <c r="A277" s="22" t="s">
        <v>52</v>
      </c>
      <c r="B277" s="61"/>
      <c r="C277" s="115">
        <f>SUM(C279:C286)</f>
        <v>2850</v>
      </c>
      <c r="D277" s="105">
        <f aca="true" t="shared" si="89" ref="D277:Q277">SUM(D279:D286)</f>
        <v>1956.07</v>
      </c>
      <c r="E277" s="80">
        <f t="shared" si="89"/>
        <v>0</v>
      </c>
      <c r="F277" s="193">
        <f t="shared" si="89"/>
        <v>4806.07</v>
      </c>
      <c r="G277" s="79">
        <f t="shared" si="89"/>
        <v>4210.47</v>
      </c>
      <c r="H277" s="239">
        <f t="shared" si="89"/>
        <v>0</v>
      </c>
      <c r="I277" s="211">
        <f t="shared" si="89"/>
        <v>9016.54</v>
      </c>
      <c r="J277" s="262">
        <f t="shared" si="89"/>
        <v>19331.83</v>
      </c>
      <c r="K277" s="239">
        <f t="shared" si="89"/>
        <v>0</v>
      </c>
      <c r="L277" s="211">
        <f t="shared" si="89"/>
        <v>28348.37</v>
      </c>
      <c r="M277" s="262">
        <f t="shared" si="89"/>
        <v>408.02</v>
      </c>
      <c r="N277" s="239">
        <f t="shared" si="89"/>
        <v>0</v>
      </c>
      <c r="O277" s="211">
        <f t="shared" si="89"/>
        <v>28756.39</v>
      </c>
      <c r="P277" s="105">
        <f t="shared" si="89"/>
        <v>0</v>
      </c>
      <c r="Q277" s="154">
        <f t="shared" si="89"/>
        <v>13439.43</v>
      </c>
    </row>
    <row r="278" spans="1:17" ht="12.75">
      <c r="A278" s="18" t="s">
        <v>26</v>
      </c>
      <c r="B278" s="57"/>
      <c r="C278" s="112"/>
      <c r="D278" s="102"/>
      <c r="E278" s="73"/>
      <c r="F278" s="190"/>
      <c r="G278" s="74"/>
      <c r="H278" s="235"/>
      <c r="I278" s="208"/>
      <c r="J278" s="257"/>
      <c r="K278" s="235"/>
      <c r="L278" s="208"/>
      <c r="M278" s="257"/>
      <c r="N278" s="235"/>
      <c r="O278" s="208"/>
      <c r="P278" s="292"/>
      <c r="Q278" s="167"/>
    </row>
    <row r="279" spans="1:17" ht="12.75" hidden="1">
      <c r="A279" s="20" t="s">
        <v>84</v>
      </c>
      <c r="B279" s="57">
        <v>34544</v>
      </c>
      <c r="C279" s="112"/>
      <c r="D279" s="102"/>
      <c r="E279" s="73"/>
      <c r="F279" s="190">
        <f aca="true" t="shared" si="90" ref="F279:F286">C279+D279+E279</f>
        <v>0</v>
      </c>
      <c r="G279" s="74"/>
      <c r="H279" s="235"/>
      <c r="I279" s="208">
        <f aca="true" t="shared" si="91" ref="I279:I286">F279+G279+H279</f>
        <v>0</v>
      </c>
      <c r="J279" s="257"/>
      <c r="K279" s="235"/>
      <c r="L279" s="208">
        <f aca="true" t="shared" si="92" ref="L279:L286">I279+J279+K279</f>
        <v>0</v>
      </c>
      <c r="M279" s="257"/>
      <c r="N279" s="235"/>
      <c r="O279" s="208">
        <f>L279+M279+N279</f>
        <v>0</v>
      </c>
      <c r="P279" s="292"/>
      <c r="Q279" s="167">
        <f>O279+P279</f>
        <v>0</v>
      </c>
    </row>
    <row r="280" spans="1:17" ht="12.75">
      <c r="A280" s="20" t="s">
        <v>374</v>
      </c>
      <c r="B280" s="57">
        <v>17503</v>
      </c>
      <c r="C280" s="112"/>
      <c r="D280" s="102">
        <f>1409.62</f>
        <v>1409.62</v>
      </c>
      <c r="E280" s="73"/>
      <c r="F280" s="190">
        <f t="shared" si="90"/>
        <v>1409.62</v>
      </c>
      <c r="G280" s="74">
        <f>-1409.62</f>
        <v>-1409.62</v>
      </c>
      <c r="H280" s="235"/>
      <c r="I280" s="208">
        <f t="shared" si="91"/>
        <v>0</v>
      </c>
      <c r="J280" s="257"/>
      <c r="K280" s="235"/>
      <c r="L280" s="208">
        <f t="shared" si="92"/>
        <v>0</v>
      </c>
      <c r="M280" s="257">
        <f>111.02</f>
        <v>111.02</v>
      </c>
      <c r="N280" s="235"/>
      <c r="O280" s="208">
        <f>L280+M280+N280</f>
        <v>111.02</v>
      </c>
      <c r="P280" s="292"/>
      <c r="Q280" s="167"/>
    </row>
    <row r="281" spans="1:17" ht="12.75">
      <c r="A281" s="20" t="s">
        <v>348</v>
      </c>
      <c r="B281" s="57">
        <v>34505</v>
      </c>
      <c r="C281" s="112"/>
      <c r="D281" s="102"/>
      <c r="E281" s="73"/>
      <c r="F281" s="190">
        <f t="shared" si="90"/>
        <v>0</v>
      </c>
      <c r="G281" s="74">
        <f>45+63</f>
        <v>108</v>
      </c>
      <c r="H281" s="235"/>
      <c r="I281" s="208">
        <f t="shared" si="91"/>
        <v>108</v>
      </c>
      <c r="J281" s="257"/>
      <c r="K281" s="235"/>
      <c r="L281" s="208">
        <f t="shared" si="92"/>
        <v>108</v>
      </c>
      <c r="M281" s="257"/>
      <c r="N281" s="235"/>
      <c r="O281" s="208">
        <f aca="true" t="shared" si="93" ref="O281:O286">L281+M281+N281</f>
        <v>108</v>
      </c>
      <c r="P281" s="292"/>
      <c r="Q281" s="167"/>
    </row>
    <row r="282" spans="1:17" ht="12.75">
      <c r="A282" s="36" t="s">
        <v>353</v>
      </c>
      <c r="B282" s="57"/>
      <c r="C282" s="112"/>
      <c r="D282" s="102"/>
      <c r="E282" s="73"/>
      <c r="F282" s="190">
        <f t="shared" si="90"/>
        <v>0</v>
      </c>
      <c r="G282" s="74">
        <f>766.11</f>
        <v>766.11</v>
      </c>
      <c r="H282" s="235"/>
      <c r="I282" s="208">
        <f t="shared" si="91"/>
        <v>766.11</v>
      </c>
      <c r="J282" s="257"/>
      <c r="K282" s="235"/>
      <c r="L282" s="208">
        <f t="shared" si="92"/>
        <v>766.11</v>
      </c>
      <c r="M282" s="257"/>
      <c r="N282" s="235"/>
      <c r="O282" s="208">
        <f t="shared" si="93"/>
        <v>766.11</v>
      </c>
      <c r="P282" s="292"/>
      <c r="Q282" s="167"/>
    </row>
    <row r="283" spans="1:17" ht="12.75">
      <c r="A283" s="20" t="s">
        <v>366</v>
      </c>
      <c r="B283" s="57">
        <v>34509</v>
      </c>
      <c r="C283" s="112"/>
      <c r="D283" s="102"/>
      <c r="E283" s="73"/>
      <c r="F283" s="190"/>
      <c r="G283" s="74"/>
      <c r="H283" s="235"/>
      <c r="I283" s="208">
        <f t="shared" si="91"/>
        <v>0</v>
      </c>
      <c r="J283" s="257">
        <f>14331.83</f>
        <v>14331.83</v>
      </c>
      <c r="K283" s="235"/>
      <c r="L283" s="208">
        <f t="shared" si="92"/>
        <v>14331.83</v>
      </c>
      <c r="M283" s="257"/>
      <c r="N283" s="235"/>
      <c r="O283" s="208">
        <f t="shared" si="93"/>
        <v>14331.83</v>
      </c>
      <c r="P283" s="292"/>
      <c r="Q283" s="167"/>
    </row>
    <row r="284" spans="1:17" ht="12.75">
      <c r="A284" s="55" t="s">
        <v>79</v>
      </c>
      <c r="B284" s="57"/>
      <c r="C284" s="112">
        <v>2850</v>
      </c>
      <c r="D284" s="142"/>
      <c r="E284" s="73"/>
      <c r="F284" s="190">
        <f t="shared" si="90"/>
        <v>2850</v>
      </c>
      <c r="G284" s="74">
        <f>141.8+700</f>
        <v>841.8</v>
      </c>
      <c r="H284" s="235"/>
      <c r="I284" s="208">
        <f t="shared" si="91"/>
        <v>3691.8</v>
      </c>
      <c r="J284" s="257">
        <f>5000</f>
        <v>5000</v>
      </c>
      <c r="K284" s="235"/>
      <c r="L284" s="208">
        <f t="shared" si="92"/>
        <v>8691.8</v>
      </c>
      <c r="M284" s="257">
        <f>203+94</f>
        <v>297</v>
      </c>
      <c r="N284" s="235"/>
      <c r="O284" s="208">
        <f t="shared" si="93"/>
        <v>8988.8</v>
      </c>
      <c r="P284" s="292"/>
      <c r="Q284" s="167">
        <f>O284+P284</f>
        <v>8988.8</v>
      </c>
    </row>
    <row r="285" spans="1:18" ht="12.75">
      <c r="A285" s="55" t="s">
        <v>53</v>
      </c>
      <c r="B285" s="57"/>
      <c r="C285" s="112"/>
      <c r="D285" s="102">
        <f>242+54.45</f>
        <v>296.45</v>
      </c>
      <c r="E285" s="73"/>
      <c r="F285" s="190">
        <f t="shared" si="90"/>
        <v>296.45</v>
      </c>
      <c r="G285" s="74"/>
      <c r="H285" s="235"/>
      <c r="I285" s="208">
        <f t="shared" si="91"/>
        <v>296.45</v>
      </c>
      <c r="J285" s="257"/>
      <c r="K285" s="235"/>
      <c r="L285" s="208">
        <f t="shared" si="92"/>
        <v>296.45</v>
      </c>
      <c r="M285" s="260"/>
      <c r="N285" s="235"/>
      <c r="O285" s="208">
        <f t="shared" si="93"/>
        <v>296.45</v>
      </c>
      <c r="P285" s="292"/>
      <c r="Q285" s="167">
        <f>O285+P285</f>
        <v>296.45</v>
      </c>
      <c r="R285" s="288"/>
    </row>
    <row r="286" spans="1:17" ht="12.75">
      <c r="A286" s="26" t="s">
        <v>72</v>
      </c>
      <c r="B286" s="60"/>
      <c r="C286" s="181"/>
      <c r="D286" s="172">
        <f>250</f>
        <v>250</v>
      </c>
      <c r="E286" s="81"/>
      <c r="F286" s="195">
        <f t="shared" si="90"/>
        <v>250</v>
      </c>
      <c r="G286" s="226">
        <f>350+3554.18</f>
        <v>3904.18</v>
      </c>
      <c r="H286" s="241"/>
      <c r="I286" s="213">
        <f t="shared" si="91"/>
        <v>4154.18</v>
      </c>
      <c r="J286" s="264"/>
      <c r="K286" s="241"/>
      <c r="L286" s="213">
        <f t="shared" si="92"/>
        <v>4154.18</v>
      </c>
      <c r="M286" s="283"/>
      <c r="N286" s="241"/>
      <c r="O286" s="213">
        <f t="shared" si="93"/>
        <v>4154.18</v>
      </c>
      <c r="P286" s="295"/>
      <c r="Q286" s="168">
        <f>O286+P286</f>
        <v>4154.18</v>
      </c>
    </row>
    <row r="287" spans="1:17" ht="12.75">
      <c r="A287" s="13" t="s">
        <v>252</v>
      </c>
      <c r="B287" s="61"/>
      <c r="C287" s="111">
        <f>C288+C291</f>
        <v>1000</v>
      </c>
      <c r="D287" s="92">
        <f aca="true" t="shared" si="94" ref="D287:Q287">D288+D291</f>
        <v>0</v>
      </c>
      <c r="E287" s="72">
        <f t="shared" si="94"/>
        <v>0</v>
      </c>
      <c r="F287" s="189">
        <f t="shared" si="94"/>
        <v>1000</v>
      </c>
      <c r="G287" s="71">
        <f t="shared" si="94"/>
        <v>-62.64</v>
      </c>
      <c r="H287" s="234">
        <f t="shared" si="94"/>
        <v>0</v>
      </c>
      <c r="I287" s="207">
        <f t="shared" si="94"/>
        <v>937.36</v>
      </c>
      <c r="J287" s="256">
        <f t="shared" si="94"/>
        <v>0</v>
      </c>
      <c r="K287" s="234">
        <f t="shared" si="94"/>
        <v>0</v>
      </c>
      <c r="L287" s="207">
        <f t="shared" si="94"/>
        <v>937.36</v>
      </c>
      <c r="M287" s="256">
        <f t="shared" si="94"/>
        <v>0</v>
      </c>
      <c r="N287" s="234">
        <f t="shared" si="94"/>
        <v>0</v>
      </c>
      <c r="O287" s="207">
        <f t="shared" si="94"/>
        <v>937.36</v>
      </c>
      <c r="P287" s="92">
        <f t="shared" si="94"/>
        <v>0</v>
      </c>
      <c r="Q287" s="150">
        <f t="shared" si="94"/>
        <v>937.36</v>
      </c>
    </row>
    <row r="288" spans="1:17" ht="12.75">
      <c r="A288" s="22" t="s">
        <v>48</v>
      </c>
      <c r="B288" s="61"/>
      <c r="C288" s="115">
        <f>SUM(C290:C290)</f>
        <v>1000</v>
      </c>
      <c r="D288" s="105">
        <f aca="true" t="shared" si="95" ref="D288:Q288">SUM(D290:D290)</f>
        <v>0</v>
      </c>
      <c r="E288" s="80">
        <f t="shared" si="95"/>
        <v>0</v>
      </c>
      <c r="F288" s="193">
        <f t="shared" si="95"/>
        <v>1000</v>
      </c>
      <c r="G288" s="79">
        <f t="shared" si="95"/>
        <v>-62.64</v>
      </c>
      <c r="H288" s="239">
        <f t="shared" si="95"/>
        <v>0</v>
      </c>
      <c r="I288" s="211">
        <f t="shared" si="95"/>
        <v>937.36</v>
      </c>
      <c r="J288" s="262">
        <f t="shared" si="95"/>
        <v>0</v>
      </c>
      <c r="K288" s="239">
        <f t="shared" si="95"/>
        <v>0</v>
      </c>
      <c r="L288" s="211">
        <f t="shared" si="95"/>
        <v>937.36</v>
      </c>
      <c r="M288" s="262">
        <f t="shared" si="95"/>
        <v>0</v>
      </c>
      <c r="N288" s="239">
        <f t="shared" si="95"/>
        <v>0</v>
      </c>
      <c r="O288" s="211">
        <f t="shared" si="95"/>
        <v>937.36</v>
      </c>
      <c r="P288" s="105">
        <f t="shared" si="95"/>
        <v>0</v>
      </c>
      <c r="Q288" s="154">
        <f t="shared" si="95"/>
        <v>937.36</v>
      </c>
    </row>
    <row r="289" spans="1:17" ht="12.75">
      <c r="A289" s="18" t="s">
        <v>26</v>
      </c>
      <c r="B289" s="57"/>
      <c r="C289" s="112"/>
      <c r="D289" s="102"/>
      <c r="E289" s="73"/>
      <c r="F289" s="190"/>
      <c r="G289" s="74"/>
      <c r="H289" s="235"/>
      <c r="I289" s="208"/>
      <c r="J289" s="257"/>
      <c r="K289" s="235"/>
      <c r="L289" s="208"/>
      <c r="M289" s="260"/>
      <c r="N289" s="235"/>
      <c r="O289" s="208"/>
      <c r="P289" s="292"/>
      <c r="Q289" s="167"/>
    </row>
    <row r="290" spans="1:17" ht="13.5" thickBot="1">
      <c r="A290" s="311" t="s">
        <v>50</v>
      </c>
      <c r="B290" s="300"/>
      <c r="C290" s="301">
        <v>1000</v>
      </c>
      <c r="D290" s="302"/>
      <c r="E290" s="303"/>
      <c r="F290" s="304">
        <f>C290+D290+E290</f>
        <v>1000</v>
      </c>
      <c r="G290" s="305">
        <f>-62.64</f>
        <v>-62.64</v>
      </c>
      <c r="H290" s="306"/>
      <c r="I290" s="307">
        <f>F290+G290+H290</f>
        <v>937.36</v>
      </c>
      <c r="J290" s="308"/>
      <c r="K290" s="306"/>
      <c r="L290" s="307">
        <f>I290+J290+K290</f>
        <v>937.36</v>
      </c>
      <c r="M290" s="312"/>
      <c r="N290" s="306"/>
      <c r="O290" s="307">
        <f>L290+M290+N290</f>
        <v>937.36</v>
      </c>
      <c r="P290" s="292"/>
      <c r="Q290" s="167">
        <f>O290+P290</f>
        <v>937.36</v>
      </c>
    </row>
    <row r="291" spans="1:17" ht="12.75" hidden="1">
      <c r="A291" s="22" t="s">
        <v>52</v>
      </c>
      <c r="B291" s="61"/>
      <c r="C291" s="115">
        <f>C293</f>
        <v>0</v>
      </c>
      <c r="D291" s="105">
        <f aca="true" t="shared" si="96" ref="D291:Q291">D293</f>
        <v>0</v>
      </c>
      <c r="E291" s="80">
        <f t="shared" si="96"/>
        <v>0</v>
      </c>
      <c r="F291" s="193">
        <f t="shared" si="96"/>
        <v>0</v>
      </c>
      <c r="G291" s="79">
        <f t="shared" si="96"/>
        <v>0</v>
      </c>
      <c r="H291" s="239">
        <f t="shared" si="96"/>
        <v>0</v>
      </c>
      <c r="I291" s="211">
        <f t="shared" si="96"/>
        <v>0</v>
      </c>
      <c r="J291" s="262">
        <f t="shared" si="96"/>
        <v>0</v>
      </c>
      <c r="K291" s="239">
        <f t="shared" si="96"/>
        <v>0</v>
      </c>
      <c r="L291" s="211">
        <f t="shared" si="96"/>
        <v>0</v>
      </c>
      <c r="M291" s="262">
        <f t="shared" si="96"/>
        <v>0</v>
      </c>
      <c r="N291" s="239">
        <f t="shared" si="96"/>
        <v>0</v>
      </c>
      <c r="O291" s="211">
        <f t="shared" si="96"/>
        <v>0</v>
      </c>
      <c r="P291" s="105">
        <f t="shared" si="96"/>
        <v>0</v>
      </c>
      <c r="Q291" s="154">
        <f t="shared" si="96"/>
        <v>0</v>
      </c>
    </row>
    <row r="292" spans="1:17" ht="12.75" hidden="1">
      <c r="A292" s="18" t="s">
        <v>26</v>
      </c>
      <c r="B292" s="57"/>
      <c r="C292" s="112"/>
      <c r="D292" s="102"/>
      <c r="E292" s="73"/>
      <c r="F292" s="190"/>
      <c r="G292" s="74"/>
      <c r="H292" s="235"/>
      <c r="I292" s="208"/>
      <c r="J292" s="257"/>
      <c r="K292" s="235"/>
      <c r="L292" s="208"/>
      <c r="M292" s="257"/>
      <c r="N292" s="235"/>
      <c r="O292" s="208"/>
      <c r="P292" s="292"/>
      <c r="Q292" s="167"/>
    </row>
    <row r="293" spans="1:17" ht="12.75" hidden="1">
      <c r="A293" s="110" t="s">
        <v>53</v>
      </c>
      <c r="B293" s="60"/>
      <c r="C293" s="181"/>
      <c r="D293" s="172"/>
      <c r="E293" s="81"/>
      <c r="F293" s="195">
        <f>C293+D293+E293</f>
        <v>0</v>
      </c>
      <c r="G293" s="226"/>
      <c r="H293" s="241"/>
      <c r="I293" s="213">
        <f>F293+G293+H293</f>
        <v>0</v>
      </c>
      <c r="J293" s="264"/>
      <c r="K293" s="241"/>
      <c r="L293" s="213">
        <f>I293+J293+K293</f>
        <v>0</v>
      </c>
      <c r="M293" s="264"/>
      <c r="N293" s="241"/>
      <c r="O293" s="213">
        <f>L293+M293+N293</f>
        <v>0</v>
      </c>
      <c r="P293" s="295"/>
      <c r="Q293" s="168">
        <f>O293+P293</f>
        <v>0</v>
      </c>
    </row>
    <row r="294" spans="1:17" ht="12.75">
      <c r="A294" s="13" t="s">
        <v>47</v>
      </c>
      <c r="B294" s="59"/>
      <c r="C294" s="111">
        <f>C295+C309</f>
        <v>103456.29</v>
      </c>
      <c r="D294" s="92">
        <f aca="true" t="shared" si="97" ref="D294:Q294">D295+D309</f>
        <v>210179.7</v>
      </c>
      <c r="E294" s="72">
        <f t="shared" si="97"/>
        <v>0</v>
      </c>
      <c r="F294" s="189">
        <f t="shared" si="97"/>
        <v>313635.99</v>
      </c>
      <c r="G294" s="71">
        <f t="shared" si="97"/>
        <v>67726.13</v>
      </c>
      <c r="H294" s="234">
        <f t="shared" si="97"/>
        <v>0</v>
      </c>
      <c r="I294" s="207">
        <f t="shared" si="97"/>
        <v>381362.12</v>
      </c>
      <c r="J294" s="256">
        <f t="shared" si="97"/>
        <v>37787.2</v>
      </c>
      <c r="K294" s="234">
        <f t="shared" si="97"/>
        <v>0</v>
      </c>
      <c r="L294" s="207">
        <f t="shared" si="97"/>
        <v>419149.31999999995</v>
      </c>
      <c r="M294" s="256">
        <f t="shared" si="97"/>
        <v>450</v>
      </c>
      <c r="N294" s="234">
        <f t="shared" si="97"/>
        <v>0</v>
      </c>
      <c r="O294" s="207">
        <f t="shared" si="97"/>
        <v>419599.31999999995</v>
      </c>
      <c r="P294" s="92">
        <f t="shared" si="97"/>
        <v>0</v>
      </c>
      <c r="Q294" s="150">
        <f t="shared" si="97"/>
        <v>418758.83999999997</v>
      </c>
    </row>
    <row r="295" spans="1:17" ht="12.75">
      <c r="A295" s="22" t="s">
        <v>48</v>
      </c>
      <c r="B295" s="59"/>
      <c r="C295" s="115">
        <f>SUM(C297:C308)</f>
        <v>102656.29</v>
      </c>
      <c r="D295" s="105">
        <f aca="true" t="shared" si="98" ref="D295:Q295">SUM(D297:D308)</f>
        <v>209979.7</v>
      </c>
      <c r="E295" s="80">
        <f t="shared" si="98"/>
        <v>0</v>
      </c>
      <c r="F295" s="193">
        <f t="shared" si="98"/>
        <v>312635.99</v>
      </c>
      <c r="G295" s="79">
        <f t="shared" si="98"/>
        <v>67726.13</v>
      </c>
      <c r="H295" s="239">
        <f t="shared" si="98"/>
        <v>0</v>
      </c>
      <c r="I295" s="211">
        <f t="shared" si="98"/>
        <v>380362.12</v>
      </c>
      <c r="J295" s="262">
        <f t="shared" si="98"/>
        <v>37787.2</v>
      </c>
      <c r="K295" s="239">
        <f t="shared" si="98"/>
        <v>0</v>
      </c>
      <c r="L295" s="211">
        <f t="shared" si="98"/>
        <v>418149.31999999995</v>
      </c>
      <c r="M295" s="262">
        <f t="shared" si="98"/>
        <v>450</v>
      </c>
      <c r="N295" s="239">
        <f t="shared" si="98"/>
        <v>0</v>
      </c>
      <c r="O295" s="211">
        <f t="shared" si="98"/>
        <v>418599.31999999995</v>
      </c>
      <c r="P295" s="105">
        <f t="shared" si="98"/>
        <v>0</v>
      </c>
      <c r="Q295" s="154">
        <f t="shared" si="98"/>
        <v>417758.83999999997</v>
      </c>
    </row>
    <row r="296" spans="1:17" ht="12.75">
      <c r="A296" s="18" t="s">
        <v>26</v>
      </c>
      <c r="B296" s="46"/>
      <c r="C296" s="112"/>
      <c r="D296" s="102"/>
      <c r="E296" s="73"/>
      <c r="F296" s="190"/>
      <c r="G296" s="74"/>
      <c r="H296" s="235"/>
      <c r="I296" s="208"/>
      <c r="J296" s="257"/>
      <c r="K296" s="235"/>
      <c r="L296" s="208"/>
      <c r="M296" s="257"/>
      <c r="N296" s="235"/>
      <c r="O296" s="208"/>
      <c r="P296" s="292"/>
      <c r="Q296" s="167"/>
    </row>
    <row r="297" spans="1:17" ht="12.75">
      <c r="A297" s="16" t="s">
        <v>127</v>
      </c>
      <c r="B297" s="57"/>
      <c r="C297" s="112">
        <v>29177.47</v>
      </c>
      <c r="D297" s="142">
        <f>2540.4</f>
        <v>2540.4</v>
      </c>
      <c r="E297" s="73"/>
      <c r="F297" s="190">
        <f aca="true" t="shared" si="99" ref="F297:F308">C297+D297+E297</f>
        <v>31717.870000000003</v>
      </c>
      <c r="G297" s="74"/>
      <c r="H297" s="235"/>
      <c r="I297" s="208">
        <f>F297+G297+H297</f>
        <v>31717.870000000003</v>
      </c>
      <c r="J297" s="257"/>
      <c r="K297" s="235"/>
      <c r="L297" s="208">
        <f>I297+J297+K297</f>
        <v>31717.870000000003</v>
      </c>
      <c r="M297" s="257"/>
      <c r="N297" s="235"/>
      <c r="O297" s="208">
        <f>L297+M297+N297</f>
        <v>31717.870000000003</v>
      </c>
      <c r="P297" s="292"/>
      <c r="Q297" s="167">
        <f>O297+P297</f>
        <v>31717.870000000003</v>
      </c>
    </row>
    <row r="298" spans="1:17" ht="12.75">
      <c r="A298" s="16" t="s">
        <v>49</v>
      </c>
      <c r="B298" s="57"/>
      <c r="C298" s="112">
        <v>7487.34</v>
      </c>
      <c r="D298" s="102">
        <f>605</f>
        <v>605</v>
      </c>
      <c r="E298" s="73"/>
      <c r="F298" s="190">
        <f t="shared" si="99"/>
        <v>8092.34</v>
      </c>
      <c r="G298" s="74"/>
      <c r="H298" s="235"/>
      <c r="I298" s="208">
        <f aca="true" t="shared" si="100" ref="I298:I308">F298+G298+H298</f>
        <v>8092.34</v>
      </c>
      <c r="J298" s="257"/>
      <c r="K298" s="235"/>
      <c r="L298" s="208">
        <f aca="true" t="shared" si="101" ref="L298:L308">I298+J298+K298</f>
        <v>8092.34</v>
      </c>
      <c r="M298" s="257"/>
      <c r="N298" s="235"/>
      <c r="O298" s="208">
        <f aca="true" t="shared" si="102" ref="O298:O307">L298+M298+N298</f>
        <v>8092.34</v>
      </c>
      <c r="P298" s="292"/>
      <c r="Q298" s="167">
        <f aca="true" t="shared" si="103" ref="Q298:Q308">O298+P298</f>
        <v>8092.34</v>
      </c>
    </row>
    <row r="299" spans="1:17" ht="12.75">
      <c r="A299" s="16" t="s">
        <v>225</v>
      </c>
      <c r="B299" s="57"/>
      <c r="C299" s="112">
        <v>1450</v>
      </c>
      <c r="D299" s="102">
        <f>300</f>
        <v>300</v>
      </c>
      <c r="E299" s="73"/>
      <c r="F299" s="190">
        <f t="shared" si="99"/>
        <v>1750</v>
      </c>
      <c r="G299" s="74"/>
      <c r="H299" s="235"/>
      <c r="I299" s="208">
        <f t="shared" si="100"/>
        <v>1750</v>
      </c>
      <c r="J299" s="257">
        <f>400</f>
        <v>400</v>
      </c>
      <c r="K299" s="235"/>
      <c r="L299" s="208">
        <f t="shared" si="101"/>
        <v>2150</v>
      </c>
      <c r="M299" s="257">
        <f>450</f>
        <v>450</v>
      </c>
      <c r="N299" s="235"/>
      <c r="O299" s="208">
        <f t="shared" si="102"/>
        <v>2600</v>
      </c>
      <c r="P299" s="292"/>
      <c r="Q299" s="167">
        <f t="shared" si="103"/>
        <v>2600</v>
      </c>
    </row>
    <row r="300" spans="1:17" ht="12.75">
      <c r="A300" s="16" t="s">
        <v>50</v>
      </c>
      <c r="B300" s="57"/>
      <c r="C300" s="112">
        <v>15241.48</v>
      </c>
      <c r="D300" s="102">
        <f>2000+54.6</f>
        <v>2054.6</v>
      </c>
      <c r="E300" s="73"/>
      <c r="F300" s="190">
        <f t="shared" si="99"/>
        <v>17296.079999999998</v>
      </c>
      <c r="G300" s="74"/>
      <c r="H300" s="235"/>
      <c r="I300" s="208">
        <f t="shared" si="100"/>
        <v>17296.079999999998</v>
      </c>
      <c r="J300" s="257"/>
      <c r="K300" s="235"/>
      <c r="L300" s="208">
        <f t="shared" si="101"/>
        <v>17296.079999999998</v>
      </c>
      <c r="M300" s="257"/>
      <c r="N300" s="235"/>
      <c r="O300" s="208">
        <f t="shared" si="102"/>
        <v>17296.079999999998</v>
      </c>
      <c r="P300" s="292"/>
      <c r="Q300" s="167">
        <f t="shared" si="103"/>
        <v>17296.079999999998</v>
      </c>
    </row>
    <row r="301" spans="1:17" ht="12.75">
      <c r="A301" s="16" t="s">
        <v>72</v>
      </c>
      <c r="B301" s="57"/>
      <c r="C301" s="112"/>
      <c r="D301" s="102">
        <f>2404.19</f>
        <v>2404.19</v>
      </c>
      <c r="E301" s="73"/>
      <c r="F301" s="190">
        <f t="shared" si="99"/>
        <v>2404.19</v>
      </c>
      <c r="G301" s="74"/>
      <c r="H301" s="235"/>
      <c r="I301" s="208">
        <f t="shared" si="100"/>
        <v>2404.19</v>
      </c>
      <c r="J301" s="257"/>
      <c r="K301" s="235"/>
      <c r="L301" s="208">
        <f t="shared" si="101"/>
        <v>2404.19</v>
      </c>
      <c r="M301" s="257"/>
      <c r="N301" s="235"/>
      <c r="O301" s="208">
        <f t="shared" si="102"/>
        <v>2404.19</v>
      </c>
      <c r="P301" s="292"/>
      <c r="Q301" s="167">
        <f t="shared" si="103"/>
        <v>2404.19</v>
      </c>
    </row>
    <row r="302" spans="1:17" ht="12.75">
      <c r="A302" s="16" t="s">
        <v>311</v>
      </c>
      <c r="B302" s="57"/>
      <c r="C302" s="112">
        <v>35500</v>
      </c>
      <c r="D302" s="102">
        <f>88922.11+20000+32053.4+60000</f>
        <v>200975.51</v>
      </c>
      <c r="E302" s="73"/>
      <c r="F302" s="190">
        <f t="shared" si="99"/>
        <v>236475.51</v>
      </c>
      <c r="G302" s="74">
        <f>63051.5</f>
        <v>63051.5</v>
      </c>
      <c r="H302" s="235"/>
      <c r="I302" s="208">
        <f t="shared" si="100"/>
        <v>299527.01</v>
      </c>
      <c r="J302" s="257">
        <f>34781.35</f>
        <v>34781.35</v>
      </c>
      <c r="K302" s="235"/>
      <c r="L302" s="208">
        <f t="shared" si="101"/>
        <v>334308.36</v>
      </c>
      <c r="M302" s="257"/>
      <c r="N302" s="235"/>
      <c r="O302" s="208">
        <f t="shared" si="102"/>
        <v>334308.36</v>
      </c>
      <c r="P302" s="292"/>
      <c r="Q302" s="167">
        <f t="shared" si="103"/>
        <v>334308.36</v>
      </c>
    </row>
    <row r="303" spans="1:17" ht="12.75" hidden="1">
      <c r="A303" s="16" t="s">
        <v>278</v>
      </c>
      <c r="B303" s="57">
        <v>98032</v>
      </c>
      <c r="C303" s="112"/>
      <c r="D303" s="102"/>
      <c r="E303" s="73"/>
      <c r="F303" s="190">
        <f t="shared" si="99"/>
        <v>0</v>
      </c>
      <c r="G303" s="74"/>
      <c r="H303" s="235"/>
      <c r="I303" s="208">
        <f t="shared" si="100"/>
        <v>0</v>
      </c>
      <c r="J303" s="257"/>
      <c r="K303" s="235"/>
      <c r="L303" s="208">
        <f t="shared" si="101"/>
        <v>0</v>
      </c>
      <c r="M303" s="257"/>
      <c r="N303" s="235"/>
      <c r="O303" s="208">
        <f t="shared" si="102"/>
        <v>0</v>
      </c>
      <c r="P303" s="292"/>
      <c r="Q303" s="167">
        <f t="shared" si="103"/>
        <v>0</v>
      </c>
    </row>
    <row r="304" spans="1:17" ht="12.75">
      <c r="A304" s="16" t="s">
        <v>347</v>
      </c>
      <c r="B304" s="57">
        <v>14038</v>
      </c>
      <c r="C304" s="112"/>
      <c r="D304" s="102"/>
      <c r="E304" s="73"/>
      <c r="F304" s="190">
        <f t="shared" si="99"/>
        <v>0</v>
      </c>
      <c r="G304" s="74">
        <f>494.63</f>
        <v>494.63</v>
      </c>
      <c r="H304" s="235"/>
      <c r="I304" s="208">
        <f t="shared" si="100"/>
        <v>494.63</v>
      </c>
      <c r="J304" s="257">
        <f>345.85</f>
        <v>345.85</v>
      </c>
      <c r="K304" s="235"/>
      <c r="L304" s="208">
        <f t="shared" si="101"/>
        <v>840.48</v>
      </c>
      <c r="M304" s="257"/>
      <c r="N304" s="235"/>
      <c r="O304" s="208">
        <f t="shared" si="102"/>
        <v>840.48</v>
      </c>
      <c r="P304" s="292"/>
      <c r="Q304" s="167"/>
    </row>
    <row r="305" spans="1:17" ht="12.75">
      <c r="A305" s="16" t="s">
        <v>275</v>
      </c>
      <c r="B305" s="57"/>
      <c r="C305" s="112">
        <v>5000</v>
      </c>
      <c r="D305" s="102"/>
      <c r="E305" s="73"/>
      <c r="F305" s="190">
        <f t="shared" si="99"/>
        <v>5000</v>
      </c>
      <c r="G305" s="74"/>
      <c r="H305" s="235"/>
      <c r="I305" s="208">
        <f t="shared" si="100"/>
        <v>5000</v>
      </c>
      <c r="J305" s="257"/>
      <c r="K305" s="235"/>
      <c r="L305" s="208">
        <f t="shared" si="101"/>
        <v>5000</v>
      </c>
      <c r="M305" s="257"/>
      <c r="N305" s="235"/>
      <c r="O305" s="208">
        <f t="shared" si="102"/>
        <v>5000</v>
      </c>
      <c r="P305" s="292"/>
      <c r="Q305" s="167">
        <f t="shared" si="103"/>
        <v>5000</v>
      </c>
    </row>
    <row r="306" spans="1:17" ht="12.75">
      <c r="A306" s="16" t="s">
        <v>226</v>
      </c>
      <c r="B306" s="57"/>
      <c r="C306" s="112">
        <v>8200</v>
      </c>
      <c r="D306" s="102">
        <f>700</f>
        <v>700</v>
      </c>
      <c r="E306" s="73"/>
      <c r="F306" s="190">
        <f t="shared" si="99"/>
        <v>8900</v>
      </c>
      <c r="G306" s="74">
        <f>4000+180</f>
        <v>4180</v>
      </c>
      <c r="H306" s="235"/>
      <c r="I306" s="208">
        <f t="shared" si="100"/>
        <v>13080</v>
      </c>
      <c r="J306" s="257">
        <f>200+60+2000</f>
        <v>2260</v>
      </c>
      <c r="K306" s="235"/>
      <c r="L306" s="208">
        <f t="shared" si="101"/>
        <v>15340</v>
      </c>
      <c r="M306" s="257"/>
      <c r="N306" s="235"/>
      <c r="O306" s="208">
        <f t="shared" si="102"/>
        <v>15340</v>
      </c>
      <c r="P306" s="292"/>
      <c r="Q306" s="167">
        <f t="shared" si="103"/>
        <v>15340</v>
      </c>
    </row>
    <row r="307" spans="1:17" ht="12.75">
      <c r="A307" s="16" t="s">
        <v>227</v>
      </c>
      <c r="B307" s="57"/>
      <c r="C307" s="112">
        <v>600</v>
      </c>
      <c r="D307" s="102">
        <f>400</f>
        <v>400</v>
      </c>
      <c r="E307" s="73"/>
      <c r="F307" s="190">
        <f t="shared" si="99"/>
        <v>1000</v>
      </c>
      <c r="G307" s="74"/>
      <c r="H307" s="235"/>
      <c r="I307" s="208">
        <f t="shared" si="100"/>
        <v>1000</v>
      </c>
      <c r="J307" s="257"/>
      <c r="K307" s="235"/>
      <c r="L307" s="208">
        <f t="shared" si="101"/>
        <v>1000</v>
      </c>
      <c r="M307" s="257"/>
      <c r="N307" s="235"/>
      <c r="O307" s="208">
        <f t="shared" si="102"/>
        <v>1000</v>
      </c>
      <c r="P307" s="292"/>
      <c r="Q307" s="167">
        <f t="shared" si="103"/>
        <v>1000</v>
      </c>
    </row>
    <row r="308" spans="1:17" ht="12.75" hidden="1">
      <c r="A308" s="16" t="s">
        <v>51</v>
      </c>
      <c r="B308" s="57"/>
      <c r="C308" s="112"/>
      <c r="D308" s="102"/>
      <c r="E308" s="73"/>
      <c r="F308" s="190">
        <f t="shared" si="99"/>
        <v>0</v>
      </c>
      <c r="G308" s="74"/>
      <c r="H308" s="235"/>
      <c r="I308" s="208">
        <f t="shared" si="100"/>
        <v>0</v>
      </c>
      <c r="J308" s="257"/>
      <c r="K308" s="235"/>
      <c r="L308" s="208">
        <f t="shared" si="101"/>
        <v>0</v>
      </c>
      <c r="M308" s="257"/>
      <c r="N308" s="235"/>
      <c r="O308" s="208">
        <f>L308+M308+N308</f>
        <v>0</v>
      </c>
      <c r="P308" s="292"/>
      <c r="Q308" s="167">
        <f t="shared" si="103"/>
        <v>0</v>
      </c>
    </row>
    <row r="309" spans="1:17" ht="12.75">
      <c r="A309" s="23" t="s">
        <v>52</v>
      </c>
      <c r="B309" s="61"/>
      <c r="C309" s="116">
        <f aca="true" t="shared" si="104" ref="C309:Q309">SUM(C311:C315)</f>
        <v>800</v>
      </c>
      <c r="D309" s="106">
        <f t="shared" si="104"/>
        <v>200</v>
      </c>
      <c r="E309" s="83">
        <f t="shared" si="104"/>
        <v>0</v>
      </c>
      <c r="F309" s="194">
        <f t="shared" si="104"/>
        <v>1000</v>
      </c>
      <c r="G309" s="82">
        <f t="shared" si="104"/>
        <v>0</v>
      </c>
      <c r="H309" s="240">
        <f t="shared" si="104"/>
        <v>0</v>
      </c>
      <c r="I309" s="212">
        <f t="shared" si="104"/>
        <v>1000</v>
      </c>
      <c r="J309" s="263">
        <f t="shared" si="104"/>
        <v>0</v>
      </c>
      <c r="K309" s="240">
        <f t="shared" si="104"/>
        <v>0</v>
      </c>
      <c r="L309" s="212">
        <f t="shared" si="104"/>
        <v>1000</v>
      </c>
      <c r="M309" s="263">
        <f t="shared" si="104"/>
        <v>0</v>
      </c>
      <c r="N309" s="240">
        <f t="shared" si="104"/>
        <v>0</v>
      </c>
      <c r="O309" s="212">
        <f t="shared" si="104"/>
        <v>1000</v>
      </c>
      <c r="P309" s="106">
        <f t="shared" si="104"/>
        <v>0</v>
      </c>
      <c r="Q309" s="155">
        <f t="shared" si="104"/>
        <v>1000</v>
      </c>
    </row>
    <row r="310" spans="1:17" ht="12.75">
      <c r="A310" s="14" t="s">
        <v>26</v>
      </c>
      <c r="B310" s="57"/>
      <c r="C310" s="113"/>
      <c r="D310" s="103"/>
      <c r="E310" s="76"/>
      <c r="F310" s="191"/>
      <c r="G310" s="75"/>
      <c r="H310" s="237"/>
      <c r="I310" s="209"/>
      <c r="J310" s="259"/>
      <c r="K310" s="237"/>
      <c r="L310" s="209"/>
      <c r="M310" s="259"/>
      <c r="N310" s="237"/>
      <c r="O310" s="209"/>
      <c r="P310" s="292"/>
      <c r="Q310" s="167"/>
    </row>
    <row r="311" spans="1:17" ht="12.75" hidden="1">
      <c r="A311" s="16" t="s">
        <v>145</v>
      </c>
      <c r="B311" s="57"/>
      <c r="C311" s="112"/>
      <c r="D311" s="102"/>
      <c r="E311" s="73"/>
      <c r="F311" s="190">
        <f>C311+D311+E311</f>
        <v>0</v>
      </c>
      <c r="G311" s="74"/>
      <c r="H311" s="235"/>
      <c r="I311" s="208">
        <f>F311+G311+H311</f>
        <v>0</v>
      </c>
      <c r="J311" s="257"/>
      <c r="K311" s="235"/>
      <c r="L311" s="208">
        <f>I311+J311+K311</f>
        <v>0</v>
      </c>
      <c r="M311" s="257"/>
      <c r="N311" s="235"/>
      <c r="O311" s="208">
        <f>L311+M311+N311</f>
        <v>0</v>
      </c>
      <c r="P311" s="292"/>
      <c r="Q311" s="167">
        <f>O311+P311</f>
        <v>0</v>
      </c>
    </row>
    <row r="312" spans="1:17" ht="12.75">
      <c r="A312" s="19" t="s">
        <v>226</v>
      </c>
      <c r="B312" s="60"/>
      <c r="C312" s="181">
        <v>800</v>
      </c>
      <c r="D312" s="172">
        <f>200</f>
        <v>200</v>
      </c>
      <c r="E312" s="81"/>
      <c r="F312" s="195">
        <f>C312+D312+E312</f>
        <v>1000</v>
      </c>
      <c r="G312" s="226"/>
      <c r="H312" s="241"/>
      <c r="I312" s="213">
        <f>F312+G312+H312</f>
        <v>1000</v>
      </c>
      <c r="J312" s="264"/>
      <c r="K312" s="241"/>
      <c r="L312" s="213">
        <f>I312+J312+K312</f>
        <v>1000</v>
      </c>
      <c r="M312" s="264"/>
      <c r="N312" s="241"/>
      <c r="O312" s="213">
        <f>L312+M312+N312</f>
        <v>1000</v>
      </c>
      <c r="P312" s="292"/>
      <c r="Q312" s="167">
        <f>O312+P312</f>
        <v>1000</v>
      </c>
    </row>
    <row r="313" spans="1:17" ht="12.75" hidden="1">
      <c r="A313" s="16" t="s">
        <v>227</v>
      </c>
      <c r="B313" s="57"/>
      <c r="C313" s="112"/>
      <c r="D313" s="102"/>
      <c r="E313" s="73"/>
      <c r="F313" s="190">
        <f>C313+D313+E313</f>
        <v>0</v>
      </c>
      <c r="G313" s="74"/>
      <c r="H313" s="235"/>
      <c r="I313" s="208">
        <f>F313+G313+H313</f>
        <v>0</v>
      </c>
      <c r="J313" s="257"/>
      <c r="K313" s="235"/>
      <c r="L313" s="208">
        <f>I313+J313+K313</f>
        <v>0</v>
      </c>
      <c r="M313" s="257"/>
      <c r="N313" s="235"/>
      <c r="O313" s="208">
        <f>L313+M313+N313</f>
        <v>0</v>
      </c>
      <c r="P313" s="292"/>
      <c r="Q313" s="167">
        <f>O313+P313</f>
        <v>0</v>
      </c>
    </row>
    <row r="314" spans="1:17" ht="12.75" hidden="1">
      <c r="A314" s="16" t="s">
        <v>51</v>
      </c>
      <c r="B314" s="57"/>
      <c r="C314" s="112"/>
      <c r="D314" s="102"/>
      <c r="E314" s="73"/>
      <c r="F314" s="190">
        <f>C314+D314+E314</f>
        <v>0</v>
      </c>
      <c r="G314" s="74"/>
      <c r="H314" s="235"/>
      <c r="I314" s="208">
        <f>F314+G314+H314</f>
        <v>0</v>
      </c>
      <c r="J314" s="257"/>
      <c r="K314" s="235"/>
      <c r="L314" s="208">
        <f>I314+J314+K314</f>
        <v>0</v>
      </c>
      <c r="M314" s="257"/>
      <c r="N314" s="235"/>
      <c r="O314" s="208">
        <f>L314+M314+N314</f>
        <v>0</v>
      </c>
      <c r="P314" s="292"/>
      <c r="Q314" s="167">
        <f>O314+P314</f>
        <v>0</v>
      </c>
    </row>
    <row r="315" spans="1:17" ht="12.75" hidden="1">
      <c r="A315" s="19" t="s">
        <v>53</v>
      </c>
      <c r="B315" s="60"/>
      <c r="C315" s="181"/>
      <c r="D315" s="172"/>
      <c r="E315" s="81"/>
      <c r="F315" s="195">
        <f>C315+D315+E315</f>
        <v>0</v>
      </c>
      <c r="G315" s="226"/>
      <c r="H315" s="241"/>
      <c r="I315" s="213">
        <f>F315+G315+H315</f>
        <v>0</v>
      </c>
      <c r="J315" s="264"/>
      <c r="K315" s="241"/>
      <c r="L315" s="213">
        <f>I315+J315+K315</f>
        <v>0</v>
      </c>
      <c r="M315" s="264"/>
      <c r="N315" s="241"/>
      <c r="O315" s="213">
        <f>L315+M315+N315</f>
        <v>0</v>
      </c>
      <c r="P315" s="292"/>
      <c r="Q315" s="167">
        <f>O315+P315</f>
        <v>0</v>
      </c>
    </row>
    <row r="316" spans="1:17" ht="12.75">
      <c r="A316" s="13" t="s">
        <v>230</v>
      </c>
      <c r="B316" s="61"/>
      <c r="C316" s="111">
        <f aca="true" t="shared" si="105" ref="C316:Q316">C317+C333</f>
        <v>491947.48</v>
      </c>
      <c r="D316" s="92">
        <f t="shared" si="105"/>
        <v>9355.5</v>
      </c>
      <c r="E316" s="72">
        <f t="shared" si="105"/>
        <v>0</v>
      </c>
      <c r="F316" s="189">
        <f t="shared" si="105"/>
        <v>501302.98</v>
      </c>
      <c r="G316" s="71">
        <f t="shared" si="105"/>
        <v>1996.97</v>
      </c>
      <c r="H316" s="234">
        <f t="shared" si="105"/>
        <v>0</v>
      </c>
      <c r="I316" s="207">
        <f t="shared" si="105"/>
        <v>503299.94999999995</v>
      </c>
      <c r="J316" s="256">
        <f t="shared" si="105"/>
        <v>0</v>
      </c>
      <c r="K316" s="234">
        <f t="shared" si="105"/>
        <v>0</v>
      </c>
      <c r="L316" s="207">
        <f t="shared" si="105"/>
        <v>503299.94999999995</v>
      </c>
      <c r="M316" s="256">
        <f t="shared" si="105"/>
        <v>10000</v>
      </c>
      <c r="N316" s="234">
        <f t="shared" si="105"/>
        <v>0</v>
      </c>
      <c r="O316" s="207">
        <f t="shared" si="105"/>
        <v>513299.94999999995</v>
      </c>
      <c r="P316" s="92">
        <f t="shared" si="105"/>
        <v>0</v>
      </c>
      <c r="Q316" s="150">
        <f t="shared" si="105"/>
        <v>513299.94999999995</v>
      </c>
    </row>
    <row r="317" spans="1:17" ht="12.75">
      <c r="A317" s="22" t="s">
        <v>48</v>
      </c>
      <c r="B317" s="61"/>
      <c r="C317" s="115">
        <f aca="true" t="shared" si="106" ref="C317:Q317">SUM(C319:C332)</f>
        <v>491947.48</v>
      </c>
      <c r="D317" s="105">
        <f t="shared" si="106"/>
        <v>9355.5</v>
      </c>
      <c r="E317" s="80">
        <f t="shared" si="106"/>
        <v>0</v>
      </c>
      <c r="F317" s="193">
        <f t="shared" si="106"/>
        <v>501302.98</v>
      </c>
      <c r="G317" s="79">
        <f t="shared" si="106"/>
        <v>1996.97</v>
      </c>
      <c r="H317" s="239">
        <f t="shared" si="106"/>
        <v>0</v>
      </c>
      <c r="I317" s="211">
        <f t="shared" si="106"/>
        <v>503299.94999999995</v>
      </c>
      <c r="J317" s="262">
        <f t="shared" si="106"/>
        <v>0</v>
      </c>
      <c r="K317" s="239">
        <f t="shared" si="106"/>
        <v>0</v>
      </c>
      <c r="L317" s="211">
        <f t="shared" si="106"/>
        <v>503299.94999999995</v>
      </c>
      <c r="M317" s="262">
        <f t="shared" si="106"/>
        <v>10000</v>
      </c>
      <c r="N317" s="239">
        <f t="shared" si="106"/>
        <v>0</v>
      </c>
      <c r="O317" s="211">
        <f t="shared" si="106"/>
        <v>513299.94999999995</v>
      </c>
      <c r="P317" s="105">
        <f t="shared" si="106"/>
        <v>0</v>
      </c>
      <c r="Q317" s="154">
        <f t="shared" si="106"/>
        <v>513299.94999999995</v>
      </c>
    </row>
    <row r="318" spans="1:17" ht="12.75">
      <c r="A318" s="18" t="s">
        <v>26</v>
      </c>
      <c r="B318" s="57"/>
      <c r="C318" s="112"/>
      <c r="D318" s="102"/>
      <c r="E318" s="73"/>
      <c r="F318" s="190"/>
      <c r="G318" s="74"/>
      <c r="H318" s="235"/>
      <c r="I318" s="208"/>
      <c r="J318" s="257"/>
      <c r="K318" s="235"/>
      <c r="L318" s="208"/>
      <c r="M318" s="257"/>
      <c r="N318" s="235"/>
      <c r="O318" s="208"/>
      <c r="P318" s="292"/>
      <c r="Q318" s="167"/>
    </row>
    <row r="319" spans="1:17" ht="12.75">
      <c r="A319" s="58" t="s">
        <v>128</v>
      </c>
      <c r="B319" s="57"/>
      <c r="C319" s="112">
        <v>286095.26</v>
      </c>
      <c r="D319" s="142">
        <f>1339.5</f>
        <v>1339.5</v>
      </c>
      <c r="E319" s="73"/>
      <c r="F319" s="190">
        <f aca="true" t="shared" si="107" ref="F319:F332">C319+D319+E319</f>
        <v>287434.76</v>
      </c>
      <c r="G319" s="74"/>
      <c r="H319" s="235"/>
      <c r="I319" s="208">
        <f>F319+G319+H319</f>
        <v>287434.76</v>
      </c>
      <c r="J319" s="257"/>
      <c r="K319" s="235"/>
      <c r="L319" s="208">
        <f>I319+J319+K319</f>
        <v>287434.76</v>
      </c>
      <c r="M319" s="257">
        <f>7283.11</f>
        <v>7283.11</v>
      </c>
      <c r="N319" s="235"/>
      <c r="O319" s="208">
        <f>L319+M319+N319</f>
        <v>294717.87</v>
      </c>
      <c r="P319" s="292"/>
      <c r="Q319" s="167">
        <f aca="true" t="shared" si="108" ref="Q319:Q331">O319+P319</f>
        <v>294717.87</v>
      </c>
    </row>
    <row r="320" spans="1:17" ht="12.75">
      <c r="A320" s="16" t="s">
        <v>49</v>
      </c>
      <c r="B320" s="57"/>
      <c r="C320" s="112">
        <v>96478.54</v>
      </c>
      <c r="D320" s="102"/>
      <c r="E320" s="73"/>
      <c r="F320" s="190">
        <f t="shared" si="107"/>
        <v>96478.54</v>
      </c>
      <c r="G320" s="74"/>
      <c r="H320" s="235"/>
      <c r="I320" s="208">
        <f aca="true" t="shared" si="109" ref="I320:I329">F320+G320+H320</f>
        <v>96478.54</v>
      </c>
      <c r="J320" s="257"/>
      <c r="K320" s="235"/>
      <c r="L320" s="208">
        <f aca="true" t="shared" si="110" ref="L320:L332">I320+J320+K320</f>
        <v>96478.54</v>
      </c>
      <c r="M320" s="257">
        <f>2462</f>
        <v>2462</v>
      </c>
      <c r="N320" s="235"/>
      <c r="O320" s="208">
        <f aca="true" t="shared" si="111" ref="O320:O332">L320+M320+N320</f>
        <v>98940.54</v>
      </c>
      <c r="P320" s="292"/>
      <c r="Q320" s="167">
        <f t="shared" si="108"/>
        <v>98940.54</v>
      </c>
    </row>
    <row r="321" spans="1:17" ht="12.75">
      <c r="A321" s="16" t="s">
        <v>225</v>
      </c>
      <c r="B321" s="57"/>
      <c r="C321" s="112">
        <v>196</v>
      </c>
      <c r="D321" s="102"/>
      <c r="E321" s="73"/>
      <c r="F321" s="190">
        <f t="shared" si="107"/>
        <v>196</v>
      </c>
      <c r="G321" s="74"/>
      <c r="H321" s="235"/>
      <c r="I321" s="208">
        <f t="shared" si="109"/>
        <v>196</v>
      </c>
      <c r="J321" s="257"/>
      <c r="K321" s="235"/>
      <c r="L321" s="208">
        <f t="shared" si="110"/>
        <v>196</v>
      </c>
      <c r="M321" s="257"/>
      <c r="N321" s="235"/>
      <c r="O321" s="208">
        <f t="shared" si="111"/>
        <v>196</v>
      </c>
      <c r="P321" s="292"/>
      <c r="Q321" s="167">
        <f t="shared" si="108"/>
        <v>196</v>
      </c>
    </row>
    <row r="322" spans="1:17" ht="12.75">
      <c r="A322" s="16" t="s">
        <v>50</v>
      </c>
      <c r="B322" s="57"/>
      <c r="C322" s="112">
        <v>44294.28</v>
      </c>
      <c r="D322" s="171">
        <f>3500</f>
        <v>3500</v>
      </c>
      <c r="E322" s="73"/>
      <c r="F322" s="190">
        <f t="shared" si="107"/>
        <v>47794.28</v>
      </c>
      <c r="G322" s="74">
        <f>505.74</f>
        <v>505.74</v>
      </c>
      <c r="H322" s="235"/>
      <c r="I322" s="208">
        <f t="shared" si="109"/>
        <v>48300.02</v>
      </c>
      <c r="J322" s="257"/>
      <c r="K322" s="235"/>
      <c r="L322" s="208">
        <f t="shared" si="110"/>
        <v>48300.02</v>
      </c>
      <c r="M322" s="257">
        <f>254.89</f>
        <v>254.89</v>
      </c>
      <c r="N322" s="235"/>
      <c r="O322" s="208">
        <f t="shared" si="111"/>
        <v>48554.909999999996</v>
      </c>
      <c r="P322" s="292"/>
      <c r="Q322" s="167">
        <f t="shared" si="108"/>
        <v>48554.909999999996</v>
      </c>
    </row>
    <row r="323" spans="1:17" ht="12.75">
      <c r="A323" s="16" t="s">
        <v>54</v>
      </c>
      <c r="B323" s="57">
        <v>1115</v>
      </c>
      <c r="C323" s="112">
        <v>343</v>
      </c>
      <c r="D323" s="102">
        <f>201</f>
        <v>201</v>
      </c>
      <c r="E323" s="73"/>
      <c r="F323" s="190">
        <f t="shared" si="107"/>
        <v>544</v>
      </c>
      <c r="G323" s="74"/>
      <c r="H323" s="235"/>
      <c r="I323" s="208">
        <f t="shared" si="109"/>
        <v>544</v>
      </c>
      <c r="J323" s="257"/>
      <c r="K323" s="235"/>
      <c r="L323" s="208">
        <f t="shared" si="110"/>
        <v>544</v>
      </c>
      <c r="M323" s="257"/>
      <c r="N323" s="235"/>
      <c r="O323" s="208">
        <f t="shared" si="111"/>
        <v>544</v>
      </c>
      <c r="P323" s="292"/>
      <c r="Q323" s="167">
        <f t="shared" si="108"/>
        <v>544</v>
      </c>
    </row>
    <row r="324" spans="1:17" ht="12.75">
      <c r="A324" s="16" t="s">
        <v>55</v>
      </c>
      <c r="B324" s="57">
        <v>51</v>
      </c>
      <c r="C324" s="112">
        <v>64540.4</v>
      </c>
      <c r="D324" s="102">
        <f>3500</f>
        <v>3500</v>
      </c>
      <c r="E324" s="73"/>
      <c r="F324" s="190">
        <f t="shared" si="107"/>
        <v>68040.4</v>
      </c>
      <c r="G324" s="74"/>
      <c r="H324" s="235"/>
      <c r="I324" s="208">
        <f t="shared" si="109"/>
        <v>68040.4</v>
      </c>
      <c r="J324" s="257"/>
      <c r="K324" s="235"/>
      <c r="L324" s="208">
        <f t="shared" si="110"/>
        <v>68040.4</v>
      </c>
      <c r="M324" s="257"/>
      <c r="N324" s="235"/>
      <c r="O324" s="208">
        <f t="shared" si="111"/>
        <v>68040.4</v>
      </c>
      <c r="P324" s="292"/>
      <c r="Q324" s="167">
        <f t="shared" si="108"/>
        <v>68040.4</v>
      </c>
    </row>
    <row r="325" spans="1:17" ht="12.75" hidden="1">
      <c r="A325" s="16" t="s">
        <v>71</v>
      </c>
      <c r="B325" s="57"/>
      <c r="C325" s="112"/>
      <c r="D325" s="102"/>
      <c r="E325" s="73"/>
      <c r="F325" s="190">
        <f t="shared" si="107"/>
        <v>0</v>
      </c>
      <c r="G325" s="74"/>
      <c r="H325" s="235"/>
      <c r="I325" s="208">
        <f t="shared" si="109"/>
        <v>0</v>
      </c>
      <c r="J325" s="257"/>
      <c r="K325" s="235"/>
      <c r="L325" s="208">
        <f t="shared" si="110"/>
        <v>0</v>
      </c>
      <c r="M325" s="257"/>
      <c r="N325" s="235"/>
      <c r="O325" s="208">
        <f t="shared" si="111"/>
        <v>0</v>
      </c>
      <c r="P325" s="292"/>
      <c r="Q325" s="167">
        <f t="shared" si="108"/>
        <v>0</v>
      </c>
    </row>
    <row r="326" spans="1:17" ht="12.75">
      <c r="A326" s="16" t="s">
        <v>343</v>
      </c>
      <c r="B326" s="57">
        <v>13015</v>
      </c>
      <c r="C326" s="112"/>
      <c r="D326" s="102"/>
      <c r="E326" s="73"/>
      <c r="F326" s="190">
        <f t="shared" si="107"/>
        <v>0</v>
      </c>
      <c r="G326" s="74">
        <f>976.23</f>
        <v>976.23</v>
      </c>
      <c r="H326" s="235"/>
      <c r="I326" s="208">
        <f t="shared" si="109"/>
        <v>976.23</v>
      </c>
      <c r="J326" s="257"/>
      <c r="K326" s="235"/>
      <c r="L326" s="208">
        <f t="shared" si="110"/>
        <v>976.23</v>
      </c>
      <c r="M326" s="257"/>
      <c r="N326" s="235"/>
      <c r="O326" s="208">
        <f t="shared" si="111"/>
        <v>976.23</v>
      </c>
      <c r="P326" s="292"/>
      <c r="Q326" s="167">
        <f t="shared" si="108"/>
        <v>976.23</v>
      </c>
    </row>
    <row r="327" spans="1:17" ht="12.75" hidden="1">
      <c r="A327" s="16" t="s">
        <v>56</v>
      </c>
      <c r="B327" s="57"/>
      <c r="C327" s="112"/>
      <c r="D327" s="102"/>
      <c r="E327" s="73"/>
      <c r="F327" s="190">
        <f t="shared" si="107"/>
        <v>0</v>
      </c>
      <c r="G327" s="74"/>
      <c r="H327" s="235"/>
      <c r="I327" s="208">
        <f t="shared" si="109"/>
        <v>0</v>
      </c>
      <c r="J327" s="257"/>
      <c r="K327" s="235"/>
      <c r="L327" s="208">
        <f t="shared" si="110"/>
        <v>0</v>
      </c>
      <c r="M327" s="257"/>
      <c r="N327" s="235"/>
      <c r="O327" s="208">
        <f t="shared" si="111"/>
        <v>0</v>
      </c>
      <c r="P327" s="292"/>
      <c r="Q327" s="167">
        <f t="shared" si="108"/>
        <v>0</v>
      </c>
    </row>
    <row r="328" spans="1:17" ht="12.75">
      <c r="A328" s="16" t="s">
        <v>233</v>
      </c>
      <c r="B328" s="57">
        <v>98008</v>
      </c>
      <c r="C328" s="112"/>
      <c r="D328" s="102">
        <f>800</f>
        <v>800</v>
      </c>
      <c r="E328" s="73"/>
      <c r="F328" s="190">
        <f t="shared" si="107"/>
        <v>800</v>
      </c>
      <c r="G328" s="74"/>
      <c r="H328" s="235"/>
      <c r="I328" s="208">
        <f t="shared" si="109"/>
        <v>800</v>
      </c>
      <c r="J328" s="257"/>
      <c r="K328" s="235"/>
      <c r="L328" s="208">
        <f t="shared" si="110"/>
        <v>800</v>
      </c>
      <c r="M328" s="257"/>
      <c r="N328" s="235"/>
      <c r="O328" s="208">
        <f t="shared" si="111"/>
        <v>800</v>
      </c>
      <c r="P328" s="292"/>
      <c r="Q328" s="167">
        <f t="shared" si="108"/>
        <v>800</v>
      </c>
    </row>
    <row r="329" spans="1:17" ht="12.75" hidden="1">
      <c r="A329" s="16" t="s">
        <v>234</v>
      </c>
      <c r="B329" s="57">
        <v>98071</v>
      </c>
      <c r="C329" s="112"/>
      <c r="D329" s="102"/>
      <c r="E329" s="73"/>
      <c r="F329" s="190">
        <f t="shared" si="107"/>
        <v>0</v>
      </c>
      <c r="G329" s="74"/>
      <c r="H329" s="235"/>
      <c r="I329" s="208">
        <f t="shared" si="109"/>
        <v>0</v>
      </c>
      <c r="J329" s="257"/>
      <c r="K329" s="235"/>
      <c r="L329" s="208">
        <f t="shared" si="110"/>
        <v>0</v>
      </c>
      <c r="M329" s="257"/>
      <c r="N329" s="235"/>
      <c r="O329" s="208">
        <f t="shared" si="111"/>
        <v>0</v>
      </c>
      <c r="P329" s="292"/>
      <c r="Q329" s="167">
        <f t="shared" si="108"/>
        <v>0</v>
      </c>
    </row>
    <row r="330" spans="1:17" ht="12.75">
      <c r="A330" s="16" t="s">
        <v>57</v>
      </c>
      <c r="B330" s="57">
        <v>98074</v>
      </c>
      <c r="C330" s="112"/>
      <c r="D330" s="102">
        <f>15</f>
        <v>15</v>
      </c>
      <c r="E330" s="73"/>
      <c r="F330" s="190">
        <f t="shared" si="107"/>
        <v>15</v>
      </c>
      <c r="G330" s="74">
        <f>15</f>
        <v>15</v>
      </c>
      <c r="H330" s="235"/>
      <c r="I330" s="208">
        <f>F330+G330+H330</f>
        <v>30</v>
      </c>
      <c r="J330" s="257"/>
      <c r="K330" s="235"/>
      <c r="L330" s="208">
        <f t="shared" si="110"/>
        <v>30</v>
      </c>
      <c r="M330" s="257"/>
      <c r="N330" s="235"/>
      <c r="O330" s="208">
        <f t="shared" si="111"/>
        <v>30</v>
      </c>
      <c r="P330" s="292"/>
      <c r="Q330" s="167">
        <f t="shared" si="108"/>
        <v>30</v>
      </c>
    </row>
    <row r="331" spans="1:17" ht="12.75" hidden="1">
      <c r="A331" s="16" t="s">
        <v>58</v>
      </c>
      <c r="B331" s="57"/>
      <c r="C331" s="112"/>
      <c r="D331" s="102"/>
      <c r="E331" s="73"/>
      <c r="F331" s="190">
        <f t="shared" si="107"/>
        <v>0</v>
      </c>
      <c r="G331" s="74"/>
      <c r="H331" s="235"/>
      <c r="I331" s="208">
        <f>F331+G331+H331</f>
        <v>0</v>
      </c>
      <c r="J331" s="257"/>
      <c r="K331" s="235"/>
      <c r="L331" s="208">
        <f t="shared" si="110"/>
        <v>0</v>
      </c>
      <c r="M331" s="257"/>
      <c r="N331" s="235"/>
      <c r="O331" s="208">
        <f t="shared" si="111"/>
        <v>0</v>
      </c>
      <c r="P331" s="292"/>
      <c r="Q331" s="167">
        <f t="shared" si="108"/>
        <v>0</v>
      </c>
    </row>
    <row r="332" spans="1:17" ht="12.75">
      <c r="A332" s="19" t="s">
        <v>59</v>
      </c>
      <c r="B332" s="60">
        <v>4001</v>
      </c>
      <c r="C332" s="181"/>
      <c r="D332" s="172"/>
      <c r="E332" s="81"/>
      <c r="F332" s="195">
        <f t="shared" si="107"/>
        <v>0</v>
      </c>
      <c r="G332" s="226">
        <f>500</f>
        <v>500</v>
      </c>
      <c r="H332" s="241"/>
      <c r="I332" s="213">
        <f>F332+G332+H332</f>
        <v>500</v>
      </c>
      <c r="J332" s="264"/>
      <c r="K332" s="241"/>
      <c r="L332" s="213">
        <f t="shared" si="110"/>
        <v>500</v>
      </c>
      <c r="M332" s="264"/>
      <c r="N332" s="241"/>
      <c r="O332" s="213">
        <f t="shared" si="111"/>
        <v>500</v>
      </c>
      <c r="P332" s="292"/>
      <c r="Q332" s="167">
        <f>O332+P332</f>
        <v>500</v>
      </c>
    </row>
    <row r="333" spans="1:17" ht="12.75" hidden="1">
      <c r="A333" s="22" t="s">
        <v>52</v>
      </c>
      <c r="B333" s="61"/>
      <c r="C333" s="115">
        <f>C336+C335</f>
        <v>0</v>
      </c>
      <c r="D333" s="105">
        <f aca="true" t="shared" si="112" ref="D333:Q333">D336+D335</f>
        <v>0</v>
      </c>
      <c r="E333" s="80">
        <f t="shared" si="112"/>
        <v>0</v>
      </c>
      <c r="F333" s="193">
        <f t="shared" si="112"/>
        <v>0</v>
      </c>
      <c r="G333" s="79">
        <f t="shared" si="112"/>
        <v>0</v>
      </c>
      <c r="H333" s="239">
        <f t="shared" si="112"/>
        <v>0</v>
      </c>
      <c r="I333" s="211">
        <f t="shared" si="112"/>
        <v>0</v>
      </c>
      <c r="J333" s="262">
        <f t="shared" si="112"/>
        <v>0</v>
      </c>
      <c r="K333" s="239">
        <f t="shared" si="112"/>
        <v>0</v>
      </c>
      <c r="L333" s="211">
        <f t="shared" si="112"/>
        <v>0</v>
      </c>
      <c r="M333" s="262">
        <f t="shared" si="112"/>
        <v>0</v>
      </c>
      <c r="N333" s="239">
        <f t="shared" si="112"/>
        <v>0</v>
      </c>
      <c r="O333" s="211">
        <f t="shared" si="112"/>
        <v>0</v>
      </c>
      <c r="P333" s="105">
        <f t="shared" si="112"/>
        <v>0</v>
      </c>
      <c r="Q333" s="154">
        <f t="shared" si="112"/>
        <v>0</v>
      </c>
    </row>
    <row r="334" spans="1:17" ht="12.75" hidden="1">
      <c r="A334" s="18" t="s">
        <v>26</v>
      </c>
      <c r="B334" s="57"/>
      <c r="C334" s="112"/>
      <c r="D334" s="102"/>
      <c r="E334" s="73"/>
      <c r="F334" s="189"/>
      <c r="G334" s="74"/>
      <c r="H334" s="235"/>
      <c r="I334" s="207"/>
      <c r="J334" s="257"/>
      <c r="K334" s="235"/>
      <c r="L334" s="207"/>
      <c r="M334" s="257"/>
      <c r="N334" s="235"/>
      <c r="O334" s="207"/>
      <c r="P334" s="292"/>
      <c r="Q334" s="167"/>
    </row>
    <row r="335" spans="1:17" ht="12.75" hidden="1">
      <c r="A335" s="15" t="s">
        <v>53</v>
      </c>
      <c r="B335" s="57"/>
      <c r="C335" s="112"/>
      <c r="D335" s="102"/>
      <c r="E335" s="73"/>
      <c r="F335" s="190">
        <f>C335+D335+E335</f>
        <v>0</v>
      </c>
      <c r="G335" s="74"/>
      <c r="H335" s="235"/>
      <c r="I335" s="208">
        <f>F335+G335+H335</f>
        <v>0</v>
      </c>
      <c r="J335" s="257"/>
      <c r="K335" s="235"/>
      <c r="L335" s="208">
        <f>I335+J335+K335</f>
        <v>0</v>
      </c>
      <c r="M335" s="257"/>
      <c r="N335" s="235"/>
      <c r="O335" s="208">
        <f>L335+M335+N335</f>
        <v>0</v>
      </c>
      <c r="P335" s="292"/>
      <c r="Q335" s="167">
        <f>O335+P335</f>
        <v>0</v>
      </c>
    </row>
    <row r="336" spans="1:17" ht="12.75" hidden="1">
      <c r="A336" s="19" t="s">
        <v>72</v>
      </c>
      <c r="B336" s="60"/>
      <c r="C336" s="181"/>
      <c r="D336" s="172"/>
      <c r="E336" s="81"/>
      <c r="F336" s="195">
        <f>C336+D336+E336</f>
        <v>0</v>
      </c>
      <c r="G336" s="226"/>
      <c r="H336" s="241"/>
      <c r="I336" s="213">
        <f>F336+G336+H336</f>
        <v>0</v>
      </c>
      <c r="J336" s="264"/>
      <c r="K336" s="241"/>
      <c r="L336" s="213">
        <f>I336+J336+K336</f>
        <v>0</v>
      </c>
      <c r="M336" s="264"/>
      <c r="N336" s="241"/>
      <c r="O336" s="213">
        <f>L336+M336+N336</f>
        <v>0</v>
      </c>
      <c r="P336" s="295"/>
      <c r="Q336" s="168">
        <f>O336+P336</f>
        <v>0</v>
      </c>
    </row>
    <row r="337" spans="1:17" ht="12.75">
      <c r="A337" s="27" t="s">
        <v>155</v>
      </c>
      <c r="B337" s="62"/>
      <c r="C337" s="111">
        <f aca="true" t="shared" si="113" ref="C337:Q337">C338+C368</f>
        <v>552007.16</v>
      </c>
      <c r="D337" s="92">
        <f t="shared" si="113"/>
        <v>1590894.3599999999</v>
      </c>
      <c r="E337" s="72">
        <f t="shared" si="113"/>
        <v>0</v>
      </c>
      <c r="F337" s="189">
        <f t="shared" si="113"/>
        <v>2142901.52</v>
      </c>
      <c r="G337" s="71">
        <f t="shared" si="113"/>
        <v>551502.7600000001</v>
      </c>
      <c r="H337" s="234">
        <f t="shared" si="113"/>
        <v>4610.66</v>
      </c>
      <c r="I337" s="207">
        <f t="shared" si="113"/>
        <v>2699014.94</v>
      </c>
      <c r="J337" s="256">
        <f t="shared" si="113"/>
        <v>170145.96</v>
      </c>
      <c r="K337" s="234">
        <f t="shared" si="113"/>
        <v>13641.18</v>
      </c>
      <c r="L337" s="207">
        <f t="shared" si="113"/>
        <v>2882802.08</v>
      </c>
      <c r="M337" s="256">
        <f t="shared" si="113"/>
        <v>334726.1</v>
      </c>
      <c r="N337" s="234">
        <f t="shared" si="113"/>
        <v>20325.13</v>
      </c>
      <c r="O337" s="207">
        <f t="shared" si="113"/>
        <v>3237853.31</v>
      </c>
      <c r="P337" s="92">
        <f t="shared" si="113"/>
        <v>0</v>
      </c>
      <c r="Q337" s="150">
        <f t="shared" si="113"/>
        <v>2934070.4299999997</v>
      </c>
    </row>
    <row r="338" spans="1:17" ht="12.75">
      <c r="A338" s="22" t="s">
        <v>48</v>
      </c>
      <c r="B338" s="61"/>
      <c r="C338" s="115">
        <f aca="true" t="shared" si="114" ref="C338:Q338">SUM(C340:C356)</f>
        <v>95289.24</v>
      </c>
      <c r="D338" s="105">
        <f t="shared" si="114"/>
        <v>50573.979999999996</v>
      </c>
      <c r="E338" s="80">
        <f t="shared" si="114"/>
        <v>0</v>
      </c>
      <c r="F338" s="193">
        <f t="shared" si="114"/>
        <v>145863.22</v>
      </c>
      <c r="G338" s="79">
        <f t="shared" si="114"/>
        <v>8903.93</v>
      </c>
      <c r="H338" s="239">
        <f t="shared" si="114"/>
        <v>21.78</v>
      </c>
      <c r="I338" s="211">
        <f t="shared" si="114"/>
        <v>154788.93</v>
      </c>
      <c r="J338" s="262">
        <f t="shared" si="114"/>
        <v>27937.989999999998</v>
      </c>
      <c r="K338" s="239">
        <f t="shared" si="114"/>
        <v>21.78</v>
      </c>
      <c r="L338" s="211">
        <f t="shared" si="114"/>
        <v>182748.7</v>
      </c>
      <c r="M338" s="262">
        <f t="shared" si="114"/>
        <v>98729.89</v>
      </c>
      <c r="N338" s="239">
        <f t="shared" si="114"/>
        <v>540.31</v>
      </c>
      <c r="O338" s="211">
        <f t="shared" si="114"/>
        <v>282018.89999999997</v>
      </c>
      <c r="P338" s="105">
        <f t="shared" si="114"/>
        <v>0</v>
      </c>
      <c r="Q338" s="154">
        <f t="shared" si="114"/>
        <v>180480.32</v>
      </c>
    </row>
    <row r="339" spans="1:17" ht="12.75">
      <c r="A339" s="18" t="s">
        <v>26</v>
      </c>
      <c r="B339" s="57"/>
      <c r="C339" s="115"/>
      <c r="D339" s="173"/>
      <c r="E339" s="90"/>
      <c r="F339" s="193"/>
      <c r="G339" s="74"/>
      <c r="H339" s="235"/>
      <c r="I339" s="208"/>
      <c r="J339" s="257"/>
      <c r="K339" s="235"/>
      <c r="L339" s="208"/>
      <c r="M339" s="260"/>
      <c r="N339" s="235"/>
      <c r="O339" s="208"/>
      <c r="P339" s="292"/>
      <c r="Q339" s="167"/>
    </row>
    <row r="340" spans="1:17" ht="12.75">
      <c r="A340" s="20" t="s">
        <v>50</v>
      </c>
      <c r="B340" s="57"/>
      <c r="C340" s="112">
        <v>10512.95</v>
      </c>
      <c r="D340" s="142">
        <f>3890.43+6647.9+1000</f>
        <v>11538.33</v>
      </c>
      <c r="E340" s="84"/>
      <c r="F340" s="190">
        <f aca="true" t="shared" si="115" ref="F340:F367">C340+D340+E340</f>
        <v>22051.28</v>
      </c>
      <c r="G340" s="74">
        <f>302.5+980</f>
        <v>1282.5</v>
      </c>
      <c r="H340" s="235"/>
      <c r="I340" s="208">
        <f aca="true" t="shared" si="116" ref="I340:I367">F340+G340+H340</f>
        <v>23333.78</v>
      </c>
      <c r="J340" s="257">
        <f>500</f>
        <v>500</v>
      </c>
      <c r="K340" s="235"/>
      <c r="L340" s="208">
        <f aca="true" t="shared" si="117" ref="L340:L355">I340+J340+K340</f>
        <v>23833.78</v>
      </c>
      <c r="M340" s="260">
        <f>-302.5-96</f>
        <v>-398.5</v>
      </c>
      <c r="N340" s="235"/>
      <c r="O340" s="208">
        <f aca="true" t="shared" si="118" ref="O340:O367">L340+M340+N340</f>
        <v>23435.28</v>
      </c>
      <c r="P340" s="292"/>
      <c r="Q340" s="167">
        <f>O340+P340</f>
        <v>23435.28</v>
      </c>
    </row>
    <row r="341" spans="1:17" ht="12.75" hidden="1">
      <c r="A341" s="20" t="s">
        <v>310</v>
      </c>
      <c r="B341" s="57"/>
      <c r="C341" s="112"/>
      <c r="D341" s="142">
        <f>1246.76-1246.76</f>
        <v>0</v>
      </c>
      <c r="E341" s="84"/>
      <c r="F341" s="190">
        <f t="shared" si="115"/>
        <v>0</v>
      </c>
      <c r="G341" s="74"/>
      <c r="H341" s="235"/>
      <c r="I341" s="208">
        <f t="shared" si="116"/>
        <v>0</v>
      </c>
      <c r="J341" s="257"/>
      <c r="K341" s="235"/>
      <c r="L341" s="208"/>
      <c r="M341" s="260"/>
      <c r="N341" s="235"/>
      <c r="O341" s="208">
        <f t="shared" si="118"/>
        <v>0</v>
      </c>
      <c r="P341" s="292"/>
      <c r="Q341" s="167"/>
    </row>
    <row r="342" spans="1:17" ht="12.75">
      <c r="A342" s="20" t="s">
        <v>299</v>
      </c>
      <c r="B342" s="57">
        <v>1080</v>
      </c>
      <c r="C342" s="112">
        <v>1000</v>
      </c>
      <c r="D342" s="142"/>
      <c r="E342" s="84"/>
      <c r="F342" s="190">
        <f t="shared" si="115"/>
        <v>1000</v>
      </c>
      <c r="G342" s="74"/>
      <c r="H342" s="235"/>
      <c r="I342" s="208">
        <f t="shared" si="116"/>
        <v>1000</v>
      </c>
      <c r="J342" s="257"/>
      <c r="K342" s="235"/>
      <c r="L342" s="208">
        <f t="shared" si="117"/>
        <v>1000</v>
      </c>
      <c r="M342" s="260"/>
      <c r="N342" s="235"/>
      <c r="O342" s="208">
        <f t="shared" si="118"/>
        <v>1000</v>
      </c>
      <c r="P342" s="292"/>
      <c r="Q342" s="167">
        <f aca="true" t="shared" si="119" ref="Q342:Q367">O342+P342</f>
        <v>1000</v>
      </c>
    </row>
    <row r="343" spans="1:17" ht="12.75">
      <c r="A343" s="20" t="s">
        <v>302</v>
      </c>
      <c r="B343" s="57"/>
      <c r="C343" s="112"/>
      <c r="D343" s="142">
        <f>1246.76</f>
        <v>1246.76</v>
      </c>
      <c r="E343" s="84"/>
      <c r="F343" s="190">
        <f t="shared" si="115"/>
        <v>1246.76</v>
      </c>
      <c r="G343" s="74"/>
      <c r="H343" s="235"/>
      <c r="I343" s="208">
        <f t="shared" si="116"/>
        <v>1246.76</v>
      </c>
      <c r="J343" s="257"/>
      <c r="K343" s="235"/>
      <c r="L343" s="208">
        <f t="shared" si="117"/>
        <v>1246.76</v>
      </c>
      <c r="M343" s="260"/>
      <c r="N343" s="235"/>
      <c r="O343" s="208">
        <f t="shared" si="118"/>
        <v>1246.76</v>
      </c>
      <c r="P343" s="292"/>
      <c r="Q343" s="167"/>
    </row>
    <row r="344" spans="1:17" ht="12.75">
      <c r="A344" s="20" t="s">
        <v>161</v>
      </c>
      <c r="B344" s="109">
        <v>1081.1202</v>
      </c>
      <c r="C344" s="112"/>
      <c r="D344" s="142">
        <f>229.01</f>
        <v>229.01</v>
      </c>
      <c r="E344" s="84"/>
      <c r="F344" s="190">
        <f t="shared" si="115"/>
        <v>229.01</v>
      </c>
      <c r="G344" s="74"/>
      <c r="H344" s="235"/>
      <c r="I344" s="208">
        <f t="shared" si="116"/>
        <v>229.01</v>
      </c>
      <c r="J344" s="257">
        <f>154.5+500</f>
        <v>654.5</v>
      </c>
      <c r="K344" s="235"/>
      <c r="L344" s="208">
        <f t="shared" si="117"/>
        <v>883.51</v>
      </c>
      <c r="M344" s="260">
        <f>302.5</f>
        <v>302.5</v>
      </c>
      <c r="N344" s="235"/>
      <c r="O344" s="208">
        <f t="shared" si="118"/>
        <v>1186.01</v>
      </c>
      <c r="P344" s="292"/>
      <c r="Q344" s="167">
        <f t="shared" si="119"/>
        <v>1186.01</v>
      </c>
    </row>
    <row r="345" spans="1:17" ht="12.75">
      <c r="A345" s="20" t="s">
        <v>309</v>
      </c>
      <c r="B345" s="109"/>
      <c r="C345" s="112"/>
      <c r="D345" s="142">
        <f>300</f>
        <v>300</v>
      </c>
      <c r="E345" s="84"/>
      <c r="F345" s="190">
        <f t="shared" si="115"/>
        <v>300</v>
      </c>
      <c r="G345" s="74">
        <f>-12</f>
        <v>-12</v>
      </c>
      <c r="H345" s="235"/>
      <c r="I345" s="208">
        <f t="shared" si="116"/>
        <v>288</v>
      </c>
      <c r="J345" s="257"/>
      <c r="K345" s="235"/>
      <c r="L345" s="208">
        <f t="shared" si="117"/>
        <v>288</v>
      </c>
      <c r="M345" s="260"/>
      <c r="N345" s="235"/>
      <c r="O345" s="208">
        <f t="shared" si="118"/>
        <v>288</v>
      </c>
      <c r="P345" s="292"/>
      <c r="Q345" s="167"/>
    </row>
    <row r="346" spans="1:17" ht="12.75" hidden="1">
      <c r="A346" s="58" t="s">
        <v>75</v>
      </c>
      <c r="B346" s="57"/>
      <c r="C346" s="112"/>
      <c r="D346" s="142"/>
      <c r="E346" s="84"/>
      <c r="F346" s="190">
        <f t="shared" si="115"/>
        <v>0</v>
      </c>
      <c r="G346" s="74"/>
      <c r="H346" s="235"/>
      <c r="I346" s="208">
        <f t="shared" si="116"/>
        <v>0</v>
      </c>
      <c r="J346" s="257"/>
      <c r="K346" s="235"/>
      <c r="L346" s="208">
        <f t="shared" si="117"/>
        <v>0</v>
      </c>
      <c r="M346" s="260"/>
      <c r="N346" s="235"/>
      <c r="O346" s="208">
        <f t="shared" si="118"/>
        <v>0</v>
      </c>
      <c r="P346" s="292"/>
      <c r="Q346" s="167">
        <f t="shared" si="119"/>
        <v>0</v>
      </c>
    </row>
    <row r="347" spans="1:17" ht="12.75">
      <c r="A347" s="16" t="s">
        <v>167</v>
      </c>
      <c r="B347" s="57"/>
      <c r="C347" s="112">
        <v>55101.29</v>
      </c>
      <c r="D347" s="142">
        <f>1000</f>
        <v>1000</v>
      </c>
      <c r="E347" s="84"/>
      <c r="F347" s="190">
        <f t="shared" si="115"/>
        <v>56101.29</v>
      </c>
      <c r="G347" s="74"/>
      <c r="H347" s="235"/>
      <c r="I347" s="208">
        <f t="shared" si="116"/>
        <v>56101.29</v>
      </c>
      <c r="J347" s="257"/>
      <c r="K347" s="235"/>
      <c r="L347" s="208">
        <f t="shared" si="117"/>
        <v>56101.29</v>
      </c>
      <c r="M347" s="260"/>
      <c r="N347" s="235"/>
      <c r="O347" s="208">
        <f t="shared" si="118"/>
        <v>56101.29</v>
      </c>
      <c r="P347" s="292"/>
      <c r="Q347" s="167">
        <f t="shared" si="119"/>
        <v>56101.29</v>
      </c>
    </row>
    <row r="348" spans="1:17" ht="12.75">
      <c r="A348" s="20" t="s">
        <v>211</v>
      </c>
      <c r="B348" s="57"/>
      <c r="C348" s="112"/>
      <c r="D348" s="142">
        <f>21331.5+100</f>
        <v>21431.5</v>
      </c>
      <c r="E348" s="84"/>
      <c r="F348" s="190">
        <f t="shared" si="115"/>
        <v>21431.5</v>
      </c>
      <c r="G348" s="74"/>
      <c r="H348" s="235"/>
      <c r="I348" s="208">
        <f t="shared" si="116"/>
        <v>21431.5</v>
      </c>
      <c r="J348" s="257"/>
      <c r="K348" s="235"/>
      <c r="L348" s="208">
        <f t="shared" si="117"/>
        <v>21431.5</v>
      </c>
      <c r="M348" s="260"/>
      <c r="N348" s="235"/>
      <c r="O348" s="208">
        <f t="shared" si="118"/>
        <v>21431.5</v>
      </c>
      <c r="P348" s="292"/>
      <c r="Q348" s="167">
        <f t="shared" si="119"/>
        <v>21431.5</v>
      </c>
    </row>
    <row r="349" spans="1:17" ht="12.75">
      <c r="A349" s="16" t="s">
        <v>182</v>
      </c>
      <c r="B349" s="98">
        <v>212163</v>
      </c>
      <c r="C349" s="112"/>
      <c r="D349" s="142">
        <f>637.35</f>
        <v>637.35</v>
      </c>
      <c r="E349" s="84"/>
      <c r="F349" s="190">
        <f t="shared" si="115"/>
        <v>637.35</v>
      </c>
      <c r="G349" s="74"/>
      <c r="H349" s="235"/>
      <c r="I349" s="208">
        <f t="shared" si="116"/>
        <v>637.35</v>
      </c>
      <c r="J349" s="257"/>
      <c r="K349" s="235"/>
      <c r="L349" s="208">
        <f t="shared" si="117"/>
        <v>637.35</v>
      </c>
      <c r="M349" s="260"/>
      <c r="N349" s="235"/>
      <c r="O349" s="208">
        <f t="shared" si="118"/>
        <v>637.35</v>
      </c>
      <c r="P349" s="292"/>
      <c r="Q349" s="167">
        <f t="shared" si="119"/>
        <v>637.35</v>
      </c>
    </row>
    <row r="350" spans="1:17" ht="12.75" hidden="1">
      <c r="A350" s="20" t="s">
        <v>158</v>
      </c>
      <c r="B350" s="98">
        <v>212162</v>
      </c>
      <c r="C350" s="112"/>
      <c r="D350" s="142"/>
      <c r="E350" s="84"/>
      <c r="F350" s="190">
        <f t="shared" si="115"/>
        <v>0</v>
      </c>
      <c r="G350" s="74"/>
      <c r="H350" s="235"/>
      <c r="I350" s="208">
        <f t="shared" si="116"/>
        <v>0</v>
      </c>
      <c r="J350" s="257"/>
      <c r="K350" s="235"/>
      <c r="L350" s="208">
        <f t="shared" si="117"/>
        <v>0</v>
      </c>
      <c r="M350" s="260"/>
      <c r="N350" s="235"/>
      <c r="O350" s="208">
        <f t="shared" si="118"/>
        <v>0</v>
      </c>
      <c r="P350" s="292"/>
      <c r="Q350" s="167">
        <f t="shared" si="119"/>
        <v>0</v>
      </c>
    </row>
    <row r="351" spans="1:17" ht="12.75">
      <c r="A351" s="20" t="s">
        <v>273</v>
      </c>
      <c r="B351" s="98"/>
      <c r="C351" s="112"/>
      <c r="D351" s="142"/>
      <c r="E351" s="84"/>
      <c r="F351" s="190">
        <f t="shared" si="115"/>
        <v>0</v>
      </c>
      <c r="G351" s="74"/>
      <c r="H351" s="235"/>
      <c r="I351" s="208">
        <f t="shared" si="116"/>
        <v>0</v>
      </c>
      <c r="J351" s="257">
        <f>81.23</f>
        <v>81.23</v>
      </c>
      <c r="K351" s="235"/>
      <c r="L351" s="208">
        <f t="shared" si="117"/>
        <v>81.23</v>
      </c>
      <c r="M351" s="260"/>
      <c r="N351" s="235"/>
      <c r="O351" s="208">
        <f t="shared" si="118"/>
        <v>81.23</v>
      </c>
      <c r="P351" s="292"/>
      <c r="Q351" s="167">
        <f t="shared" si="119"/>
        <v>81.23</v>
      </c>
    </row>
    <row r="352" spans="1:17" ht="12.75">
      <c r="A352" s="20" t="s">
        <v>284</v>
      </c>
      <c r="B352" s="98"/>
      <c r="C352" s="112"/>
      <c r="D352" s="142"/>
      <c r="E352" s="84"/>
      <c r="F352" s="190">
        <f t="shared" si="115"/>
        <v>0</v>
      </c>
      <c r="G352" s="74"/>
      <c r="H352" s="235"/>
      <c r="I352" s="208">
        <f t="shared" si="116"/>
        <v>0</v>
      </c>
      <c r="J352" s="257"/>
      <c r="K352" s="235"/>
      <c r="L352" s="208">
        <f t="shared" si="117"/>
        <v>0</v>
      </c>
      <c r="M352" s="260">
        <f>82000+12172.08</f>
        <v>94172.08</v>
      </c>
      <c r="N352" s="235"/>
      <c r="O352" s="208">
        <f t="shared" si="118"/>
        <v>94172.08</v>
      </c>
      <c r="P352" s="292"/>
      <c r="Q352" s="167"/>
    </row>
    <row r="353" spans="1:17" ht="12.75">
      <c r="A353" s="36" t="s">
        <v>357</v>
      </c>
      <c r="B353" s="98"/>
      <c r="C353" s="112"/>
      <c r="D353" s="142"/>
      <c r="E353" s="84"/>
      <c r="F353" s="190">
        <f t="shared" si="115"/>
        <v>0</v>
      </c>
      <c r="G353" s="74">
        <f>225.02</f>
        <v>225.02</v>
      </c>
      <c r="H353" s="235"/>
      <c r="I353" s="208">
        <f t="shared" si="116"/>
        <v>225.02</v>
      </c>
      <c r="J353" s="257"/>
      <c r="K353" s="235"/>
      <c r="L353" s="208">
        <f t="shared" si="117"/>
        <v>225.02</v>
      </c>
      <c r="M353" s="260"/>
      <c r="N353" s="235"/>
      <c r="O353" s="208">
        <f t="shared" si="118"/>
        <v>225.02</v>
      </c>
      <c r="P353" s="292"/>
      <c r="Q353" s="167">
        <f t="shared" si="119"/>
        <v>225.02</v>
      </c>
    </row>
    <row r="354" spans="1:17" ht="12.75">
      <c r="A354" s="36" t="s">
        <v>364</v>
      </c>
      <c r="B354" s="98"/>
      <c r="C354" s="112"/>
      <c r="D354" s="142"/>
      <c r="E354" s="84"/>
      <c r="F354" s="190">
        <f t="shared" si="115"/>
        <v>0</v>
      </c>
      <c r="G354" s="74"/>
      <c r="H354" s="235"/>
      <c r="I354" s="208">
        <f t="shared" si="116"/>
        <v>0</v>
      </c>
      <c r="J354" s="257">
        <f>5831.74</f>
        <v>5831.74</v>
      </c>
      <c r="K354" s="235"/>
      <c r="L354" s="208">
        <f t="shared" si="117"/>
        <v>5831.74</v>
      </c>
      <c r="M354" s="260"/>
      <c r="N354" s="235"/>
      <c r="O354" s="208">
        <f t="shared" si="118"/>
        <v>5831.74</v>
      </c>
      <c r="P354" s="292"/>
      <c r="Q354" s="167"/>
    </row>
    <row r="355" spans="1:17" ht="12.75" hidden="1">
      <c r="A355" s="20" t="s">
        <v>262</v>
      </c>
      <c r="B355" s="98"/>
      <c r="C355" s="112"/>
      <c r="D355" s="142"/>
      <c r="E355" s="84"/>
      <c r="F355" s="190">
        <f t="shared" si="115"/>
        <v>0</v>
      </c>
      <c r="G355" s="74"/>
      <c r="H355" s="235"/>
      <c r="I355" s="208">
        <f t="shared" si="116"/>
        <v>0</v>
      </c>
      <c r="J355" s="257"/>
      <c r="K355" s="235"/>
      <c r="L355" s="208">
        <f t="shared" si="117"/>
        <v>0</v>
      </c>
      <c r="M355" s="260"/>
      <c r="N355" s="235"/>
      <c r="O355" s="208">
        <f t="shared" si="118"/>
        <v>0</v>
      </c>
      <c r="P355" s="292"/>
      <c r="Q355" s="167">
        <f t="shared" si="119"/>
        <v>0</v>
      </c>
    </row>
    <row r="356" spans="1:17" ht="12.75">
      <c r="A356" s="16" t="s">
        <v>72</v>
      </c>
      <c r="B356" s="57"/>
      <c r="C356" s="117">
        <f>SUM(C357:C367)</f>
        <v>28675</v>
      </c>
      <c r="D356" s="142">
        <f aca="true" t="shared" si="120" ref="D356:Q356">SUM(D357:D367)</f>
        <v>14191.029999999999</v>
      </c>
      <c r="E356" s="84">
        <f t="shared" si="120"/>
        <v>0</v>
      </c>
      <c r="F356" s="196">
        <f t="shared" si="120"/>
        <v>42866.03</v>
      </c>
      <c r="G356" s="133">
        <f t="shared" si="120"/>
        <v>7408.410000000001</v>
      </c>
      <c r="H356" s="243">
        <f t="shared" si="120"/>
        <v>21.78</v>
      </c>
      <c r="I356" s="214">
        <f t="shared" si="120"/>
        <v>50296.22</v>
      </c>
      <c r="J356" s="260">
        <f t="shared" si="120"/>
        <v>20870.52</v>
      </c>
      <c r="K356" s="243">
        <f t="shared" si="120"/>
        <v>21.78</v>
      </c>
      <c r="L356" s="214">
        <f t="shared" si="120"/>
        <v>71188.52</v>
      </c>
      <c r="M356" s="260">
        <f t="shared" si="120"/>
        <v>4653.8099999999995</v>
      </c>
      <c r="N356" s="243">
        <f t="shared" si="120"/>
        <v>540.31</v>
      </c>
      <c r="O356" s="214">
        <f t="shared" si="120"/>
        <v>76382.64</v>
      </c>
      <c r="P356" s="142">
        <f t="shared" si="120"/>
        <v>0</v>
      </c>
      <c r="Q356" s="156">
        <f t="shared" si="120"/>
        <v>76382.64</v>
      </c>
    </row>
    <row r="357" spans="1:17" ht="12.75">
      <c r="A357" s="16" t="s">
        <v>198</v>
      </c>
      <c r="B357" s="57"/>
      <c r="C357" s="117">
        <v>7500</v>
      </c>
      <c r="D357" s="142">
        <f>1200</f>
        <v>1200</v>
      </c>
      <c r="E357" s="73"/>
      <c r="F357" s="190">
        <f t="shared" si="115"/>
        <v>8700</v>
      </c>
      <c r="G357" s="74"/>
      <c r="H357" s="235"/>
      <c r="I357" s="208">
        <f t="shared" si="116"/>
        <v>8700</v>
      </c>
      <c r="J357" s="257"/>
      <c r="K357" s="235"/>
      <c r="L357" s="208">
        <f aca="true" t="shared" si="121" ref="L357:L367">I357+J357+K357</f>
        <v>8700</v>
      </c>
      <c r="M357" s="260"/>
      <c r="N357" s="235"/>
      <c r="O357" s="208">
        <f t="shared" si="118"/>
        <v>8700</v>
      </c>
      <c r="P357" s="292"/>
      <c r="Q357" s="167">
        <f t="shared" si="119"/>
        <v>8700</v>
      </c>
    </row>
    <row r="358" spans="1:17" ht="12.75">
      <c r="A358" s="16" t="s">
        <v>166</v>
      </c>
      <c r="B358" s="57"/>
      <c r="C358" s="117"/>
      <c r="D358" s="142">
        <f>9848.17-1200-1000</f>
        <v>7648.17</v>
      </c>
      <c r="E358" s="73"/>
      <c r="F358" s="190">
        <f t="shared" si="115"/>
        <v>7648.17</v>
      </c>
      <c r="G358" s="74">
        <f>108.9+189.46-225.02</f>
        <v>73.34</v>
      </c>
      <c r="H358" s="235"/>
      <c r="I358" s="208">
        <f t="shared" si="116"/>
        <v>7721.51</v>
      </c>
      <c r="J358" s="257">
        <f>-500-500+7300</f>
        <v>6300</v>
      </c>
      <c r="K358" s="235"/>
      <c r="L358" s="208">
        <f t="shared" si="121"/>
        <v>14021.51</v>
      </c>
      <c r="M358" s="260"/>
      <c r="N358" s="235"/>
      <c r="O358" s="208">
        <f t="shared" si="118"/>
        <v>14021.51</v>
      </c>
      <c r="P358" s="292"/>
      <c r="Q358" s="167">
        <f t="shared" si="119"/>
        <v>14021.51</v>
      </c>
    </row>
    <row r="359" spans="1:17" ht="12.75" hidden="1">
      <c r="A359" s="16" t="s">
        <v>245</v>
      </c>
      <c r="B359" s="57"/>
      <c r="C359" s="117"/>
      <c r="D359" s="174"/>
      <c r="E359" s="73"/>
      <c r="F359" s="190">
        <f t="shared" si="115"/>
        <v>0</v>
      </c>
      <c r="G359" s="74"/>
      <c r="H359" s="235"/>
      <c r="I359" s="208">
        <f t="shared" si="116"/>
        <v>0</v>
      </c>
      <c r="J359" s="257"/>
      <c r="K359" s="235"/>
      <c r="L359" s="208">
        <f t="shared" si="121"/>
        <v>0</v>
      </c>
      <c r="M359" s="260"/>
      <c r="N359" s="235"/>
      <c r="O359" s="208">
        <f t="shared" si="118"/>
        <v>0</v>
      </c>
      <c r="P359" s="292"/>
      <c r="Q359" s="167">
        <f t="shared" si="119"/>
        <v>0</v>
      </c>
    </row>
    <row r="360" spans="1:17" ht="12.75" hidden="1">
      <c r="A360" s="16" t="s">
        <v>190</v>
      </c>
      <c r="B360" s="57"/>
      <c r="C360" s="117"/>
      <c r="D360" s="142"/>
      <c r="E360" s="73"/>
      <c r="F360" s="190">
        <f t="shared" si="115"/>
        <v>0</v>
      </c>
      <c r="G360" s="74"/>
      <c r="H360" s="235"/>
      <c r="I360" s="208">
        <f t="shared" si="116"/>
        <v>0</v>
      </c>
      <c r="J360" s="257"/>
      <c r="K360" s="235"/>
      <c r="L360" s="208">
        <f t="shared" si="121"/>
        <v>0</v>
      </c>
      <c r="M360" s="260"/>
      <c r="N360" s="235"/>
      <c r="O360" s="208">
        <f t="shared" si="118"/>
        <v>0</v>
      </c>
      <c r="P360" s="292"/>
      <c r="Q360" s="167">
        <f t="shared" si="119"/>
        <v>0</v>
      </c>
    </row>
    <row r="361" spans="1:17" ht="12.75">
      <c r="A361" s="16" t="s">
        <v>210</v>
      </c>
      <c r="B361" s="57"/>
      <c r="C361" s="117"/>
      <c r="D361" s="142">
        <f>3732.11</f>
        <v>3732.11</v>
      </c>
      <c r="E361" s="73"/>
      <c r="F361" s="190">
        <f t="shared" si="115"/>
        <v>3732.11</v>
      </c>
      <c r="G361" s="74"/>
      <c r="H361" s="235"/>
      <c r="I361" s="208">
        <f t="shared" si="116"/>
        <v>3732.11</v>
      </c>
      <c r="J361" s="257">
        <f>10000</f>
        <v>10000</v>
      </c>
      <c r="K361" s="235"/>
      <c r="L361" s="208">
        <f t="shared" si="121"/>
        <v>13732.11</v>
      </c>
      <c r="M361" s="260"/>
      <c r="N361" s="235"/>
      <c r="O361" s="208">
        <f t="shared" si="118"/>
        <v>13732.11</v>
      </c>
      <c r="P361" s="292"/>
      <c r="Q361" s="167">
        <f t="shared" si="119"/>
        <v>13732.11</v>
      </c>
    </row>
    <row r="362" spans="1:17" ht="12.75">
      <c r="A362" s="16" t="s">
        <v>165</v>
      </c>
      <c r="B362" s="57"/>
      <c r="C362" s="117"/>
      <c r="D362" s="142">
        <f>735.39-36.3</f>
        <v>699.09</v>
      </c>
      <c r="E362" s="73"/>
      <c r="F362" s="190">
        <f t="shared" si="115"/>
        <v>699.09</v>
      </c>
      <c r="G362" s="74"/>
      <c r="H362" s="235">
        <f>21.78</f>
        <v>21.78</v>
      </c>
      <c r="I362" s="208">
        <f t="shared" si="116"/>
        <v>720.87</v>
      </c>
      <c r="J362" s="257"/>
      <c r="K362" s="235">
        <f>21.78</f>
        <v>21.78</v>
      </c>
      <c r="L362" s="208">
        <f t="shared" si="121"/>
        <v>742.65</v>
      </c>
      <c r="M362" s="260">
        <f>140.36</f>
        <v>140.36</v>
      </c>
      <c r="N362" s="235">
        <f>36.3</f>
        <v>36.3</v>
      </c>
      <c r="O362" s="208">
        <f t="shared" si="118"/>
        <v>919.31</v>
      </c>
      <c r="P362" s="292"/>
      <c r="Q362" s="167">
        <f t="shared" si="119"/>
        <v>919.31</v>
      </c>
    </row>
    <row r="363" spans="1:17" ht="12.75">
      <c r="A363" s="16" t="s">
        <v>283</v>
      </c>
      <c r="B363" s="57"/>
      <c r="C363" s="117"/>
      <c r="D363" s="142">
        <f>2416.38</f>
        <v>2416.38</v>
      </c>
      <c r="E363" s="73"/>
      <c r="F363" s="190">
        <f t="shared" si="115"/>
        <v>2416.38</v>
      </c>
      <c r="G363" s="74">
        <f>500+5000+18.85</f>
        <v>5518.85</v>
      </c>
      <c r="H363" s="235"/>
      <c r="I363" s="208">
        <f t="shared" si="116"/>
        <v>7935.2300000000005</v>
      </c>
      <c r="J363" s="257">
        <f>24.28+5.49+43.52</f>
        <v>73.29</v>
      </c>
      <c r="K363" s="235"/>
      <c r="L363" s="208">
        <f t="shared" si="121"/>
        <v>8008.52</v>
      </c>
      <c r="M363" s="260"/>
      <c r="N363" s="235">
        <f>504.01</f>
        <v>504.01</v>
      </c>
      <c r="O363" s="208">
        <f t="shared" si="118"/>
        <v>8512.53</v>
      </c>
      <c r="P363" s="292"/>
      <c r="Q363" s="167">
        <f t="shared" si="119"/>
        <v>8512.53</v>
      </c>
    </row>
    <row r="364" spans="1:17" ht="12.75">
      <c r="A364" s="16" t="s">
        <v>172</v>
      </c>
      <c r="B364" s="57"/>
      <c r="C364" s="117">
        <v>2000</v>
      </c>
      <c r="D364" s="142">
        <f>1773.96+6730</f>
        <v>8503.96</v>
      </c>
      <c r="E364" s="73"/>
      <c r="F364" s="190">
        <f t="shared" si="115"/>
        <v>10503.96</v>
      </c>
      <c r="G364" s="74">
        <f>166.22+150+1500</f>
        <v>1816.22</v>
      </c>
      <c r="H364" s="235"/>
      <c r="I364" s="208">
        <f t="shared" si="116"/>
        <v>12320.179999999998</v>
      </c>
      <c r="J364" s="257">
        <f>497.23</f>
        <v>497.23</v>
      </c>
      <c r="K364" s="235"/>
      <c r="L364" s="208">
        <f t="shared" si="121"/>
        <v>12817.409999999998</v>
      </c>
      <c r="M364" s="260">
        <f>411.4+72.6</f>
        <v>484</v>
      </c>
      <c r="N364" s="235"/>
      <c r="O364" s="208">
        <f t="shared" si="118"/>
        <v>13301.409999999998</v>
      </c>
      <c r="P364" s="292"/>
      <c r="Q364" s="167">
        <f t="shared" si="119"/>
        <v>13301.409999999998</v>
      </c>
    </row>
    <row r="365" spans="1:17" ht="12.75">
      <c r="A365" s="16" t="s">
        <v>171</v>
      </c>
      <c r="B365" s="57"/>
      <c r="C365" s="117">
        <v>17200</v>
      </c>
      <c r="D365" s="142">
        <f>-17130+8721.32</f>
        <v>-8408.68</v>
      </c>
      <c r="E365" s="73"/>
      <c r="F365" s="190">
        <f t="shared" si="115"/>
        <v>8791.32</v>
      </c>
      <c r="G365" s="74"/>
      <c r="H365" s="235"/>
      <c r="I365" s="208">
        <f t="shared" si="116"/>
        <v>8791.32</v>
      </c>
      <c r="J365" s="257">
        <f>4000</f>
        <v>4000</v>
      </c>
      <c r="K365" s="235"/>
      <c r="L365" s="208">
        <f t="shared" si="121"/>
        <v>12791.32</v>
      </c>
      <c r="M365" s="260">
        <f>4404.45</f>
        <v>4404.45</v>
      </c>
      <c r="N365" s="235"/>
      <c r="O365" s="208">
        <f t="shared" si="118"/>
        <v>17195.77</v>
      </c>
      <c r="P365" s="292"/>
      <c r="Q365" s="167">
        <f t="shared" si="119"/>
        <v>17195.77</v>
      </c>
    </row>
    <row r="366" spans="1:17" ht="12.75">
      <c r="A366" s="16" t="s">
        <v>282</v>
      </c>
      <c r="B366" s="57"/>
      <c r="C366" s="117">
        <v>1975</v>
      </c>
      <c r="D366" s="142">
        <f>-1200-400</f>
        <v>-1600</v>
      </c>
      <c r="E366" s="73"/>
      <c r="F366" s="190">
        <f t="shared" si="115"/>
        <v>375</v>
      </c>
      <c r="G366" s="74"/>
      <c r="H366" s="235"/>
      <c r="I366" s="208">
        <f t="shared" si="116"/>
        <v>375</v>
      </c>
      <c r="J366" s="257"/>
      <c r="K366" s="235"/>
      <c r="L366" s="208">
        <f t="shared" si="121"/>
        <v>375</v>
      </c>
      <c r="M366" s="260">
        <f>-375</f>
        <v>-375</v>
      </c>
      <c r="N366" s="235"/>
      <c r="O366" s="208">
        <f t="shared" si="118"/>
        <v>0</v>
      </c>
      <c r="P366" s="292"/>
      <c r="Q366" s="167">
        <f t="shared" si="119"/>
        <v>0</v>
      </c>
    </row>
    <row r="367" spans="1:17" ht="12.75" hidden="1">
      <c r="A367" s="16" t="s">
        <v>220</v>
      </c>
      <c r="B367" s="57"/>
      <c r="C367" s="117"/>
      <c r="D367" s="174"/>
      <c r="E367" s="73"/>
      <c r="F367" s="190">
        <f t="shared" si="115"/>
        <v>0</v>
      </c>
      <c r="G367" s="74"/>
      <c r="H367" s="235"/>
      <c r="I367" s="208">
        <f t="shared" si="116"/>
        <v>0</v>
      </c>
      <c r="J367" s="257"/>
      <c r="K367" s="235"/>
      <c r="L367" s="208">
        <f t="shared" si="121"/>
        <v>0</v>
      </c>
      <c r="M367" s="260"/>
      <c r="N367" s="235"/>
      <c r="O367" s="208">
        <f t="shared" si="118"/>
        <v>0</v>
      </c>
      <c r="P367" s="292"/>
      <c r="Q367" s="167">
        <f t="shared" si="119"/>
        <v>0</v>
      </c>
    </row>
    <row r="368" spans="1:17" ht="12.75">
      <c r="A368" s="22" t="s">
        <v>52</v>
      </c>
      <c r="B368" s="61"/>
      <c r="C368" s="115">
        <f aca="true" t="shared" si="122" ref="C368:Q368">SUM(C370:C389)</f>
        <v>456717.92000000004</v>
      </c>
      <c r="D368" s="105">
        <f t="shared" si="122"/>
        <v>1540320.38</v>
      </c>
      <c r="E368" s="80">
        <f t="shared" si="122"/>
        <v>0</v>
      </c>
      <c r="F368" s="193">
        <f t="shared" si="122"/>
        <v>1997038.3</v>
      </c>
      <c r="G368" s="79">
        <f t="shared" si="122"/>
        <v>542598.8300000001</v>
      </c>
      <c r="H368" s="239">
        <f t="shared" si="122"/>
        <v>4588.88</v>
      </c>
      <c r="I368" s="211">
        <f t="shared" si="122"/>
        <v>2544226.01</v>
      </c>
      <c r="J368" s="262">
        <f t="shared" si="122"/>
        <v>142207.97</v>
      </c>
      <c r="K368" s="239">
        <f t="shared" si="122"/>
        <v>13619.4</v>
      </c>
      <c r="L368" s="211">
        <f t="shared" si="122"/>
        <v>2700053.38</v>
      </c>
      <c r="M368" s="262">
        <f t="shared" si="122"/>
        <v>235996.20999999996</v>
      </c>
      <c r="N368" s="239">
        <f t="shared" si="122"/>
        <v>19784.82</v>
      </c>
      <c r="O368" s="211">
        <f t="shared" si="122"/>
        <v>2955834.41</v>
      </c>
      <c r="P368" s="105">
        <f t="shared" si="122"/>
        <v>0</v>
      </c>
      <c r="Q368" s="154">
        <f t="shared" si="122"/>
        <v>2753590.11</v>
      </c>
    </row>
    <row r="369" spans="1:17" ht="12.75">
      <c r="A369" s="20" t="s">
        <v>26</v>
      </c>
      <c r="B369" s="57"/>
      <c r="C369" s="112"/>
      <c r="D369" s="102"/>
      <c r="E369" s="73"/>
      <c r="F369" s="190"/>
      <c r="G369" s="74"/>
      <c r="H369" s="235"/>
      <c r="I369" s="208"/>
      <c r="J369" s="257"/>
      <c r="K369" s="235"/>
      <c r="L369" s="208"/>
      <c r="M369" s="260"/>
      <c r="N369" s="235"/>
      <c r="O369" s="208"/>
      <c r="P369" s="292"/>
      <c r="Q369" s="167"/>
    </row>
    <row r="370" spans="1:17" ht="12.75" hidden="1">
      <c r="A370" s="20" t="s">
        <v>162</v>
      </c>
      <c r="B370" s="57"/>
      <c r="C370" s="112"/>
      <c r="D370" s="102"/>
      <c r="E370" s="73"/>
      <c r="F370" s="190">
        <f aca="true" t="shared" si="123" ref="F370:F403">C370+D370+E370</f>
        <v>0</v>
      </c>
      <c r="G370" s="74"/>
      <c r="H370" s="235"/>
      <c r="I370" s="208">
        <f aca="true" t="shared" si="124" ref="I370:I403">F370+G370+H370</f>
        <v>0</v>
      </c>
      <c r="J370" s="257"/>
      <c r="K370" s="235"/>
      <c r="L370" s="208">
        <f aca="true" t="shared" si="125" ref="L370:L403">I370+J370+K370</f>
        <v>0</v>
      </c>
      <c r="M370" s="260"/>
      <c r="N370" s="235"/>
      <c r="O370" s="208">
        <f aca="true" t="shared" si="126" ref="O370:O403">L370+M370+N370</f>
        <v>0</v>
      </c>
      <c r="P370" s="292"/>
      <c r="Q370" s="167">
        <f aca="true" t="shared" si="127" ref="Q370:Q403">O370+P370</f>
        <v>0</v>
      </c>
    </row>
    <row r="371" spans="1:17" ht="12.75">
      <c r="A371" s="20" t="s">
        <v>53</v>
      </c>
      <c r="B371" s="57"/>
      <c r="C371" s="112"/>
      <c r="D371" s="102">
        <f>1914.36</f>
        <v>1914.36</v>
      </c>
      <c r="E371" s="73"/>
      <c r="F371" s="190">
        <f t="shared" si="123"/>
        <v>1914.36</v>
      </c>
      <c r="G371" s="74"/>
      <c r="H371" s="235"/>
      <c r="I371" s="208">
        <f t="shared" si="124"/>
        <v>1914.36</v>
      </c>
      <c r="J371" s="257"/>
      <c r="K371" s="235"/>
      <c r="L371" s="208">
        <f t="shared" si="125"/>
        <v>1914.36</v>
      </c>
      <c r="M371" s="260"/>
      <c r="N371" s="235"/>
      <c r="O371" s="208">
        <f t="shared" si="126"/>
        <v>1914.36</v>
      </c>
      <c r="P371" s="292"/>
      <c r="Q371" s="167"/>
    </row>
    <row r="372" spans="1:17" ht="12.75" hidden="1">
      <c r="A372" s="20" t="s">
        <v>161</v>
      </c>
      <c r="B372" s="109">
        <v>1081.1202</v>
      </c>
      <c r="C372" s="112"/>
      <c r="D372" s="102">
        <f>457</f>
        <v>457</v>
      </c>
      <c r="E372" s="73"/>
      <c r="F372" s="190">
        <f t="shared" si="123"/>
        <v>457</v>
      </c>
      <c r="G372" s="74">
        <f>-302.5</f>
        <v>-302.5</v>
      </c>
      <c r="H372" s="235"/>
      <c r="I372" s="208">
        <f t="shared" si="124"/>
        <v>154.5</v>
      </c>
      <c r="J372" s="257">
        <f>-154.5</f>
        <v>-154.5</v>
      </c>
      <c r="K372" s="235"/>
      <c r="L372" s="208">
        <f t="shared" si="125"/>
        <v>0</v>
      </c>
      <c r="M372" s="260"/>
      <c r="N372" s="235"/>
      <c r="O372" s="208">
        <f t="shared" si="126"/>
        <v>0</v>
      </c>
      <c r="P372" s="292"/>
      <c r="Q372" s="167">
        <f t="shared" si="127"/>
        <v>0</v>
      </c>
    </row>
    <row r="373" spans="1:17" ht="12.75">
      <c r="A373" s="20" t="s">
        <v>157</v>
      </c>
      <c r="B373" s="57"/>
      <c r="C373" s="112">
        <v>19868.59</v>
      </c>
      <c r="D373" s="102">
        <f>688.28</f>
        <v>688.28</v>
      </c>
      <c r="E373" s="73"/>
      <c r="F373" s="190">
        <f t="shared" si="123"/>
        <v>20556.87</v>
      </c>
      <c r="G373" s="74"/>
      <c r="H373" s="235"/>
      <c r="I373" s="208">
        <f t="shared" si="124"/>
        <v>20556.87</v>
      </c>
      <c r="J373" s="257">
        <f>20000</f>
        <v>20000</v>
      </c>
      <c r="K373" s="235"/>
      <c r="L373" s="208">
        <f t="shared" si="125"/>
        <v>40556.869999999995</v>
      </c>
      <c r="M373" s="260"/>
      <c r="N373" s="235"/>
      <c r="O373" s="208">
        <f t="shared" si="126"/>
        <v>40556.869999999995</v>
      </c>
      <c r="P373" s="292"/>
      <c r="Q373" s="167">
        <f t="shared" si="127"/>
        <v>40556.869999999995</v>
      </c>
    </row>
    <row r="374" spans="1:17" ht="12.75">
      <c r="A374" s="20" t="s">
        <v>299</v>
      </c>
      <c r="B374" s="57"/>
      <c r="C374" s="112">
        <v>7000</v>
      </c>
      <c r="D374" s="102">
        <f>10000</f>
        <v>10000</v>
      </c>
      <c r="E374" s="73"/>
      <c r="F374" s="190">
        <f t="shared" si="123"/>
        <v>17000</v>
      </c>
      <c r="G374" s="74"/>
      <c r="H374" s="235"/>
      <c r="I374" s="208">
        <f t="shared" si="124"/>
        <v>17000</v>
      </c>
      <c r="J374" s="257"/>
      <c r="K374" s="235"/>
      <c r="L374" s="208">
        <f t="shared" si="125"/>
        <v>17000</v>
      </c>
      <c r="M374" s="260"/>
      <c r="N374" s="235"/>
      <c r="O374" s="208">
        <f t="shared" si="126"/>
        <v>17000</v>
      </c>
      <c r="P374" s="292"/>
      <c r="Q374" s="167">
        <f t="shared" si="127"/>
        <v>17000</v>
      </c>
    </row>
    <row r="375" spans="1:17" ht="12.75">
      <c r="A375" s="20" t="s">
        <v>302</v>
      </c>
      <c r="B375" s="57"/>
      <c r="C375" s="112">
        <v>10000</v>
      </c>
      <c r="D375" s="102">
        <f>10000</f>
        <v>10000</v>
      </c>
      <c r="E375" s="73"/>
      <c r="F375" s="190">
        <f t="shared" si="123"/>
        <v>20000</v>
      </c>
      <c r="G375" s="74"/>
      <c r="H375" s="235"/>
      <c r="I375" s="208">
        <f t="shared" si="124"/>
        <v>20000</v>
      </c>
      <c r="J375" s="257"/>
      <c r="K375" s="235"/>
      <c r="L375" s="208">
        <f t="shared" si="125"/>
        <v>20000</v>
      </c>
      <c r="M375" s="260"/>
      <c r="N375" s="235"/>
      <c r="O375" s="208">
        <f t="shared" si="126"/>
        <v>20000</v>
      </c>
      <c r="P375" s="292"/>
      <c r="Q375" s="167">
        <f t="shared" si="127"/>
        <v>20000</v>
      </c>
    </row>
    <row r="376" spans="1:17" ht="12.75" hidden="1">
      <c r="A376" s="20" t="s">
        <v>259</v>
      </c>
      <c r="B376" s="57"/>
      <c r="C376" s="112"/>
      <c r="D376" s="142"/>
      <c r="E376" s="84"/>
      <c r="F376" s="190">
        <f t="shared" si="123"/>
        <v>0</v>
      </c>
      <c r="G376" s="74"/>
      <c r="H376" s="235"/>
      <c r="I376" s="208">
        <f t="shared" si="124"/>
        <v>0</v>
      </c>
      <c r="J376" s="257"/>
      <c r="K376" s="235"/>
      <c r="L376" s="208">
        <f t="shared" si="125"/>
        <v>0</v>
      </c>
      <c r="M376" s="260"/>
      <c r="N376" s="235"/>
      <c r="O376" s="208">
        <f t="shared" si="126"/>
        <v>0</v>
      </c>
      <c r="P376" s="292"/>
      <c r="Q376" s="167">
        <f t="shared" si="127"/>
        <v>0</v>
      </c>
    </row>
    <row r="377" spans="1:17" ht="12.75">
      <c r="A377" s="96" t="s">
        <v>211</v>
      </c>
      <c r="B377" s="57"/>
      <c r="C377" s="112"/>
      <c r="D377" s="174">
        <f>5500+1744.52</f>
        <v>7244.52</v>
      </c>
      <c r="E377" s="91"/>
      <c r="F377" s="190">
        <f t="shared" si="123"/>
        <v>7244.52</v>
      </c>
      <c r="G377" s="74"/>
      <c r="H377" s="235"/>
      <c r="I377" s="208">
        <f t="shared" si="124"/>
        <v>7244.52</v>
      </c>
      <c r="J377" s="257"/>
      <c r="K377" s="235"/>
      <c r="L377" s="208">
        <f t="shared" si="125"/>
        <v>7244.52</v>
      </c>
      <c r="M377" s="260">
        <f>2100</f>
        <v>2100</v>
      </c>
      <c r="N377" s="235"/>
      <c r="O377" s="208">
        <f t="shared" si="126"/>
        <v>9344.52</v>
      </c>
      <c r="P377" s="292"/>
      <c r="Q377" s="167">
        <f t="shared" si="127"/>
        <v>9344.52</v>
      </c>
    </row>
    <row r="378" spans="1:17" ht="12.75">
      <c r="A378" s="20" t="s">
        <v>300</v>
      </c>
      <c r="B378" s="98">
        <v>212163</v>
      </c>
      <c r="C378" s="112">
        <v>60000</v>
      </c>
      <c r="D378" s="142">
        <f>256306.21</f>
        <v>256306.21</v>
      </c>
      <c r="E378" s="84"/>
      <c r="F378" s="190">
        <f t="shared" si="123"/>
        <v>316306.20999999996</v>
      </c>
      <c r="G378" s="74"/>
      <c r="H378" s="235"/>
      <c r="I378" s="208">
        <f t="shared" si="124"/>
        <v>316306.20999999996</v>
      </c>
      <c r="J378" s="257"/>
      <c r="K378" s="235"/>
      <c r="L378" s="208">
        <f t="shared" si="125"/>
        <v>316306.20999999996</v>
      </c>
      <c r="M378" s="260"/>
      <c r="N378" s="235"/>
      <c r="O378" s="208">
        <f t="shared" si="126"/>
        <v>316306.20999999996</v>
      </c>
      <c r="P378" s="292"/>
      <c r="Q378" s="167">
        <f t="shared" si="127"/>
        <v>316306.20999999996</v>
      </c>
    </row>
    <row r="379" spans="1:17" ht="12.75" hidden="1">
      <c r="A379" s="20" t="s">
        <v>216</v>
      </c>
      <c r="B379" s="98">
        <v>22777</v>
      </c>
      <c r="C379" s="112"/>
      <c r="D379" s="142"/>
      <c r="E379" s="84"/>
      <c r="F379" s="190">
        <f t="shared" si="123"/>
        <v>0</v>
      </c>
      <c r="G379" s="74"/>
      <c r="H379" s="235"/>
      <c r="I379" s="208">
        <f t="shared" si="124"/>
        <v>0</v>
      </c>
      <c r="J379" s="257"/>
      <c r="K379" s="235"/>
      <c r="L379" s="208">
        <f t="shared" si="125"/>
        <v>0</v>
      </c>
      <c r="M379" s="260"/>
      <c r="N379" s="235"/>
      <c r="O379" s="208">
        <f t="shared" si="126"/>
        <v>0</v>
      </c>
      <c r="P379" s="292"/>
      <c r="Q379" s="167">
        <f t="shared" si="127"/>
        <v>0</v>
      </c>
    </row>
    <row r="380" spans="1:17" ht="12.75">
      <c r="A380" s="20" t="s">
        <v>158</v>
      </c>
      <c r="B380" s="98">
        <v>212162</v>
      </c>
      <c r="C380" s="112"/>
      <c r="D380" s="142">
        <f>2072.3</f>
        <v>2072.3</v>
      </c>
      <c r="E380" s="84"/>
      <c r="F380" s="190">
        <f t="shared" si="123"/>
        <v>2072.3</v>
      </c>
      <c r="G380" s="74"/>
      <c r="H380" s="235"/>
      <c r="I380" s="208">
        <f t="shared" si="124"/>
        <v>2072.3</v>
      </c>
      <c r="J380" s="257"/>
      <c r="K380" s="235"/>
      <c r="L380" s="208">
        <f t="shared" si="125"/>
        <v>2072.3</v>
      </c>
      <c r="M380" s="260"/>
      <c r="N380" s="235"/>
      <c r="O380" s="208">
        <f t="shared" si="126"/>
        <v>2072.3</v>
      </c>
      <c r="P380" s="292"/>
      <c r="Q380" s="167">
        <f t="shared" si="127"/>
        <v>2072.3</v>
      </c>
    </row>
    <row r="381" spans="1:17" ht="12.75">
      <c r="A381" s="36" t="s">
        <v>370</v>
      </c>
      <c r="B381" s="98">
        <v>17508</v>
      </c>
      <c r="C381" s="112"/>
      <c r="D381" s="142"/>
      <c r="E381" s="84"/>
      <c r="F381" s="190"/>
      <c r="G381" s="74"/>
      <c r="H381" s="235"/>
      <c r="I381" s="208">
        <f t="shared" si="124"/>
        <v>0</v>
      </c>
      <c r="J381" s="257">
        <f>200000</f>
        <v>200000</v>
      </c>
      <c r="K381" s="235"/>
      <c r="L381" s="208">
        <f t="shared" si="125"/>
        <v>200000</v>
      </c>
      <c r="M381" s="260"/>
      <c r="N381" s="235"/>
      <c r="O381" s="208">
        <f t="shared" si="126"/>
        <v>200000</v>
      </c>
      <c r="P381" s="292"/>
      <c r="Q381" s="167"/>
    </row>
    <row r="382" spans="1:17" ht="12.75">
      <c r="A382" s="36" t="s">
        <v>357</v>
      </c>
      <c r="B382" s="98"/>
      <c r="C382" s="112"/>
      <c r="D382" s="142"/>
      <c r="E382" s="84"/>
      <c r="F382" s="190">
        <f t="shared" si="123"/>
        <v>0</v>
      </c>
      <c r="G382" s="74">
        <f>274.76</f>
        <v>274.76</v>
      </c>
      <c r="H382" s="235"/>
      <c r="I382" s="208">
        <f t="shared" si="124"/>
        <v>274.76</v>
      </c>
      <c r="J382" s="257"/>
      <c r="K382" s="235"/>
      <c r="L382" s="208">
        <f t="shared" si="125"/>
        <v>274.76</v>
      </c>
      <c r="M382" s="260"/>
      <c r="N382" s="235"/>
      <c r="O382" s="208">
        <f t="shared" si="126"/>
        <v>274.76</v>
      </c>
      <c r="P382" s="292"/>
      <c r="Q382" s="167"/>
    </row>
    <row r="383" spans="1:17" ht="12.75">
      <c r="A383" s="36" t="s">
        <v>364</v>
      </c>
      <c r="B383" s="98"/>
      <c r="C383" s="112"/>
      <c r="D383" s="142"/>
      <c r="E383" s="84"/>
      <c r="F383" s="190"/>
      <c r="G383" s="74"/>
      <c r="H383" s="235"/>
      <c r="I383" s="208">
        <f t="shared" si="124"/>
        <v>0</v>
      </c>
      <c r="J383" s="257">
        <f>55.18</f>
        <v>55.18</v>
      </c>
      <c r="K383" s="235"/>
      <c r="L383" s="208">
        <f t="shared" si="125"/>
        <v>55.18</v>
      </c>
      <c r="M383" s="260"/>
      <c r="N383" s="235"/>
      <c r="O383" s="208">
        <f t="shared" si="126"/>
        <v>55.18</v>
      </c>
      <c r="P383" s="292"/>
      <c r="Q383" s="167"/>
    </row>
    <row r="384" spans="1:17" ht="12.75">
      <c r="A384" s="20" t="s">
        <v>273</v>
      </c>
      <c r="B384" s="98"/>
      <c r="C384" s="112"/>
      <c r="D384" s="142"/>
      <c r="E384" s="84"/>
      <c r="F384" s="190">
        <f t="shared" si="123"/>
        <v>0</v>
      </c>
      <c r="G384" s="74">
        <f>1337.82</f>
        <v>1337.82</v>
      </c>
      <c r="H384" s="235"/>
      <c r="I384" s="208">
        <f t="shared" si="124"/>
        <v>1337.82</v>
      </c>
      <c r="J384" s="257">
        <f>71.8+1052.12+47365.51</f>
        <v>48489.43</v>
      </c>
      <c r="K384" s="235"/>
      <c r="L384" s="208">
        <f t="shared" si="125"/>
        <v>49827.25</v>
      </c>
      <c r="M384" s="260"/>
      <c r="N384" s="235"/>
      <c r="O384" s="208">
        <f t="shared" si="126"/>
        <v>49827.25</v>
      </c>
      <c r="P384" s="292"/>
      <c r="Q384" s="167">
        <f t="shared" si="127"/>
        <v>49827.25</v>
      </c>
    </row>
    <row r="385" spans="1:17" ht="12.75" hidden="1">
      <c r="A385" s="20" t="s">
        <v>262</v>
      </c>
      <c r="B385" s="98"/>
      <c r="C385" s="112"/>
      <c r="D385" s="142"/>
      <c r="E385" s="84"/>
      <c r="F385" s="190">
        <f t="shared" si="123"/>
        <v>0</v>
      </c>
      <c r="G385" s="74"/>
      <c r="H385" s="235"/>
      <c r="I385" s="208">
        <f t="shared" si="124"/>
        <v>0</v>
      </c>
      <c r="J385" s="257"/>
      <c r="K385" s="235"/>
      <c r="L385" s="208">
        <f t="shared" si="125"/>
        <v>0</v>
      </c>
      <c r="M385" s="260"/>
      <c r="N385" s="235"/>
      <c r="O385" s="208">
        <f t="shared" si="126"/>
        <v>0</v>
      </c>
      <c r="P385" s="292"/>
      <c r="Q385" s="167">
        <f t="shared" si="127"/>
        <v>0</v>
      </c>
    </row>
    <row r="386" spans="1:17" ht="12.75">
      <c r="A386" s="20" t="s">
        <v>263</v>
      </c>
      <c r="B386" s="98">
        <v>91628</v>
      </c>
      <c r="C386" s="112"/>
      <c r="D386" s="142">
        <f>360000</f>
        <v>360000</v>
      </c>
      <c r="E386" s="84"/>
      <c r="F386" s="190">
        <f t="shared" si="123"/>
        <v>360000</v>
      </c>
      <c r="G386" s="74">
        <f>19500</f>
        <v>19500</v>
      </c>
      <c r="H386" s="235"/>
      <c r="I386" s="208">
        <f t="shared" si="124"/>
        <v>379500</v>
      </c>
      <c r="J386" s="257">
        <f>-158500</f>
        <v>-158500</v>
      </c>
      <c r="K386" s="235"/>
      <c r="L386" s="208">
        <f t="shared" si="125"/>
        <v>221000</v>
      </c>
      <c r="M386" s="260"/>
      <c r="N386" s="235"/>
      <c r="O386" s="208">
        <f t="shared" si="126"/>
        <v>221000</v>
      </c>
      <c r="P386" s="292"/>
      <c r="Q386" s="167">
        <f t="shared" si="127"/>
        <v>221000</v>
      </c>
    </row>
    <row r="387" spans="1:17" ht="12.75">
      <c r="A387" s="20" t="s">
        <v>284</v>
      </c>
      <c r="B387" s="98">
        <v>91628</v>
      </c>
      <c r="C387" s="112"/>
      <c r="D387" s="142"/>
      <c r="E387" s="84"/>
      <c r="F387" s="190">
        <f t="shared" si="123"/>
        <v>0</v>
      </c>
      <c r="G387" s="74">
        <f>12172.08+390825</f>
        <v>402997.08</v>
      </c>
      <c r="H387" s="235"/>
      <c r="I387" s="208">
        <f t="shared" si="124"/>
        <v>402997.08</v>
      </c>
      <c r="J387" s="257"/>
      <c r="K387" s="235"/>
      <c r="L387" s="208">
        <f t="shared" si="125"/>
        <v>402997.08</v>
      </c>
      <c r="M387" s="260">
        <f>-82000-12172.08</f>
        <v>-94172.08</v>
      </c>
      <c r="N387" s="235"/>
      <c r="O387" s="208">
        <f t="shared" si="126"/>
        <v>308825</v>
      </c>
      <c r="P387" s="292"/>
      <c r="Q387" s="167">
        <f t="shared" si="127"/>
        <v>308825</v>
      </c>
    </row>
    <row r="388" spans="1:17" ht="12.75" hidden="1">
      <c r="A388" s="20" t="s">
        <v>186</v>
      </c>
      <c r="B388" s="57"/>
      <c r="C388" s="112"/>
      <c r="D388" s="142"/>
      <c r="E388" s="84"/>
      <c r="F388" s="190">
        <f t="shared" si="123"/>
        <v>0</v>
      </c>
      <c r="G388" s="74"/>
      <c r="H388" s="235"/>
      <c r="I388" s="208">
        <f t="shared" si="124"/>
        <v>0</v>
      </c>
      <c r="J388" s="257"/>
      <c r="K388" s="235"/>
      <c r="L388" s="208">
        <f t="shared" si="125"/>
        <v>0</v>
      </c>
      <c r="M388" s="260"/>
      <c r="N388" s="235"/>
      <c r="O388" s="208">
        <f t="shared" si="126"/>
        <v>0</v>
      </c>
      <c r="P388" s="292"/>
      <c r="Q388" s="167">
        <f t="shared" si="127"/>
        <v>0</v>
      </c>
    </row>
    <row r="389" spans="1:17" ht="12.75">
      <c r="A389" s="20" t="s">
        <v>159</v>
      </c>
      <c r="B389" s="57"/>
      <c r="C389" s="112">
        <f>SUM(C390:C403)</f>
        <v>359849.33</v>
      </c>
      <c r="D389" s="102">
        <f aca="true" t="shared" si="128" ref="D389:Q389">SUM(D390:D403)</f>
        <v>891637.71</v>
      </c>
      <c r="E389" s="73">
        <f t="shared" si="128"/>
        <v>0</v>
      </c>
      <c r="F389" s="190">
        <f t="shared" si="128"/>
        <v>1251487.04</v>
      </c>
      <c r="G389" s="74">
        <f t="shared" si="128"/>
        <v>118791.67000000003</v>
      </c>
      <c r="H389" s="235">
        <f t="shared" si="128"/>
        <v>4588.88</v>
      </c>
      <c r="I389" s="208">
        <f t="shared" si="128"/>
        <v>1374867.59</v>
      </c>
      <c r="J389" s="257">
        <f t="shared" si="128"/>
        <v>32317.860000000015</v>
      </c>
      <c r="K389" s="235">
        <f t="shared" si="128"/>
        <v>13619.4</v>
      </c>
      <c r="L389" s="208">
        <f t="shared" si="128"/>
        <v>1420804.85</v>
      </c>
      <c r="M389" s="257">
        <f t="shared" si="128"/>
        <v>328068.29</v>
      </c>
      <c r="N389" s="235">
        <f t="shared" si="128"/>
        <v>19784.82</v>
      </c>
      <c r="O389" s="208">
        <f t="shared" si="128"/>
        <v>1768657.96</v>
      </c>
      <c r="P389" s="102">
        <f t="shared" si="128"/>
        <v>0</v>
      </c>
      <c r="Q389" s="151">
        <f t="shared" si="128"/>
        <v>1768657.96</v>
      </c>
    </row>
    <row r="390" spans="1:17" ht="12.75">
      <c r="A390" s="16" t="s">
        <v>198</v>
      </c>
      <c r="B390" s="57"/>
      <c r="C390" s="117">
        <v>1500</v>
      </c>
      <c r="D390" s="142"/>
      <c r="E390" s="73"/>
      <c r="F390" s="190">
        <f>C390+D390+E390</f>
        <v>1500</v>
      </c>
      <c r="G390" s="74"/>
      <c r="H390" s="235"/>
      <c r="I390" s="208">
        <f t="shared" si="124"/>
        <v>1500</v>
      </c>
      <c r="J390" s="257"/>
      <c r="K390" s="235"/>
      <c r="L390" s="208">
        <f t="shared" si="125"/>
        <v>1500</v>
      </c>
      <c r="M390" s="260"/>
      <c r="N390" s="235"/>
      <c r="O390" s="208">
        <f t="shared" si="126"/>
        <v>1500</v>
      </c>
      <c r="P390" s="292"/>
      <c r="Q390" s="167">
        <f t="shared" si="127"/>
        <v>1500</v>
      </c>
    </row>
    <row r="391" spans="1:17" ht="12.75">
      <c r="A391" s="16" t="s">
        <v>166</v>
      </c>
      <c r="B391" s="57"/>
      <c r="C391" s="117">
        <v>10000</v>
      </c>
      <c r="D391" s="142">
        <f>92311.3+1000</f>
        <v>93311.3</v>
      </c>
      <c r="E391" s="73"/>
      <c r="F391" s="190">
        <f>C391+D391+E391</f>
        <v>103311.3</v>
      </c>
      <c r="G391" s="74">
        <f>-108.9+1186.41-274.76-980</f>
        <v>-177.25</v>
      </c>
      <c r="H391" s="235"/>
      <c r="I391" s="208">
        <f t="shared" si="124"/>
        <v>103134.05</v>
      </c>
      <c r="J391" s="257">
        <f>11.34+379.46-981.69-7300</f>
        <v>-7890.89</v>
      </c>
      <c r="K391" s="235"/>
      <c r="L391" s="208">
        <f t="shared" si="125"/>
        <v>95243.16</v>
      </c>
      <c r="M391" s="260"/>
      <c r="N391" s="235"/>
      <c r="O391" s="208">
        <f t="shared" si="126"/>
        <v>95243.16</v>
      </c>
      <c r="P391" s="292"/>
      <c r="Q391" s="167">
        <f t="shared" si="127"/>
        <v>95243.16</v>
      </c>
    </row>
    <row r="392" spans="1:17" ht="12.75">
      <c r="A392" s="16" t="s">
        <v>276</v>
      </c>
      <c r="B392" s="57"/>
      <c r="C392" s="117">
        <v>5000</v>
      </c>
      <c r="D392" s="142">
        <f>5229</f>
        <v>5229</v>
      </c>
      <c r="E392" s="73"/>
      <c r="F392" s="190">
        <f>C392+D392+E392</f>
        <v>10229</v>
      </c>
      <c r="G392" s="74"/>
      <c r="H392" s="235"/>
      <c r="I392" s="208">
        <f t="shared" si="124"/>
        <v>10229</v>
      </c>
      <c r="J392" s="257"/>
      <c r="K392" s="235"/>
      <c r="L392" s="208">
        <f t="shared" si="125"/>
        <v>10229</v>
      </c>
      <c r="M392" s="260"/>
      <c r="N392" s="235"/>
      <c r="O392" s="208">
        <f t="shared" si="126"/>
        <v>10229</v>
      </c>
      <c r="P392" s="292"/>
      <c r="Q392" s="167">
        <f t="shared" si="127"/>
        <v>10229</v>
      </c>
    </row>
    <row r="393" spans="1:17" ht="12.75" hidden="1">
      <c r="A393" s="16" t="s">
        <v>296</v>
      </c>
      <c r="B393" s="57"/>
      <c r="C393" s="117"/>
      <c r="D393" s="142"/>
      <c r="E393" s="73"/>
      <c r="F393" s="190">
        <f>C393+D393+E393</f>
        <v>0</v>
      </c>
      <c r="G393" s="74"/>
      <c r="H393" s="235"/>
      <c r="I393" s="208">
        <f t="shared" si="124"/>
        <v>0</v>
      </c>
      <c r="J393" s="257"/>
      <c r="K393" s="235"/>
      <c r="L393" s="208">
        <f t="shared" si="125"/>
        <v>0</v>
      </c>
      <c r="M393" s="260"/>
      <c r="N393" s="235"/>
      <c r="O393" s="208">
        <f t="shared" si="126"/>
        <v>0</v>
      </c>
      <c r="P393" s="292"/>
      <c r="Q393" s="167">
        <f t="shared" si="127"/>
        <v>0</v>
      </c>
    </row>
    <row r="394" spans="1:17" ht="12.75" hidden="1">
      <c r="A394" s="16" t="s">
        <v>245</v>
      </c>
      <c r="B394" s="57"/>
      <c r="C394" s="117"/>
      <c r="D394" s="142"/>
      <c r="E394" s="73"/>
      <c r="F394" s="190">
        <f t="shared" si="123"/>
        <v>0</v>
      </c>
      <c r="G394" s="74"/>
      <c r="H394" s="235"/>
      <c r="I394" s="208">
        <f t="shared" si="124"/>
        <v>0</v>
      </c>
      <c r="J394" s="257"/>
      <c r="K394" s="235"/>
      <c r="L394" s="208">
        <f t="shared" si="125"/>
        <v>0</v>
      </c>
      <c r="M394" s="260"/>
      <c r="N394" s="235"/>
      <c r="O394" s="208">
        <f t="shared" si="126"/>
        <v>0</v>
      </c>
      <c r="P394" s="292"/>
      <c r="Q394" s="167">
        <f t="shared" si="127"/>
        <v>0</v>
      </c>
    </row>
    <row r="395" spans="1:17" ht="12.75">
      <c r="A395" s="16" t="s">
        <v>210</v>
      </c>
      <c r="B395" s="57"/>
      <c r="C395" s="117">
        <v>120000</v>
      </c>
      <c r="D395" s="142">
        <f>76570.33+14500-6449.08+50000</f>
        <v>134621.25</v>
      </c>
      <c r="E395" s="73"/>
      <c r="F395" s="190">
        <f t="shared" si="123"/>
        <v>254621.25</v>
      </c>
      <c r="G395" s="74">
        <f>35000+2173.09</f>
        <v>37173.09</v>
      </c>
      <c r="H395" s="235"/>
      <c r="I395" s="208">
        <f t="shared" si="124"/>
        <v>291794.33999999997</v>
      </c>
      <c r="J395" s="257">
        <f>-10000+25000</f>
        <v>15000</v>
      </c>
      <c r="K395" s="235"/>
      <c r="L395" s="208">
        <f t="shared" si="125"/>
        <v>306794.33999999997</v>
      </c>
      <c r="M395" s="260">
        <f>16118.74+3175.81+155668.24+11771.07-2173.09</f>
        <v>184560.77</v>
      </c>
      <c r="N395" s="235"/>
      <c r="O395" s="208">
        <f t="shared" si="126"/>
        <v>491355.11</v>
      </c>
      <c r="P395" s="292"/>
      <c r="Q395" s="167">
        <f t="shared" si="127"/>
        <v>491355.11</v>
      </c>
    </row>
    <row r="396" spans="1:17" ht="12.75">
      <c r="A396" s="16" t="s">
        <v>165</v>
      </c>
      <c r="B396" s="57"/>
      <c r="C396" s="117">
        <v>32130</v>
      </c>
      <c r="D396" s="142">
        <f>-700+7984.48+1348.06+83.43+29.04+3463.62+41.14+2772.35+1052.12+3620.21-5109.34+23.23</f>
        <v>14608.34</v>
      </c>
      <c r="E396" s="73"/>
      <c r="F396" s="190">
        <f t="shared" si="123"/>
        <v>46738.34</v>
      </c>
      <c r="G396" s="74">
        <f>86.52+1130.22+41.14+856.23+23.23+2780.7+181.5+4948.57+23.23+160.93+1257.52+7175.11+48.5+1105.72+5829.13+1391.5</f>
        <v>27039.750000000004</v>
      </c>
      <c r="H396" s="235">
        <f>4588.88</f>
        <v>4588.88</v>
      </c>
      <c r="I396" s="208">
        <f t="shared" si="124"/>
        <v>78366.97</v>
      </c>
      <c r="J396" s="257">
        <f>40.66+41.14+1544.55+60.26+1947.32+31.46+1159.16+23.23+5513.06+1358.25+960.73+2303.6+7369.61-7175.11</f>
        <v>15177.919999999998</v>
      </c>
      <c r="K396" s="235">
        <f>13619.4</f>
        <v>13619.4</v>
      </c>
      <c r="L396" s="208">
        <f t="shared" si="125"/>
        <v>107164.29</v>
      </c>
      <c r="M396" s="260">
        <f>1178.89+2103.29+1114+5275.69+7233.44+2087.5+2183.09+26710.61+116.9+908.05+182.68+947.62+1637.21</f>
        <v>51678.97</v>
      </c>
      <c r="N396" s="235">
        <f>16814.43</f>
        <v>16814.43</v>
      </c>
      <c r="O396" s="208">
        <f t="shared" si="126"/>
        <v>175657.69</v>
      </c>
      <c r="P396" s="292"/>
      <c r="Q396" s="167">
        <f t="shared" si="127"/>
        <v>175657.69</v>
      </c>
    </row>
    <row r="397" spans="1:17" ht="13.5" thickBot="1">
      <c r="A397" s="311" t="s">
        <v>168</v>
      </c>
      <c r="B397" s="300"/>
      <c r="C397" s="313">
        <v>15030</v>
      </c>
      <c r="D397" s="310">
        <f>-530+90916.15</f>
        <v>90386.15</v>
      </c>
      <c r="E397" s="303"/>
      <c r="F397" s="304">
        <f t="shared" si="123"/>
        <v>105416.15</v>
      </c>
      <c r="G397" s="305">
        <f>668.91-500-5000-20000+370.24</f>
        <v>-24460.85</v>
      </c>
      <c r="H397" s="306"/>
      <c r="I397" s="307">
        <f t="shared" si="124"/>
        <v>80955.29999999999</v>
      </c>
      <c r="J397" s="308">
        <f>370.46</f>
        <v>370.46</v>
      </c>
      <c r="K397" s="306"/>
      <c r="L397" s="307">
        <f t="shared" si="125"/>
        <v>81325.76</v>
      </c>
      <c r="M397" s="312"/>
      <c r="N397" s="306">
        <f>2970.39</f>
        <v>2970.39</v>
      </c>
      <c r="O397" s="307">
        <f t="shared" si="126"/>
        <v>84296.15</v>
      </c>
      <c r="P397" s="292"/>
      <c r="Q397" s="167">
        <f t="shared" si="127"/>
        <v>84296.15</v>
      </c>
    </row>
    <row r="398" spans="1:17" ht="12.75">
      <c r="A398" s="16" t="s">
        <v>172</v>
      </c>
      <c r="B398" s="57"/>
      <c r="C398" s="117">
        <v>29900</v>
      </c>
      <c r="D398" s="142">
        <f>5303.09+37101.69+4498.66+24270</f>
        <v>71173.44</v>
      </c>
      <c r="E398" s="73"/>
      <c r="F398" s="190">
        <f t="shared" si="123"/>
        <v>101073.44</v>
      </c>
      <c r="G398" s="74">
        <f>1508.27+55.06-150+5684+17500+47500+8000+20000</f>
        <v>100097.33</v>
      </c>
      <c r="H398" s="235"/>
      <c r="I398" s="208">
        <f t="shared" si="124"/>
        <v>201170.77000000002</v>
      </c>
      <c r="J398" s="260">
        <f>854.15+25000</f>
        <v>25854.15</v>
      </c>
      <c r="K398" s="235"/>
      <c r="L398" s="208">
        <f t="shared" si="125"/>
        <v>227024.92</v>
      </c>
      <c r="M398" s="260">
        <f>30676.64-72.6</f>
        <v>30604.04</v>
      </c>
      <c r="N398" s="235"/>
      <c r="O398" s="208">
        <f t="shared" si="126"/>
        <v>257628.96000000002</v>
      </c>
      <c r="P398" s="292"/>
      <c r="Q398" s="167">
        <f t="shared" si="127"/>
        <v>257628.96000000002</v>
      </c>
    </row>
    <row r="399" spans="1:17" ht="12.75">
      <c r="A399" s="16" t="s">
        <v>171</v>
      </c>
      <c r="B399" s="57"/>
      <c r="C399" s="117">
        <v>46200</v>
      </c>
      <c r="D399" s="102">
        <f>111229.84+1787.28+1140.79+2788.49+2538.29</f>
        <v>119484.68999999999</v>
      </c>
      <c r="E399" s="73"/>
      <c r="F399" s="190">
        <f t="shared" si="123"/>
        <v>165684.69</v>
      </c>
      <c r="G399" s="74">
        <f>222.33+4827.41+3484.44+48.4+2262.04+291.51+2915.35+384.44+2533.28+4735.91-10474.59+20000</f>
        <v>31230.52</v>
      </c>
      <c r="H399" s="235"/>
      <c r="I399" s="208">
        <f t="shared" si="124"/>
        <v>196915.21</v>
      </c>
      <c r="J399" s="257">
        <f>1894.44+3794.41+266.2+121+271.67+1460.85+1957.5+12095.31+2127.17+2216.3-4000</f>
        <v>22204.849999999995</v>
      </c>
      <c r="K399" s="235"/>
      <c r="L399" s="208">
        <f t="shared" si="125"/>
        <v>219120.06</v>
      </c>
      <c r="M399" s="260">
        <f>3268.49+479.08+624.43+497.34+154.28+0.02-4404.45+2409.76+1390.72</f>
        <v>4419.670000000001</v>
      </c>
      <c r="N399" s="235"/>
      <c r="O399" s="208">
        <f t="shared" si="126"/>
        <v>223539.73</v>
      </c>
      <c r="P399" s="292"/>
      <c r="Q399" s="167">
        <f t="shared" si="127"/>
        <v>223539.73</v>
      </c>
    </row>
    <row r="400" spans="1:17" ht="12.75" hidden="1">
      <c r="A400" s="16" t="s">
        <v>282</v>
      </c>
      <c r="B400" s="57"/>
      <c r="C400" s="117"/>
      <c r="D400" s="102"/>
      <c r="E400" s="73"/>
      <c r="F400" s="190">
        <f t="shared" si="123"/>
        <v>0</v>
      </c>
      <c r="G400" s="74"/>
      <c r="H400" s="235"/>
      <c r="I400" s="208">
        <f t="shared" si="124"/>
        <v>0</v>
      </c>
      <c r="J400" s="257"/>
      <c r="K400" s="235"/>
      <c r="L400" s="208">
        <f t="shared" si="125"/>
        <v>0</v>
      </c>
      <c r="M400" s="260"/>
      <c r="N400" s="235"/>
      <c r="O400" s="208">
        <f t="shared" si="126"/>
        <v>0</v>
      </c>
      <c r="P400" s="292"/>
      <c r="Q400" s="167">
        <f t="shared" si="127"/>
        <v>0</v>
      </c>
    </row>
    <row r="401" spans="1:17" ht="12.75">
      <c r="A401" s="16" t="s">
        <v>253</v>
      </c>
      <c r="B401" s="57">
        <v>2088</v>
      </c>
      <c r="C401" s="117"/>
      <c r="D401" s="102">
        <f>1620.82+51333.31</f>
        <v>52954.13</v>
      </c>
      <c r="E401" s="73"/>
      <c r="F401" s="190">
        <f t="shared" si="123"/>
        <v>52954.13</v>
      </c>
      <c r="G401" s="74">
        <f>56521.93</f>
        <v>56521.93</v>
      </c>
      <c r="H401" s="235"/>
      <c r="I401" s="208">
        <f t="shared" si="124"/>
        <v>109476.06</v>
      </c>
      <c r="J401" s="257">
        <f>35904.66</f>
        <v>35904.66</v>
      </c>
      <c r="K401" s="235"/>
      <c r="L401" s="208">
        <f t="shared" si="125"/>
        <v>145380.72</v>
      </c>
      <c r="M401" s="260">
        <f>121639.93-155668.24</f>
        <v>-34028.31</v>
      </c>
      <c r="N401" s="235"/>
      <c r="O401" s="208">
        <f t="shared" si="126"/>
        <v>111352.41</v>
      </c>
      <c r="P401" s="292"/>
      <c r="Q401" s="167">
        <f t="shared" si="127"/>
        <v>111352.41</v>
      </c>
    </row>
    <row r="402" spans="1:17" ht="12.75">
      <c r="A402" s="20" t="s">
        <v>220</v>
      </c>
      <c r="B402" s="57">
        <v>2077</v>
      </c>
      <c r="C402" s="117">
        <v>100089.33</v>
      </c>
      <c r="D402" s="102">
        <f>183392.29-1000-3900-36.44-7132.51-1338.77-49.4-13.79-1746.12-29.52-2758.22-491.12-3608.52+6449.08+4741.14+404.5-13.94-100-50000-400</f>
        <v>122368.66000000003</v>
      </c>
      <c r="E402" s="73"/>
      <c r="F402" s="190">
        <f t="shared" si="123"/>
        <v>222457.99000000005</v>
      </c>
      <c r="G402" s="74">
        <f>-51.91-569.78-29.52-53.11-513.74-13.94-1401.84-229.9-15219.74-2494.73-13.94-160.93+3314.05-633.96-105.02-339.5-4155.58-4000-663.43-103.63-2938.65</f>
        <v>-30378.8</v>
      </c>
      <c r="H402" s="235"/>
      <c r="I402" s="208">
        <f t="shared" si="124"/>
        <v>192079.19000000006</v>
      </c>
      <c r="J402" s="257">
        <f>-738.33-19.17-29.53-266.2-121-926.73-24.32-1947.32-114.19-13444.34-31.46-728.07-13.94-3175.48-814.95+4156.41-1230.55-960.73-1382.16-5636.34</f>
        <v>-27448.399999999998</v>
      </c>
      <c r="K402" s="235"/>
      <c r="L402" s="208">
        <f t="shared" si="125"/>
        <v>164630.79000000007</v>
      </c>
      <c r="M402" s="260">
        <f>-740.46-1180.34-699.7-5236.97-7208.43-1252.5-1567.79-584.97-182.68-595.2-1637.21</f>
        <v>-20886.250000000004</v>
      </c>
      <c r="N402" s="235"/>
      <c r="O402" s="208">
        <f t="shared" si="126"/>
        <v>143744.54000000007</v>
      </c>
      <c r="P402" s="292"/>
      <c r="Q402" s="167">
        <f t="shared" si="127"/>
        <v>143744.54000000007</v>
      </c>
    </row>
    <row r="403" spans="1:17" ht="12.75">
      <c r="A403" s="26" t="s">
        <v>254</v>
      </c>
      <c r="B403" s="60">
        <v>2099</v>
      </c>
      <c r="C403" s="181"/>
      <c r="D403" s="172">
        <f>13200+106180.49+3900+34500-2000-4000-37101.69-206.47-10630.94-9.29-34.03-15.25-1787.28-1140.79-1717.5-11.62-14.13+1016.76-2445.98-2782.99-1052.12-4498.66-11.69-2788.49+500+3000-2538.29-9.29+50000+50000</f>
        <v>187500.75</v>
      </c>
      <c r="E403" s="81"/>
      <c r="F403" s="195">
        <f t="shared" si="123"/>
        <v>187500.75</v>
      </c>
      <c r="G403" s="226">
        <f>636.11+179.45+185.45-55.06+13713.98+18707.82-34.61-560.44-11.62-300.94-4827.41-3484.44-342.49-9.29-1378.86-1674.49-2262.04-291.51-668.91-2915.35-1000-82279.84-2453.84-9.29+750+550+1127.46-384.44-2533.28-623.56-4735.91-595.09+1600.68+1337.82-389.09-442.29-932.65-300-2890.48+1344.4</f>
        <v>-78254.04999999997</v>
      </c>
      <c r="H403" s="241">
        <f>-4610.66+4610.66</f>
        <v>0</v>
      </c>
      <c r="I403" s="213">
        <f t="shared" si="124"/>
        <v>109246.70000000003</v>
      </c>
      <c r="J403" s="264">
        <f>-2000-1351.38-4172.83-1894.44-3794.41-394.74-21.49-11.61-617.82-35.94-271.67-5.49-647.07-1500-76184.59-1460.85-1957.5-12095.31-431.09-9.29-2337.58-543.3+47365.51+90.64+13.38+1052.12+457.69+19982.75+19379.21+22.33-6954.72-43.52-921.44-1733.27-2127.17+1300-5000-200-2800-5000</f>
        <v>-46854.889999999985</v>
      </c>
      <c r="K403" s="241">
        <f>-13641.18+13641.18</f>
        <v>0</v>
      </c>
      <c r="L403" s="213">
        <f t="shared" si="125"/>
        <v>62391.81000000004</v>
      </c>
      <c r="M403" s="283">
        <f>994.87-3268.49-479.08-438.43-922.95-2000-414.3-38.72-624.43-25.01-835-615.3-76.5-411.4-497.34-26850.97+26850.97-116.9+116.9+49.01+6313.95-323.08-30676.64+21.89+6029.17+2662.98-352.42-154.28+85.3-20000-6000-5000+1220.82+171295.26-2409.76-1390.72</f>
        <v>111719.40000000001</v>
      </c>
      <c r="N403" s="241">
        <f>-3474.4+3474.4-16850.73+16850.73</f>
        <v>0</v>
      </c>
      <c r="O403" s="213">
        <f t="shared" si="126"/>
        <v>174111.21000000005</v>
      </c>
      <c r="P403" s="295"/>
      <c r="Q403" s="168">
        <f t="shared" si="127"/>
        <v>174111.21000000005</v>
      </c>
    </row>
    <row r="404" spans="1:17" ht="12.75">
      <c r="A404" s="13" t="s">
        <v>85</v>
      </c>
      <c r="B404" s="61"/>
      <c r="C404" s="111">
        <f aca="true" t="shared" si="129" ref="C404:Q404">C405+C436</f>
        <v>371434</v>
      </c>
      <c r="D404" s="92">
        <f t="shared" si="129"/>
        <v>1602417.67</v>
      </c>
      <c r="E404" s="72">
        <f t="shared" si="129"/>
        <v>0</v>
      </c>
      <c r="F404" s="189">
        <f t="shared" si="129"/>
        <v>1973851.6700000002</v>
      </c>
      <c r="G404" s="71">
        <f t="shared" si="129"/>
        <v>8301.439999999999</v>
      </c>
      <c r="H404" s="234">
        <f t="shared" si="129"/>
        <v>0</v>
      </c>
      <c r="I404" s="207">
        <f t="shared" si="129"/>
        <v>1982153.1099999999</v>
      </c>
      <c r="J404" s="256">
        <f t="shared" si="129"/>
        <v>31938.64</v>
      </c>
      <c r="K404" s="234">
        <f t="shared" si="129"/>
        <v>0</v>
      </c>
      <c r="L404" s="207">
        <f t="shared" si="129"/>
        <v>2014091.75</v>
      </c>
      <c r="M404" s="256">
        <f>M405+M436</f>
        <v>26834.8</v>
      </c>
      <c r="N404" s="234">
        <f t="shared" si="129"/>
        <v>0</v>
      </c>
      <c r="O404" s="207">
        <f t="shared" si="129"/>
        <v>2040926.5499999998</v>
      </c>
      <c r="P404" s="92">
        <f t="shared" si="129"/>
        <v>0</v>
      </c>
      <c r="Q404" s="150">
        <f t="shared" si="129"/>
        <v>1835224.9599999997</v>
      </c>
    </row>
    <row r="405" spans="1:17" ht="12.75">
      <c r="A405" s="22" t="s">
        <v>48</v>
      </c>
      <c r="B405" s="61"/>
      <c r="C405" s="115">
        <f aca="true" t="shared" si="130" ref="C405:Q405">SUM(C407:C435)</f>
        <v>371434</v>
      </c>
      <c r="D405" s="105">
        <f t="shared" si="130"/>
        <v>1588097.17</v>
      </c>
      <c r="E405" s="80">
        <f t="shared" si="130"/>
        <v>0</v>
      </c>
      <c r="F405" s="193">
        <f t="shared" si="130"/>
        <v>1959531.1700000002</v>
      </c>
      <c r="G405" s="79">
        <f t="shared" si="130"/>
        <v>1765.1599999999999</v>
      </c>
      <c r="H405" s="239">
        <f t="shared" si="130"/>
        <v>0</v>
      </c>
      <c r="I405" s="211">
        <f t="shared" si="130"/>
        <v>1961296.3299999998</v>
      </c>
      <c r="J405" s="262">
        <f t="shared" si="130"/>
        <v>31938.64</v>
      </c>
      <c r="K405" s="239">
        <f t="shared" si="130"/>
        <v>0</v>
      </c>
      <c r="L405" s="211">
        <f t="shared" si="130"/>
        <v>1993234.97</v>
      </c>
      <c r="M405" s="262">
        <f t="shared" si="130"/>
        <v>26834.8</v>
      </c>
      <c r="N405" s="239">
        <f t="shared" si="130"/>
        <v>0</v>
      </c>
      <c r="O405" s="211">
        <f t="shared" si="130"/>
        <v>2020069.7699999998</v>
      </c>
      <c r="P405" s="105">
        <f t="shared" si="130"/>
        <v>0</v>
      </c>
      <c r="Q405" s="154">
        <f t="shared" si="130"/>
        <v>1814368.1799999997</v>
      </c>
    </row>
    <row r="406" spans="1:17" ht="12.75">
      <c r="A406" s="18" t="s">
        <v>26</v>
      </c>
      <c r="B406" s="57"/>
      <c r="C406" s="112"/>
      <c r="D406" s="102"/>
      <c r="E406" s="73"/>
      <c r="F406" s="190"/>
      <c r="G406" s="74"/>
      <c r="H406" s="235"/>
      <c r="I406" s="208"/>
      <c r="J406" s="257"/>
      <c r="K406" s="235"/>
      <c r="L406" s="208"/>
      <c r="M406" s="257"/>
      <c r="N406" s="235"/>
      <c r="O406" s="208"/>
      <c r="P406" s="292"/>
      <c r="Q406" s="167"/>
    </row>
    <row r="407" spans="1:17" ht="12.75">
      <c r="A407" s="127" t="s">
        <v>86</v>
      </c>
      <c r="B407" s="63"/>
      <c r="C407" s="112">
        <v>286700</v>
      </c>
      <c r="D407" s="102">
        <f>23000</f>
        <v>23000</v>
      </c>
      <c r="E407" s="73"/>
      <c r="F407" s="132">
        <f aca="true" t="shared" si="131" ref="F407:F435">C407+D407+E407</f>
        <v>309700</v>
      </c>
      <c r="G407" s="74"/>
      <c r="H407" s="235"/>
      <c r="I407" s="208">
        <f>F407+G407+H407</f>
        <v>309700</v>
      </c>
      <c r="J407" s="257"/>
      <c r="K407" s="235"/>
      <c r="L407" s="208">
        <f>I407+J407+K407</f>
        <v>309700</v>
      </c>
      <c r="M407" s="257">
        <f>-78482.33</f>
        <v>-78482.33</v>
      </c>
      <c r="N407" s="235">
        <f>-13850</f>
        <v>-13850</v>
      </c>
      <c r="O407" s="208">
        <f>L407+M407+N407</f>
        <v>217367.66999999998</v>
      </c>
      <c r="P407" s="292"/>
      <c r="Q407" s="167">
        <f>O407+P407</f>
        <v>217367.66999999998</v>
      </c>
    </row>
    <row r="408" spans="1:17" ht="12.75" hidden="1">
      <c r="A408" s="58" t="s">
        <v>191</v>
      </c>
      <c r="B408" s="63"/>
      <c r="C408" s="112"/>
      <c r="D408" s="102"/>
      <c r="E408" s="73"/>
      <c r="F408" s="190">
        <f t="shared" si="131"/>
        <v>0</v>
      </c>
      <c r="G408" s="74"/>
      <c r="H408" s="235"/>
      <c r="I408" s="208">
        <f aca="true" t="shared" si="132" ref="I408:I435">F408+G408+H408</f>
        <v>0</v>
      </c>
      <c r="J408" s="257"/>
      <c r="K408" s="235"/>
      <c r="L408" s="208">
        <f aca="true" t="shared" si="133" ref="L408:L435">I408+J408+K408</f>
        <v>0</v>
      </c>
      <c r="M408" s="257"/>
      <c r="N408" s="235"/>
      <c r="O408" s="208">
        <f aca="true" t="shared" si="134" ref="O408:O435">L408+M408+N408</f>
        <v>0</v>
      </c>
      <c r="P408" s="292"/>
      <c r="Q408" s="167">
        <f aca="true" t="shared" si="135" ref="Q408:Q435">O408+P408</f>
        <v>0</v>
      </c>
    </row>
    <row r="409" spans="1:17" ht="12.75" hidden="1">
      <c r="A409" s="16" t="s">
        <v>136</v>
      </c>
      <c r="B409" s="57"/>
      <c r="C409" s="112"/>
      <c r="D409" s="102"/>
      <c r="E409" s="73"/>
      <c r="F409" s="190">
        <f t="shared" si="131"/>
        <v>0</v>
      </c>
      <c r="G409" s="74"/>
      <c r="H409" s="235"/>
      <c r="I409" s="208">
        <f t="shared" si="132"/>
        <v>0</v>
      </c>
      <c r="J409" s="257"/>
      <c r="K409" s="235"/>
      <c r="L409" s="208">
        <f t="shared" si="133"/>
        <v>0</v>
      </c>
      <c r="M409" s="257"/>
      <c r="N409" s="235"/>
      <c r="O409" s="208">
        <f t="shared" si="134"/>
        <v>0</v>
      </c>
      <c r="P409" s="292"/>
      <c r="Q409" s="167">
        <f t="shared" si="135"/>
        <v>0</v>
      </c>
    </row>
    <row r="410" spans="1:17" ht="12.75">
      <c r="A410" s="16" t="s">
        <v>152</v>
      </c>
      <c r="B410" s="57"/>
      <c r="C410" s="112">
        <v>70000</v>
      </c>
      <c r="D410" s="102">
        <f>-981+5192.63</f>
        <v>4211.63</v>
      </c>
      <c r="E410" s="73"/>
      <c r="F410" s="190">
        <f t="shared" si="131"/>
        <v>74211.63</v>
      </c>
      <c r="G410" s="74">
        <f>822.03-180</f>
        <v>642.03</v>
      </c>
      <c r="H410" s="235"/>
      <c r="I410" s="208">
        <f t="shared" si="132"/>
        <v>74853.66</v>
      </c>
      <c r="J410" s="257">
        <f>-200-60</f>
        <v>-260</v>
      </c>
      <c r="K410" s="235"/>
      <c r="L410" s="208">
        <f t="shared" si="133"/>
        <v>74593.66</v>
      </c>
      <c r="M410" s="257">
        <f>78482.33</f>
        <v>78482.33</v>
      </c>
      <c r="N410" s="235">
        <f>13850</f>
        <v>13850</v>
      </c>
      <c r="O410" s="208">
        <f t="shared" si="134"/>
        <v>166925.99</v>
      </c>
      <c r="P410" s="292"/>
      <c r="Q410" s="167">
        <f t="shared" si="135"/>
        <v>166925.99</v>
      </c>
    </row>
    <row r="411" spans="1:17" ht="12.75">
      <c r="A411" s="16" t="s">
        <v>50</v>
      </c>
      <c r="B411" s="57"/>
      <c r="C411" s="112">
        <v>14244</v>
      </c>
      <c r="D411" s="102">
        <f>-5500</f>
        <v>-5500</v>
      </c>
      <c r="E411" s="73"/>
      <c r="F411" s="190">
        <f t="shared" si="131"/>
        <v>8744</v>
      </c>
      <c r="G411" s="74"/>
      <c r="H411" s="235"/>
      <c r="I411" s="208">
        <f t="shared" si="132"/>
        <v>8744</v>
      </c>
      <c r="J411" s="257"/>
      <c r="K411" s="235"/>
      <c r="L411" s="208">
        <f t="shared" si="133"/>
        <v>8744</v>
      </c>
      <c r="M411" s="257">
        <f>950.98</f>
        <v>950.98</v>
      </c>
      <c r="N411" s="235"/>
      <c r="O411" s="208">
        <f t="shared" si="134"/>
        <v>9694.98</v>
      </c>
      <c r="P411" s="292"/>
      <c r="Q411" s="167">
        <f t="shared" si="135"/>
        <v>9694.98</v>
      </c>
    </row>
    <row r="412" spans="1:17" ht="12.75" hidden="1">
      <c r="A412" s="16" t="s">
        <v>62</v>
      </c>
      <c r="B412" s="57"/>
      <c r="C412" s="112"/>
      <c r="D412" s="102"/>
      <c r="E412" s="73"/>
      <c r="F412" s="190">
        <f t="shared" si="131"/>
        <v>0</v>
      </c>
      <c r="G412" s="74"/>
      <c r="H412" s="235"/>
      <c r="I412" s="208">
        <f t="shared" si="132"/>
        <v>0</v>
      </c>
      <c r="J412" s="257"/>
      <c r="K412" s="235"/>
      <c r="L412" s="208">
        <f t="shared" si="133"/>
        <v>0</v>
      </c>
      <c r="M412" s="257"/>
      <c r="N412" s="235"/>
      <c r="O412" s="208">
        <f t="shared" si="134"/>
        <v>0</v>
      </c>
      <c r="P412" s="292"/>
      <c r="Q412" s="167">
        <f t="shared" si="135"/>
        <v>0</v>
      </c>
    </row>
    <row r="413" spans="1:17" ht="12.75" hidden="1">
      <c r="A413" s="16" t="s">
        <v>241</v>
      </c>
      <c r="B413" s="57">
        <v>13013</v>
      </c>
      <c r="C413" s="112"/>
      <c r="D413" s="102"/>
      <c r="E413" s="73"/>
      <c r="F413" s="190">
        <f t="shared" si="131"/>
        <v>0</v>
      </c>
      <c r="G413" s="74"/>
      <c r="H413" s="235"/>
      <c r="I413" s="208">
        <f t="shared" si="132"/>
        <v>0</v>
      </c>
      <c r="J413" s="257"/>
      <c r="K413" s="235"/>
      <c r="L413" s="208">
        <f t="shared" si="133"/>
        <v>0</v>
      </c>
      <c r="M413" s="257"/>
      <c r="N413" s="235"/>
      <c r="O413" s="208">
        <f t="shared" si="134"/>
        <v>0</v>
      </c>
      <c r="P413" s="292"/>
      <c r="Q413" s="167">
        <f t="shared" si="135"/>
        <v>0</v>
      </c>
    </row>
    <row r="414" spans="1:17" ht="12.75" hidden="1">
      <c r="A414" s="58" t="s">
        <v>293</v>
      </c>
      <c r="B414" s="57">
        <v>2178</v>
      </c>
      <c r="C414" s="112"/>
      <c r="D414" s="102"/>
      <c r="E414" s="73"/>
      <c r="F414" s="190">
        <f t="shared" si="131"/>
        <v>0</v>
      </c>
      <c r="G414" s="74"/>
      <c r="H414" s="235"/>
      <c r="I414" s="208">
        <f t="shared" si="132"/>
        <v>0</v>
      </c>
      <c r="J414" s="257"/>
      <c r="K414" s="235"/>
      <c r="L414" s="208">
        <f t="shared" si="133"/>
        <v>0</v>
      </c>
      <c r="M414" s="257"/>
      <c r="N414" s="235"/>
      <c r="O414" s="208">
        <f t="shared" si="134"/>
        <v>0</v>
      </c>
      <c r="P414" s="292"/>
      <c r="Q414" s="167">
        <f t="shared" si="135"/>
        <v>0</v>
      </c>
    </row>
    <row r="415" spans="1:17" ht="12.75" hidden="1">
      <c r="A415" s="16" t="s">
        <v>294</v>
      </c>
      <c r="B415" s="57">
        <v>2073</v>
      </c>
      <c r="C415" s="112"/>
      <c r="D415" s="102"/>
      <c r="E415" s="73"/>
      <c r="F415" s="190">
        <f t="shared" si="131"/>
        <v>0</v>
      </c>
      <c r="G415" s="74"/>
      <c r="H415" s="235"/>
      <c r="I415" s="208">
        <f t="shared" si="132"/>
        <v>0</v>
      </c>
      <c r="J415" s="257"/>
      <c r="K415" s="235"/>
      <c r="L415" s="208">
        <f t="shared" si="133"/>
        <v>0</v>
      </c>
      <c r="M415" s="257"/>
      <c r="N415" s="235"/>
      <c r="O415" s="208">
        <f t="shared" si="134"/>
        <v>0</v>
      </c>
      <c r="P415" s="292"/>
      <c r="Q415" s="167">
        <f t="shared" si="135"/>
        <v>0</v>
      </c>
    </row>
    <row r="416" spans="1:17" ht="12.75" hidden="1">
      <c r="A416" s="16" t="s">
        <v>291</v>
      </c>
      <c r="B416" s="57"/>
      <c r="C416" s="112"/>
      <c r="D416" s="102"/>
      <c r="E416" s="73"/>
      <c r="F416" s="190">
        <f t="shared" si="131"/>
        <v>0</v>
      </c>
      <c r="G416" s="74"/>
      <c r="H416" s="235"/>
      <c r="I416" s="208">
        <f t="shared" si="132"/>
        <v>0</v>
      </c>
      <c r="J416" s="257"/>
      <c r="K416" s="235"/>
      <c r="L416" s="208">
        <f t="shared" si="133"/>
        <v>0</v>
      </c>
      <c r="M416" s="257"/>
      <c r="N416" s="235"/>
      <c r="O416" s="208">
        <f t="shared" si="134"/>
        <v>0</v>
      </c>
      <c r="P416" s="292"/>
      <c r="Q416" s="167">
        <f t="shared" si="135"/>
        <v>0</v>
      </c>
    </row>
    <row r="417" spans="1:17" ht="12.75">
      <c r="A417" s="16" t="s">
        <v>325</v>
      </c>
      <c r="B417" s="57">
        <v>1230</v>
      </c>
      <c r="C417" s="112"/>
      <c r="D417" s="102">
        <f>3334.03</f>
        <v>3334.03</v>
      </c>
      <c r="E417" s="73"/>
      <c r="F417" s="190">
        <f t="shared" si="131"/>
        <v>3334.03</v>
      </c>
      <c r="G417" s="74">
        <f>-2748.43</f>
        <v>-2748.43</v>
      </c>
      <c r="H417" s="235"/>
      <c r="I417" s="208">
        <f t="shared" si="132"/>
        <v>585.6000000000004</v>
      </c>
      <c r="J417" s="257"/>
      <c r="K417" s="235"/>
      <c r="L417" s="208">
        <f t="shared" si="133"/>
        <v>585.6000000000004</v>
      </c>
      <c r="M417" s="257"/>
      <c r="N417" s="235"/>
      <c r="O417" s="208">
        <f t="shared" si="134"/>
        <v>585.6000000000004</v>
      </c>
      <c r="P417" s="292"/>
      <c r="Q417" s="167">
        <f t="shared" si="135"/>
        <v>585.6000000000004</v>
      </c>
    </row>
    <row r="418" spans="1:17" ht="12.75">
      <c r="A418" s="16" t="s">
        <v>326</v>
      </c>
      <c r="B418" s="57">
        <v>1238</v>
      </c>
      <c r="C418" s="112"/>
      <c r="D418" s="102">
        <f>72093.82</f>
        <v>72093.82</v>
      </c>
      <c r="E418" s="73"/>
      <c r="F418" s="190">
        <f t="shared" si="131"/>
        <v>72093.82</v>
      </c>
      <c r="G418" s="74"/>
      <c r="H418" s="235"/>
      <c r="I418" s="208">
        <f t="shared" si="132"/>
        <v>72093.82</v>
      </c>
      <c r="J418" s="257"/>
      <c r="K418" s="235"/>
      <c r="L418" s="208">
        <f t="shared" si="133"/>
        <v>72093.82</v>
      </c>
      <c r="M418" s="257"/>
      <c r="N418" s="235"/>
      <c r="O418" s="208">
        <f t="shared" si="134"/>
        <v>72093.82</v>
      </c>
      <c r="P418" s="292"/>
      <c r="Q418" s="167"/>
    </row>
    <row r="419" spans="1:17" ht="12.75">
      <c r="A419" s="16" t="s">
        <v>304</v>
      </c>
      <c r="B419" s="57"/>
      <c r="C419" s="112"/>
      <c r="D419" s="102">
        <f>47237.11</f>
        <v>47237.11</v>
      </c>
      <c r="E419" s="73"/>
      <c r="F419" s="190">
        <f t="shared" si="131"/>
        <v>47237.11</v>
      </c>
      <c r="G419" s="74"/>
      <c r="H419" s="235"/>
      <c r="I419" s="208">
        <f t="shared" si="132"/>
        <v>47237.11</v>
      </c>
      <c r="J419" s="257">
        <f>24274.87</f>
        <v>24274.87</v>
      </c>
      <c r="K419" s="235"/>
      <c r="L419" s="208">
        <f t="shared" si="133"/>
        <v>71511.98</v>
      </c>
      <c r="M419" s="257">
        <f>12191.02</f>
        <v>12191.02</v>
      </c>
      <c r="N419" s="235"/>
      <c r="O419" s="208">
        <f t="shared" si="134"/>
        <v>83703</v>
      </c>
      <c r="P419" s="292"/>
      <c r="Q419" s="167"/>
    </row>
    <row r="420" spans="1:17" ht="12.75">
      <c r="A420" s="25" t="s">
        <v>305</v>
      </c>
      <c r="B420" s="57">
        <v>2090</v>
      </c>
      <c r="C420" s="112"/>
      <c r="D420" s="102">
        <f>5532.56</f>
        <v>5532.56</v>
      </c>
      <c r="E420" s="73"/>
      <c r="F420" s="190">
        <f t="shared" si="131"/>
        <v>5532.56</v>
      </c>
      <c r="G420" s="74"/>
      <c r="H420" s="235"/>
      <c r="I420" s="208">
        <f t="shared" si="132"/>
        <v>5532.56</v>
      </c>
      <c r="J420" s="257"/>
      <c r="K420" s="235"/>
      <c r="L420" s="208">
        <f t="shared" si="133"/>
        <v>5532.56</v>
      </c>
      <c r="M420" s="257">
        <f>712.02</f>
        <v>712.02</v>
      </c>
      <c r="N420" s="235"/>
      <c r="O420" s="208">
        <f t="shared" si="134"/>
        <v>6244.58</v>
      </c>
      <c r="P420" s="292"/>
      <c r="Q420" s="167"/>
    </row>
    <row r="421" spans="1:17" ht="12.75">
      <c r="A421" s="16" t="s">
        <v>322</v>
      </c>
      <c r="B421" s="57">
        <v>1240</v>
      </c>
      <c r="C421" s="112"/>
      <c r="D421" s="102">
        <f>9050.52</f>
        <v>9050.52</v>
      </c>
      <c r="E421" s="73"/>
      <c r="F421" s="190">
        <f t="shared" si="131"/>
        <v>9050.52</v>
      </c>
      <c r="G421" s="74"/>
      <c r="H421" s="235"/>
      <c r="I421" s="208">
        <f t="shared" si="132"/>
        <v>9050.52</v>
      </c>
      <c r="J421" s="257"/>
      <c r="K421" s="235"/>
      <c r="L421" s="208">
        <f t="shared" si="133"/>
        <v>9050.52</v>
      </c>
      <c r="M421" s="257"/>
      <c r="N421" s="235"/>
      <c r="O421" s="208">
        <f t="shared" si="134"/>
        <v>9050.52</v>
      </c>
      <c r="P421" s="292"/>
      <c r="Q421" s="167">
        <f t="shared" si="135"/>
        <v>9050.52</v>
      </c>
    </row>
    <row r="422" spans="1:17" ht="12.75">
      <c r="A422" s="16" t="s">
        <v>365</v>
      </c>
      <c r="B422" s="57"/>
      <c r="C422" s="112"/>
      <c r="D422" s="102"/>
      <c r="E422" s="73"/>
      <c r="F422" s="190">
        <f t="shared" si="131"/>
        <v>0</v>
      </c>
      <c r="G422" s="74"/>
      <c r="H422" s="235"/>
      <c r="I422" s="208">
        <f t="shared" si="132"/>
        <v>0</v>
      </c>
      <c r="J422" s="257">
        <f>45.65</f>
        <v>45.65</v>
      </c>
      <c r="K422" s="235"/>
      <c r="L422" s="208">
        <f t="shared" si="133"/>
        <v>45.65</v>
      </c>
      <c r="M422" s="257"/>
      <c r="N422" s="235"/>
      <c r="O422" s="208">
        <f t="shared" si="134"/>
        <v>45.65</v>
      </c>
      <c r="P422" s="292"/>
      <c r="Q422" s="167">
        <f t="shared" si="135"/>
        <v>45.65</v>
      </c>
    </row>
    <row r="423" spans="1:17" ht="12.75">
      <c r="A423" s="16" t="s">
        <v>323</v>
      </c>
      <c r="B423" s="57">
        <v>1235</v>
      </c>
      <c r="C423" s="112"/>
      <c r="D423" s="102">
        <f>5055.88</f>
        <v>5055.88</v>
      </c>
      <c r="E423" s="73"/>
      <c r="F423" s="190">
        <f t="shared" si="131"/>
        <v>5055.88</v>
      </c>
      <c r="G423" s="74"/>
      <c r="H423" s="235"/>
      <c r="I423" s="208">
        <f t="shared" si="132"/>
        <v>5055.88</v>
      </c>
      <c r="J423" s="257"/>
      <c r="K423" s="235"/>
      <c r="L423" s="208">
        <f t="shared" si="133"/>
        <v>5055.88</v>
      </c>
      <c r="M423" s="257"/>
      <c r="N423" s="235"/>
      <c r="O423" s="208">
        <f t="shared" si="134"/>
        <v>5055.88</v>
      </c>
      <c r="P423" s="292"/>
      <c r="Q423" s="167"/>
    </row>
    <row r="424" spans="1:17" ht="12.75">
      <c r="A424" s="16" t="s">
        <v>363</v>
      </c>
      <c r="B424" s="57"/>
      <c r="C424" s="112"/>
      <c r="D424" s="102"/>
      <c r="E424" s="73"/>
      <c r="F424" s="190"/>
      <c r="G424" s="74"/>
      <c r="H424" s="235"/>
      <c r="I424" s="208">
        <f t="shared" si="132"/>
        <v>0</v>
      </c>
      <c r="J424" s="257">
        <f>8898.72</f>
        <v>8898.72</v>
      </c>
      <c r="K424" s="235"/>
      <c r="L424" s="208">
        <f t="shared" si="133"/>
        <v>8898.72</v>
      </c>
      <c r="M424" s="257">
        <f>7727.61</f>
        <v>7727.61</v>
      </c>
      <c r="N424" s="235"/>
      <c r="O424" s="208">
        <f t="shared" si="134"/>
        <v>16626.329999999998</v>
      </c>
      <c r="P424" s="292"/>
      <c r="Q424" s="167"/>
    </row>
    <row r="425" spans="1:17" ht="12.75">
      <c r="A425" s="16" t="s">
        <v>324</v>
      </c>
      <c r="B425" s="57">
        <v>1236</v>
      </c>
      <c r="C425" s="112"/>
      <c r="D425" s="102">
        <f>11477.99</f>
        <v>11477.99</v>
      </c>
      <c r="E425" s="73"/>
      <c r="F425" s="190">
        <f t="shared" si="131"/>
        <v>11477.99</v>
      </c>
      <c r="G425" s="74"/>
      <c r="H425" s="235"/>
      <c r="I425" s="208">
        <f t="shared" si="132"/>
        <v>11477.99</v>
      </c>
      <c r="J425" s="257"/>
      <c r="K425" s="235"/>
      <c r="L425" s="208">
        <f t="shared" si="133"/>
        <v>11477.99</v>
      </c>
      <c r="M425" s="257"/>
      <c r="N425" s="235"/>
      <c r="O425" s="208">
        <f t="shared" si="134"/>
        <v>11477.99</v>
      </c>
      <c r="P425" s="292"/>
      <c r="Q425" s="167"/>
    </row>
    <row r="426" spans="1:17" ht="12.75">
      <c r="A426" s="16" t="s">
        <v>345</v>
      </c>
      <c r="B426" s="57"/>
      <c r="C426" s="112"/>
      <c r="D426" s="102"/>
      <c r="E426" s="73"/>
      <c r="F426" s="190">
        <f t="shared" si="131"/>
        <v>0</v>
      </c>
      <c r="G426" s="74">
        <f>1667.33</f>
        <v>1667.33</v>
      </c>
      <c r="H426" s="235"/>
      <c r="I426" s="208">
        <f t="shared" si="132"/>
        <v>1667.33</v>
      </c>
      <c r="J426" s="257"/>
      <c r="K426" s="235"/>
      <c r="L426" s="208">
        <f t="shared" si="133"/>
        <v>1667.33</v>
      </c>
      <c r="M426" s="257">
        <f>3457.85</f>
        <v>3457.85</v>
      </c>
      <c r="N426" s="235"/>
      <c r="O426" s="208">
        <f t="shared" si="134"/>
        <v>5125.18</v>
      </c>
      <c r="P426" s="292"/>
      <c r="Q426" s="167"/>
    </row>
    <row r="427" spans="1:17" ht="12.75">
      <c r="A427" s="25" t="s">
        <v>327</v>
      </c>
      <c r="B427" s="57">
        <v>1237</v>
      </c>
      <c r="C427" s="112"/>
      <c r="D427" s="102">
        <f>2664.02</f>
        <v>2664.02</v>
      </c>
      <c r="E427" s="73"/>
      <c r="F427" s="190">
        <f t="shared" si="131"/>
        <v>2664.02</v>
      </c>
      <c r="G427" s="74"/>
      <c r="H427" s="235"/>
      <c r="I427" s="208">
        <f t="shared" si="132"/>
        <v>2664.02</v>
      </c>
      <c r="J427" s="257"/>
      <c r="K427" s="235"/>
      <c r="L427" s="208">
        <f t="shared" si="133"/>
        <v>2664.02</v>
      </c>
      <c r="M427" s="257"/>
      <c r="N427" s="235"/>
      <c r="O427" s="208">
        <f t="shared" si="134"/>
        <v>2664.02</v>
      </c>
      <c r="P427" s="292"/>
      <c r="Q427" s="167"/>
    </row>
    <row r="428" spans="1:17" ht="12.75">
      <c r="A428" s="16" t="s">
        <v>344</v>
      </c>
      <c r="B428" s="57"/>
      <c r="C428" s="112"/>
      <c r="D428" s="102"/>
      <c r="E428" s="73"/>
      <c r="F428" s="190">
        <f t="shared" si="131"/>
        <v>0</v>
      </c>
      <c r="G428" s="74">
        <f>102.41</f>
        <v>102.41</v>
      </c>
      <c r="H428" s="235"/>
      <c r="I428" s="208">
        <f t="shared" si="132"/>
        <v>102.41</v>
      </c>
      <c r="J428" s="257"/>
      <c r="K428" s="235"/>
      <c r="L428" s="208">
        <f t="shared" si="133"/>
        <v>102.41</v>
      </c>
      <c r="M428" s="257">
        <f>795.32</f>
        <v>795.32</v>
      </c>
      <c r="N428" s="235"/>
      <c r="O428" s="208">
        <f t="shared" si="134"/>
        <v>897.73</v>
      </c>
      <c r="P428" s="292"/>
      <c r="Q428" s="167"/>
    </row>
    <row r="429" spans="1:17" ht="12.75">
      <c r="A429" s="16" t="s">
        <v>328</v>
      </c>
      <c r="B429" s="57">
        <v>1241</v>
      </c>
      <c r="C429" s="112"/>
      <c r="D429" s="102">
        <f>1533.66</f>
        <v>1533.66</v>
      </c>
      <c r="E429" s="73"/>
      <c r="F429" s="190">
        <f t="shared" si="131"/>
        <v>1533.66</v>
      </c>
      <c r="G429" s="74"/>
      <c r="H429" s="235"/>
      <c r="I429" s="208">
        <f t="shared" si="132"/>
        <v>1533.66</v>
      </c>
      <c r="J429" s="257"/>
      <c r="K429" s="235"/>
      <c r="L429" s="208">
        <f t="shared" si="133"/>
        <v>1533.66</v>
      </c>
      <c r="M429" s="257"/>
      <c r="N429" s="235"/>
      <c r="O429" s="208">
        <f t="shared" si="134"/>
        <v>1533.66</v>
      </c>
      <c r="P429" s="292"/>
      <c r="Q429" s="167"/>
    </row>
    <row r="430" spans="1:17" ht="12.75">
      <c r="A430" s="16" t="s">
        <v>362</v>
      </c>
      <c r="B430" s="57"/>
      <c r="C430" s="112"/>
      <c r="D430" s="102"/>
      <c r="E430" s="73"/>
      <c r="F430" s="190"/>
      <c r="G430" s="74"/>
      <c r="H430" s="235"/>
      <c r="I430" s="208">
        <f t="shared" si="132"/>
        <v>0</v>
      </c>
      <c r="J430" s="257">
        <f>279.4</f>
        <v>279.4</v>
      </c>
      <c r="K430" s="235"/>
      <c r="L430" s="208">
        <f t="shared" si="133"/>
        <v>279.4</v>
      </c>
      <c r="M430" s="257"/>
      <c r="N430" s="235"/>
      <c r="O430" s="208">
        <f t="shared" si="134"/>
        <v>279.4</v>
      </c>
      <c r="P430" s="292"/>
      <c r="Q430" s="167"/>
    </row>
    <row r="431" spans="1:17" ht="12.75">
      <c r="A431" s="58" t="s">
        <v>187</v>
      </c>
      <c r="B431" s="57">
        <v>13305</v>
      </c>
      <c r="C431" s="112"/>
      <c r="D431" s="102">
        <f>1355855.4</f>
        <v>1355855.4</v>
      </c>
      <c r="E431" s="73"/>
      <c r="F431" s="190">
        <f t="shared" si="131"/>
        <v>1355855.4</v>
      </c>
      <c r="G431" s="74"/>
      <c r="H431" s="235"/>
      <c r="I431" s="208">
        <f t="shared" si="132"/>
        <v>1355855.4</v>
      </c>
      <c r="J431" s="257"/>
      <c r="K431" s="235"/>
      <c r="L431" s="208">
        <f t="shared" si="133"/>
        <v>1355855.4</v>
      </c>
      <c r="M431" s="257"/>
      <c r="N431" s="235"/>
      <c r="O431" s="208">
        <f t="shared" si="134"/>
        <v>1355855.4</v>
      </c>
      <c r="P431" s="292"/>
      <c r="Q431" s="167">
        <f t="shared" si="135"/>
        <v>1355855.4</v>
      </c>
    </row>
    <row r="432" spans="1:17" ht="12.75">
      <c r="A432" s="16" t="s">
        <v>87</v>
      </c>
      <c r="B432" s="57">
        <v>13307</v>
      </c>
      <c r="C432" s="112"/>
      <c r="D432" s="102">
        <f>13300</f>
        <v>13300</v>
      </c>
      <c r="E432" s="73"/>
      <c r="F432" s="190">
        <f t="shared" si="131"/>
        <v>13300</v>
      </c>
      <c r="G432" s="74"/>
      <c r="H432" s="235"/>
      <c r="I432" s="208">
        <f t="shared" si="132"/>
        <v>13300</v>
      </c>
      <c r="J432" s="257"/>
      <c r="K432" s="235"/>
      <c r="L432" s="208">
        <f t="shared" si="133"/>
        <v>13300</v>
      </c>
      <c r="M432" s="257">
        <f>1000</f>
        <v>1000</v>
      </c>
      <c r="N432" s="235"/>
      <c r="O432" s="208">
        <f t="shared" si="134"/>
        <v>14300</v>
      </c>
      <c r="P432" s="292"/>
      <c r="Q432" s="167">
        <f t="shared" si="135"/>
        <v>14300</v>
      </c>
    </row>
    <row r="433" spans="1:17" ht="12.75">
      <c r="A433" s="16" t="s">
        <v>135</v>
      </c>
      <c r="B433" s="57">
        <v>14032</v>
      </c>
      <c r="C433" s="112"/>
      <c r="D433" s="102"/>
      <c r="E433" s="73"/>
      <c r="F433" s="190">
        <f t="shared" si="131"/>
        <v>0</v>
      </c>
      <c r="G433" s="74">
        <f>206.4</f>
        <v>206.4</v>
      </c>
      <c r="H433" s="235"/>
      <c r="I433" s="208">
        <f t="shared" si="132"/>
        <v>206.4</v>
      </c>
      <c r="J433" s="257"/>
      <c r="K433" s="235"/>
      <c r="L433" s="208">
        <f t="shared" si="133"/>
        <v>206.4</v>
      </c>
      <c r="M433" s="257"/>
      <c r="N433" s="235"/>
      <c r="O433" s="208">
        <f t="shared" si="134"/>
        <v>206.4</v>
      </c>
      <c r="P433" s="292"/>
      <c r="Q433" s="167">
        <f t="shared" si="135"/>
        <v>206.4</v>
      </c>
    </row>
    <row r="434" spans="1:17" ht="12.75">
      <c r="A434" s="58" t="s">
        <v>142</v>
      </c>
      <c r="B434" s="57">
        <v>4359</v>
      </c>
      <c r="C434" s="112"/>
      <c r="D434" s="102"/>
      <c r="E434" s="73"/>
      <c r="F434" s="190">
        <f t="shared" si="131"/>
        <v>0</v>
      </c>
      <c r="G434" s="74">
        <f>565+510</f>
        <v>1075</v>
      </c>
      <c r="H434" s="235"/>
      <c r="I434" s="208">
        <f t="shared" si="132"/>
        <v>1075</v>
      </c>
      <c r="J434" s="257"/>
      <c r="K434" s="235"/>
      <c r="L434" s="208">
        <f t="shared" si="133"/>
        <v>1075</v>
      </c>
      <c r="M434" s="257"/>
      <c r="N434" s="235"/>
      <c r="O434" s="208">
        <f t="shared" si="134"/>
        <v>1075</v>
      </c>
      <c r="P434" s="292"/>
      <c r="Q434" s="167">
        <f t="shared" si="135"/>
        <v>1075</v>
      </c>
    </row>
    <row r="435" spans="1:17" ht="12.75">
      <c r="A435" s="16" t="s">
        <v>71</v>
      </c>
      <c r="B435" s="57"/>
      <c r="C435" s="112">
        <v>490</v>
      </c>
      <c r="D435" s="102">
        <f>17130+34500-34500+5500+981+213.31+2879.42+2070.43+747.3+2486.73+5444.59+940.14+857.63</f>
        <v>39250.549999999996</v>
      </c>
      <c r="E435" s="73"/>
      <c r="F435" s="190">
        <f t="shared" si="131"/>
        <v>39740.549999999996</v>
      </c>
      <c r="G435" s="74">
        <f>1000+2748.43+86.04-5314.05+700+700+600+300</f>
        <v>820.4199999999996</v>
      </c>
      <c r="H435" s="235"/>
      <c r="I435" s="208">
        <f t="shared" si="132"/>
        <v>40560.969999999994</v>
      </c>
      <c r="J435" s="257">
        <f>-1300</f>
        <v>-1300</v>
      </c>
      <c r="K435" s="235"/>
      <c r="L435" s="208">
        <f t="shared" si="133"/>
        <v>39260.969999999994</v>
      </c>
      <c r="M435" s="257"/>
      <c r="N435" s="235"/>
      <c r="O435" s="208">
        <f t="shared" si="134"/>
        <v>39260.969999999994</v>
      </c>
      <c r="P435" s="292"/>
      <c r="Q435" s="167">
        <f t="shared" si="135"/>
        <v>39260.969999999994</v>
      </c>
    </row>
    <row r="436" spans="1:17" ht="12.75">
      <c r="A436" s="22" t="s">
        <v>52</v>
      </c>
      <c r="B436" s="61"/>
      <c r="C436" s="115">
        <f>SUM(C438:C440)</f>
        <v>0</v>
      </c>
      <c r="D436" s="105">
        <f aca="true" t="shared" si="136" ref="D436:Q436">SUM(D438:D440)</f>
        <v>14320.5</v>
      </c>
      <c r="E436" s="80">
        <f t="shared" si="136"/>
        <v>0</v>
      </c>
      <c r="F436" s="193">
        <f t="shared" si="136"/>
        <v>14320.5</v>
      </c>
      <c r="G436" s="79">
        <f t="shared" si="136"/>
        <v>6536.28</v>
      </c>
      <c r="H436" s="239">
        <f t="shared" si="136"/>
        <v>0</v>
      </c>
      <c r="I436" s="211">
        <f t="shared" si="136"/>
        <v>20856.78</v>
      </c>
      <c r="J436" s="262">
        <f t="shared" si="136"/>
        <v>0</v>
      </c>
      <c r="K436" s="239">
        <f t="shared" si="136"/>
        <v>0</v>
      </c>
      <c r="L436" s="211">
        <f t="shared" si="136"/>
        <v>20856.78</v>
      </c>
      <c r="M436" s="262">
        <f t="shared" si="136"/>
        <v>0</v>
      </c>
      <c r="N436" s="239">
        <f t="shared" si="136"/>
        <v>0</v>
      </c>
      <c r="O436" s="211">
        <f t="shared" si="136"/>
        <v>20856.78</v>
      </c>
      <c r="P436" s="105">
        <f t="shared" si="136"/>
        <v>0</v>
      </c>
      <c r="Q436" s="154">
        <f t="shared" si="136"/>
        <v>20856.78</v>
      </c>
    </row>
    <row r="437" spans="1:17" ht="12.75">
      <c r="A437" s="18" t="s">
        <v>26</v>
      </c>
      <c r="B437" s="57"/>
      <c r="C437" s="112"/>
      <c r="D437" s="102"/>
      <c r="E437" s="73"/>
      <c r="F437" s="190"/>
      <c r="G437" s="74"/>
      <c r="H437" s="235"/>
      <c r="I437" s="208"/>
      <c r="J437" s="257"/>
      <c r="K437" s="235"/>
      <c r="L437" s="208"/>
      <c r="M437" s="257"/>
      <c r="N437" s="235"/>
      <c r="O437" s="208"/>
      <c r="P437" s="292"/>
      <c r="Q437" s="167"/>
    </row>
    <row r="438" spans="1:17" ht="12.75" hidden="1">
      <c r="A438" s="16" t="s">
        <v>79</v>
      </c>
      <c r="B438" s="57"/>
      <c r="C438" s="112"/>
      <c r="D438" s="102"/>
      <c r="E438" s="73"/>
      <c r="F438" s="190">
        <f>C438+D438+E438</f>
        <v>0</v>
      </c>
      <c r="G438" s="74"/>
      <c r="H438" s="235"/>
      <c r="I438" s="208">
        <f>F438+G438+H438</f>
        <v>0</v>
      </c>
      <c r="J438" s="257"/>
      <c r="K438" s="235"/>
      <c r="L438" s="208">
        <f>I438+J438+K438</f>
        <v>0</v>
      </c>
      <c r="M438" s="257"/>
      <c r="N438" s="235"/>
      <c r="O438" s="208">
        <f>L438+M438+N438</f>
        <v>0</v>
      </c>
      <c r="P438" s="292"/>
      <c r="Q438" s="167">
        <f>O438+P438</f>
        <v>0</v>
      </c>
    </row>
    <row r="439" spans="1:17" ht="12.75">
      <c r="A439" s="16" t="s">
        <v>53</v>
      </c>
      <c r="B439" s="57"/>
      <c r="C439" s="112"/>
      <c r="D439" s="102">
        <f>14320.5</f>
        <v>14320.5</v>
      </c>
      <c r="E439" s="73"/>
      <c r="F439" s="190">
        <f>C439+D439+E439</f>
        <v>14320.5</v>
      </c>
      <c r="G439" s="133">
        <f>5500</f>
        <v>5500</v>
      </c>
      <c r="H439" s="235"/>
      <c r="I439" s="208">
        <f>F439+G439+H439</f>
        <v>19820.5</v>
      </c>
      <c r="J439" s="257"/>
      <c r="K439" s="235"/>
      <c r="L439" s="208">
        <f>I439+J439+K439</f>
        <v>19820.5</v>
      </c>
      <c r="M439" s="257"/>
      <c r="N439" s="235"/>
      <c r="O439" s="208">
        <f>L439+M439+N439</f>
        <v>19820.5</v>
      </c>
      <c r="P439" s="292"/>
      <c r="Q439" s="167">
        <f>O439+P439</f>
        <v>19820.5</v>
      </c>
    </row>
    <row r="440" spans="1:17" ht="12.75">
      <c r="A440" s="19" t="s">
        <v>71</v>
      </c>
      <c r="B440" s="60"/>
      <c r="C440" s="181"/>
      <c r="D440" s="172"/>
      <c r="E440" s="81"/>
      <c r="F440" s="195">
        <f>C440+D440+E440</f>
        <v>0</v>
      </c>
      <c r="G440" s="226">
        <f>1036.28</f>
        <v>1036.28</v>
      </c>
      <c r="H440" s="241"/>
      <c r="I440" s="213">
        <f>F440+G440+H440</f>
        <v>1036.28</v>
      </c>
      <c r="J440" s="264"/>
      <c r="K440" s="241"/>
      <c r="L440" s="213">
        <f>I440+J440+K440</f>
        <v>1036.28</v>
      </c>
      <c r="M440" s="264"/>
      <c r="N440" s="241"/>
      <c r="O440" s="213">
        <f>L440+M440+N440</f>
        <v>1036.28</v>
      </c>
      <c r="P440" s="295"/>
      <c r="Q440" s="168">
        <f>O440+P440</f>
        <v>1036.28</v>
      </c>
    </row>
    <row r="441" spans="1:17" ht="12.75">
      <c r="A441" s="17" t="s">
        <v>281</v>
      </c>
      <c r="B441" s="61"/>
      <c r="C441" s="111">
        <f>C442+C453</f>
        <v>9532.35</v>
      </c>
      <c r="D441" s="92">
        <f aca="true" t="shared" si="137" ref="D441:Q441">D442+D453</f>
        <v>14285.8</v>
      </c>
      <c r="E441" s="72">
        <f t="shared" si="137"/>
        <v>0</v>
      </c>
      <c r="F441" s="189">
        <f t="shared" si="137"/>
        <v>23818.149999999998</v>
      </c>
      <c r="G441" s="71">
        <f t="shared" si="137"/>
        <v>8187.969999999999</v>
      </c>
      <c r="H441" s="234">
        <f t="shared" si="137"/>
        <v>0</v>
      </c>
      <c r="I441" s="207">
        <f t="shared" si="137"/>
        <v>32006.119999999995</v>
      </c>
      <c r="J441" s="256">
        <f t="shared" si="137"/>
        <v>7800</v>
      </c>
      <c r="K441" s="234">
        <f t="shared" si="137"/>
        <v>0</v>
      </c>
      <c r="L441" s="207">
        <f t="shared" si="137"/>
        <v>39806.119999999995</v>
      </c>
      <c r="M441" s="256">
        <f t="shared" si="137"/>
        <v>30905.82</v>
      </c>
      <c r="N441" s="234">
        <f t="shared" si="137"/>
        <v>0</v>
      </c>
      <c r="O441" s="207">
        <f t="shared" si="137"/>
        <v>70711.94</v>
      </c>
      <c r="P441" s="92">
        <f t="shared" si="137"/>
        <v>0</v>
      </c>
      <c r="Q441" s="150">
        <f t="shared" si="137"/>
        <v>70395.12</v>
      </c>
    </row>
    <row r="442" spans="1:17" ht="12.75">
      <c r="A442" s="22" t="s">
        <v>48</v>
      </c>
      <c r="B442" s="61"/>
      <c r="C442" s="115">
        <f>SUM(C444:C452)</f>
        <v>9532.35</v>
      </c>
      <c r="D442" s="105">
        <f aca="true" t="shared" si="138" ref="D442:Q442">SUM(D444:D452)</f>
        <v>14285.8</v>
      </c>
      <c r="E442" s="80">
        <f t="shared" si="138"/>
        <v>0</v>
      </c>
      <c r="F442" s="193">
        <f t="shared" si="138"/>
        <v>23818.149999999998</v>
      </c>
      <c r="G442" s="79">
        <f t="shared" si="138"/>
        <v>3582.56</v>
      </c>
      <c r="H442" s="239">
        <f t="shared" si="138"/>
        <v>0</v>
      </c>
      <c r="I442" s="211">
        <f t="shared" si="138"/>
        <v>27400.709999999995</v>
      </c>
      <c r="J442" s="262">
        <f t="shared" si="138"/>
        <v>7800</v>
      </c>
      <c r="K442" s="239">
        <f t="shared" si="138"/>
        <v>-5000</v>
      </c>
      <c r="L442" s="211">
        <f t="shared" si="138"/>
        <v>30200.709999999995</v>
      </c>
      <c r="M442" s="262">
        <f t="shared" si="138"/>
        <v>1220.82</v>
      </c>
      <c r="N442" s="239">
        <f t="shared" si="138"/>
        <v>0</v>
      </c>
      <c r="O442" s="211">
        <f t="shared" si="138"/>
        <v>31421.529999999995</v>
      </c>
      <c r="P442" s="105">
        <f t="shared" si="138"/>
        <v>0</v>
      </c>
      <c r="Q442" s="154">
        <f t="shared" si="138"/>
        <v>31104.709999999995</v>
      </c>
    </row>
    <row r="443" spans="1:17" ht="12.75">
      <c r="A443" s="18" t="s">
        <v>26</v>
      </c>
      <c r="B443" s="57"/>
      <c r="C443" s="112"/>
      <c r="D443" s="102"/>
      <c r="E443" s="73"/>
      <c r="F443" s="189"/>
      <c r="G443" s="74"/>
      <c r="H443" s="235"/>
      <c r="I443" s="207"/>
      <c r="J443" s="257"/>
      <c r="K443" s="235"/>
      <c r="L443" s="207"/>
      <c r="M443" s="257"/>
      <c r="N443" s="235"/>
      <c r="O443" s="207"/>
      <c r="P443" s="292"/>
      <c r="Q443" s="167"/>
    </row>
    <row r="444" spans="1:17" ht="12.75">
      <c r="A444" s="16" t="s">
        <v>50</v>
      </c>
      <c r="B444" s="57"/>
      <c r="C444" s="112">
        <v>9532.35</v>
      </c>
      <c r="D444" s="102">
        <f>10000+1123</f>
        <v>11123</v>
      </c>
      <c r="E444" s="73"/>
      <c r="F444" s="190">
        <f aca="true" t="shared" si="139" ref="F444:F452">C444+D444+E444</f>
        <v>20655.35</v>
      </c>
      <c r="G444" s="74">
        <f>62.64+400+392.46+1600</f>
        <v>2455.1</v>
      </c>
      <c r="H444" s="235"/>
      <c r="I444" s="208">
        <f>F444+G444+H444</f>
        <v>23110.449999999997</v>
      </c>
      <c r="J444" s="257"/>
      <c r="K444" s="235"/>
      <c r="L444" s="208">
        <f>I444+J444+K444</f>
        <v>23110.449999999997</v>
      </c>
      <c r="M444" s="257"/>
      <c r="N444" s="235"/>
      <c r="O444" s="208">
        <f>L444+M444+N444</f>
        <v>23110.449999999997</v>
      </c>
      <c r="P444" s="292"/>
      <c r="Q444" s="167">
        <f>O444+P444</f>
        <v>23110.449999999997</v>
      </c>
    </row>
    <row r="445" spans="1:17" ht="12.75">
      <c r="A445" s="16" t="s">
        <v>71</v>
      </c>
      <c r="B445" s="57"/>
      <c r="C445" s="112"/>
      <c r="D445" s="174">
        <f>400+2445.98</f>
        <v>2845.98</v>
      </c>
      <c r="E445" s="73"/>
      <c r="F445" s="190">
        <f t="shared" si="139"/>
        <v>2845.98</v>
      </c>
      <c r="G445" s="74"/>
      <c r="H445" s="235"/>
      <c r="I445" s="208">
        <f aca="true" t="shared" si="140" ref="I445:I452">F445+G445+H445</f>
        <v>2845.98</v>
      </c>
      <c r="J445" s="257">
        <f>2800+5000</f>
        <v>7800</v>
      </c>
      <c r="K445" s="235">
        <f>-5000</f>
        <v>-5000</v>
      </c>
      <c r="L445" s="208">
        <f aca="true" t="shared" si="141" ref="L445:L452">I445+J445+K445</f>
        <v>5645.98</v>
      </c>
      <c r="M445" s="257"/>
      <c r="N445" s="235"/>
      <c r="O445" s="208">
        <f aca="true" t="shared" si="142" ref="O445:O452">L445+M445+N445</f>
        <v>5645.98</v>
      </c>
      <c r="P445" s="292"/>
      <c r="Q445" s="167">
        <f aca="true" t="shared" si="143" ref="Q445:Q452">O445+P445</f>
        <v>5645.98</v>
      </c>
    </row>
    <row r="446" spans="1:17" ht="12.75" hidden="1">
      <c r="A446" s="16" t="s">
        <v>62</v>
      </c>
      <c r="B446" s="57"/>
      <c r="C446" s="112"/>
      <c r="D446" s="102"/>
      <c r="E446" s="73"/>
      <c r="F446" s="190">
        <f t="shared" si="139"/>
        <v>0</v>
      </c>
      <c r="G446" s="74"/>
      <c r="H446" s="235"/>
      <c r="I446" s="208">
        <f t="shared" si="140"/>
        <v>0</v>
      </c>
      <c r="J446" s="260"/>
      <c r="K446" s="235"/>
      <c r="L446" s="208">
        <f t="shared" si="141"/>
        <v>0</v>
      </c>
      <c r="M446" s="257"/>
      <c r="N446" s="235"/>
      <c r="O446" s="208">
        <f t="shared" si="142"/>
        <v>0</v>
      </c>
      <c r="P446" s="292"/>
      <c r="Q446" s="167">
        <f t="shared" si="143"/>
        <v>0</v>
      </c>
    </row>
    <row r="447" spans="1:17" ht="12.75" hidden="1">
      <c r="A447" s="16" t="s">
        <v>148</v>
      </c>
      <c r="B447" s="57"/>
      <c r="C447" s="112"/>
      <c r="D447" s="102"/>
      <c r="E447" s="73"/>
      <c r="F447" s="190">
        <f t="shared" si="139"/>
        <v>0</v>
      </c>
      <c r="G447" s="74"/>
      <c r="H447" s="235"/>
      <c r="I447" s="208">
        <f t="shared" si="140"/>
        <v>0</v>
      </c>
      <c r="J447" s="260"/>
      <c r="K447" s="235"/>
      <c r="L447" s="208">
        <f t="shared" si="141"/>
        <v>0</v>
      </c>
      <c r="M447" s="257"/>
      <c r="N447" s="235"/>
      <c r="O447" s="208">
        <f t="shared" si="142"/>
        <v>0</v>
      </c>
      <c r="P447" s="292"/>
      <c r="Q447" s="167">
        <f t="shared" si="143"/>
        <v>0</v>
      </c>
    </row>
    <row r="448" spans="1:17" ht="12.75">
      <c r="A448" s="25" t="s">
        <v>332</v>
      </c>
      <c r="B448" s="57"/>
      <c r="C448" s="112"/>
      <c r="D448" s="102">
        <f>316.82</f>
        <v>316.82</v>
      </c>
      <c r="E448" s="73"/>
      <c r="F448" s="190">
        <f t="shared" si="139"/>
        <v>316.82</v>
      </c>
      <c r="G448" s="74"/>
      <c r="H448" s="235"/>
      <c r="I448" s="208">
        <f t="shared" si="140"/>
        <v>316.82</v>
      </c>
      <c r="J448" s="260"/>
      <c r="K448" s="235"/>
      <c r="L448" s="208">
        <f t="shared" si="141"/>
        <v>316.82</v>
      </c>
      <c r="M448" s="257"/>
      <c r="N448" s="235"/>
      <c r="O448" s="208">
        <f t="shared" si="142"/>
        <v>316.82</v>
      </c>
      <c r="P448" s="292"/>
      <c r="Q448" s="167"/>
    </row>
    <row r="449" spans="1:17" ht="13.5" customHeight="1" hidden="1">
      <c r="A449" s="16" t="s">
        <v>264</v>
      </c>
      <c r="B449" s="57">
        <v>14034</v>
      </c>
      <c r="C449" s="112"/>
      <c r="D449" s="102"/>
      <c r="E449" s="73"/>
      <c r="F449" s="190">
        <f t="shared" si="139"/>
        <v>0</v>
      </c>
      <c r="G449" s="74"/>
      <c r="H449" s="235"/>
      <c r="I449" s="208">
        <f t="shared" si="140"/>
        <v>0</v>
      </c>
      <c r="J449" s="260"/>
      <c r="K449" s="235"/>
      <c r="L449" s="208">
        <f t="shared" si="141"/>
        <v>0</v>
      </c>
      <c r="M449" s="257"/>
      <c r="N449" s="235"/>
      <c r="O449" s="208">
        <f t="shared" si="142"/>
        <v>0</v>
      </c>
      <c r="P449" s="292"/>
      <c r="Q449" s="167">
        <f t="shared" si="143"/>
        <v>0</v>
      </c>
    </row>
    <row r="450" spans="1:17" ht="12.75" hidden="1">
      <c r="A450" s="16" t="s">
        <v>232</v>
      </c>
      <c r="B450" s="57">
        <v>98035</v>
      </c>
      <c r="C450" s="112"/>
      <c r="D450" s="102"/>
      <c r="E450" s="73"/>
      <c r="F450" s="190">
        <f t="shared" si="139"/>
        <v>0</v>
      </c>
      <c r="G450" s="74"/>
      <c r="H450" s="235"/>
      <c r="I450" s="208">
        <f t="shared" si="140"/>
        <v>0</v>
      </c>
      <c r="J450" s="260"/>
      <c r="K450" s="235"/>
      <c r="L450" s="208">
        <f t="shared" si="141"/>
        <v>0</v>
      </c>
      <c r="M450" s="257"/>
      <c r="N450" s="235"/>
      <c r="O450" s="208">
        <f t="shared" si="142"/>
        <v>0</v>
      </c>
      <c r="P450" s="292"/>
      <c r="Q450" s="167">
        <f t="shared" si="143"/>
        <v>0</v>
      </c>
    </row>
    <row r="451" spans="1:17" ht="12.75">
      <c r="A451" s="16" t="s">
        <v>213</v>
      </c>
      <c r="B451" s="101" t="s">
        <v>214</v>
      </c>
      <c r="C451" s="112"/>
      <c r="D451" s="102"/>
      <c r="E451" s="73"/>
      <c r="F451" s="190">
        <f t="shared" si="139"/>
        <v>0</v>
      </c>
      <c r="G451" s="74">
        <f>1127.46</f>
        <v>1127.46</v>
      </c>
      <c r="H451" s="235"/>
      <c r="I451" s="208">
        <f t="shared" si="140"/>
        <v>1127.46</v>
      </c>
      <c r="J451" s="260"/>
      <c r="K451" s="235"/>
      <c r="L451" s="208">
        <f t="shared" si="141"/>
        <v>1127.46</v>
      </c>
      <c r="M451" s="257">
        <f>1220.82</f>
        <v>1220.82</v>
      </c>
      <c r="N451" s="235"/>
      <c r="O451" s="208">
        <f t="shared" si="142"/>
        <v>2348.2799999999997</v>
      </c>
      <c r="P451" s="292"/>
      <c r="Q451" s="167">
        <f t="shared" si="143"/>
        <v>2348.2799999999997</v>
      </c>
    </row>
    <row r="452" spans="1:17" ht="12.75" hidden="1">
      <c r="A452" s="16" t="s">
        <v>212</v>
      </c>
      <c r="B452" s="57">
        <v>33064</v>
      </c>
      <c r="C452" s="112"/>
      <c r="D452" s="102"/>
      <c r="E452" s="73"/>
      <c r="F452" s="190">
        <f t="shared" si="139"/>
        <v>0</v>
      </c>
      <c r="G452" s="74"/>
      <c r="H452" s="235"/>
      <c r="I452" s="208">
        <f t="shared" si="140"/>
        <v>0</v>
      </c>
      <c r="J452" s="260"/>
      <c r="K452" s="235"/>
      <c r="L452" s="208">
        <f t="shared" si="141"/>
        <v>0</v>
      </c>
      <c r="M452" s="257"/>
      <c r="N452" s="235"/>
      <c r="O452" s="208">
        <f t="shared" si="142"/>
        <v>0</v>
      </c>
      <c r="P452" s="292"/>
      <c r="Q452" s="167">
        <f t="shared" si="143"/>
        <v>0</v>
      </c>
    </row>
    <row r="453" spans="1:17" ht="12.75">
      <c r="A453" s="22" t="s">
        <v>52</v>
      </c>
      <c r="B453" s="61"/>
      <c r="C453" s="115">
        <f>SUM(C455:C461)</f>
        <v>0</v>
      </c>
      <c r="D453" s="105">
        <f aca="true" t="shared" si="144" ref="D453:Q453">SUM(D455:D461)</f>
        <v>0</v>
      </c>
      <c r="E453" s="80">
        <f t="shared" si="144"/>
        <v>0</v>
      </c>
      <c r="F453" s="193">
        <f t="shared" si="144"/>
        <v>0</v>
      </c>
      <c r="G453" s="79">
        <f t="shared" si="144"/>
        <v>4605.41</v>
      </c>
      <c r="H453" s="239">
        <f t="shared" si="144"/>
        <v>0</v>
      </c>
      <c r="I453" s="211">
        <f t="shared" si="144"/>
        <v>4605.41</v>
      </c>
      <c r="J453" s="262">
        <f t="shared" si="144"/>
        <v>0</v>
      </c>
      <c r="K453" s="239">
        <f t="shared" si="144"/>
        <v>5000</v>
      </c>
      <c r="L453" s="211">
        <f t="shared" si="144"/>
        <v>9605.41</v>
      </c>
      <c r="M453" s="262">
        <f t="shared" si="144"/>
        <v>29685</v>
      </c>
      <c r="N453" s="239">
        <f t="shared" si="144"/>
        <v>0</v>
      </c>
      <c r="O453" s="211">
        <f t="shared" si="144"/>
        <v>39290.41</v>
      </c>
      <c r="P453" s="105">
        <f t="shared" si="144"/>
        <v>0</v>
      </c>
      <c r="Q453" s="154">
        <f t="shared" si="144"/>
        <v>39290.41</v>
      </c>
    </row>
    <row r="454" spans="1:17" ht="12.75">
      <c r="A454" s="18" t="s">
        <v>26</v>
      </c>
      <c r="B454" s="57"/>
      <c r="C454" s="112"/>
      <c r="D454" s="102"/>
      <c r="E454" s="73"/>
      <c r="F454" s="190"/>
      <c r="G454" s="74"/>
      <c r="H454" s="235"/>
      <c r="I454" s="208"/>
      <c r="J454" s="257"/>
      <c r="K454" s="235"/>
      <c r="L454" s="208"/>
      <c r="M454" s="257"/>
      <c r="N454" s="235"/>
      <c r="O454" s="208"/>
      <c r="P454" s="292"/>
      <c r="Q454" s="167"/>
    </row>
    <row r="455" spans="1:17" ht="12.75" hidden="1">
      <c r="A455" s="20" t="s">
        <v>64</v>
      </c>
      <c r="B455" s="57"/>
      <c r="C455" s="112"/>
      <c r="D455" s="102"/>
      <c r="E455" s="73"/>
      <c r="F455" s="190">
        <f aca="true" t="shared" si="145" ref="F455:F461">C455+D455+E455</f>
        <v>0</v>
      </c>
      <c r="G455" s="74"/>
      <c r="H455" s="235"/>
      <c r="I455" s="208">
        <f aca="true" t="shared" si="146" ref="I455:I461">F455+G455+H455</f>
        <v>0</v>
      </c>
      <c r="J455" s="257"/>
      <c r="K455" s="235"/>
      <c r="L455" s="208">
        <f aca="true" t="shared" si="147" ref="L455:L461">I455+J455+K455</f>
        <v>0</v>
      </c>
      <c r="M455" s="257"/>
      <c r="N455" s="235"/>
      <c r="O455" s="208">
        <f aca="true" t="shared" si="148" ref="O455:O461">L455+M455+N455</f>
        <v>0</v>
      </c>
      <c r="P455" s="292"/>
      <c r="Q455" s="167">
        <f aca="true" t="shared" si="149" ref="Q455:Q461">O455+P455</f>
        <v>0</v>
      </c>
    </row>
    <row r="456" spans="1:17" ht="12.75">
      <c r="A456" s="52" t="s">
        <v>354</v>
      </c>
      <c r="B456" s="57"/>
      <c r="C456" s="112"/>
      <c r="D456" s="102"/>
      <c r="E456" s="73"/>
      <c r="F456" s="190">
        <f t="shared" si="145"/>
        <v>0</v>
      </c>
      <c r="G456" s="74">
        <f>4605.41</f>
        <v>4605.41</v>
      </c>
      <c r="H456" s="235"/>
      <c r="I456" s="208">
        <f t="shared" si="146"/>
        <v>4605.41</v>
      </c>
      <c r="J456" s="257"/>
      <c r="K456" s="235"/>
      <c r="L456" s="208">
        <f t="shared" si="147"/>
        <v>4605.41</v>
      </c>
      <c r="M456" s="257"/>
      <c r="N456" s="235"/>
      <c r="O456" s="208">
        <f t="shared" si="148"/>
        <v>4605.41</v>
      </c>
      <c r="P456" s="292"/>
      <c r="Q456" s="167">
        <f t="shared" si="149"/>
        <v>4605.41</v>
      </c>
    </row>
    <row r="457" spans="1:17" ht="12.75" hidden="1">
      <c r="A457" s="20" t="s">
        <v>177</v>
      </c>
      <c r="B457" s="57"/>
      <c r="C457" s="112"/>
      <c r="D457" s="102"/>
      <c r="E457" s="73"/>
      <c r="F457" s="190">
        <f t="shared" si="145"/>
        <v>0</v>
      </c>
      <c r="G457" s="74"/>
      <c r="H457" s="235"/>
      <c r="I457" s="208">
        <f t="shared" si="146"/>
        <v>0</v>
      </c>
      <c r="J457" s="257"/>
      <c r="K457" s="235"/>
      <c r="L457" s="208">
        <f t="shared" si="147"/>
        <v>0</v>
      </c>
      <c r="M457" s="257"/>
      <c r="N457" s="235"/>
      <c r="O457" s="208">
        <f t="shared" si="148"/>
        <v>0</v>
      </c>
      <c r="P457" s="292"/>
      <c r="Q457" s="167">
        <f t="shared" si="149"/>
        <v>0</v>
      </c>
    </row>
    <row r="458" spans="1:17" ht="12.75" hidden="1">
      <c r="A458" s="20" t="s">
        <v>169</v>
      </c>
      <c r="B458" s="57"/>
      <c r="C458" s="112"/>
      <c r="D458" s="102"/>
      <c r="E458" s="73"/>
      <c r="F458" s="190">
        <f t="shared" si="145"/>
        <v>0</v>
      </c>
      <c r="G458" s="74"/>
      <c r="H458" s="235"/>
      <c r="I458" s="208">
        <f t="shared" si="146"/>
        <v>0</v>
      </c>
      <c r="J458" s="257"/>
      <c r="K458" s="235"/>
      <c r="L458" s="208">
        <f t="shared" si="147"/>
        <v>0</v>
      </c>
      <c r="M458" s="257"/>
      <c r="N458" s="235"/>
      <c r="O458" s="208">
        <f t="shared" si="148"/>
        <v>0</v>
      </c>
      <c r="P458" s="292"/>
      <c r="Q458" s="167">
        <f t="shared" si="149"/>
        <v>0</v>
      </c>
    </row>
    <row r="459" spans="1:17" ht="12.75">
      <c r="A459" s="16" t="s">
        <v>53</v>
      </c>
      <c r="B459" s="57"/>
      <c r="C459" s="112"/>
      <c r="D459" s="102"/>
      <c r="E459" s="73"/>
      <c r="F459" s="190">
        <f t="shared" si="145"/>
        <v>0</v>
      </c>
      <c r="G459" s="74"/>
      <c r="H459" s="235"/>
      <c r="I459" s="208">
        <f t="shared" si="146"/>
        <v>0</v>
      </c>
      <c r="J459" s="257"/>
      <c r="K459" s="235"/>
      <c r="L459" s="208">
        <f t="shared" si="147"/>
        <v>0</v>
      </c>
      <c r="M459" s="257">
        <f>3685</f>
        <v>3685</v>
      </c>
      <c r="N459" s="235"/>
      <c r="O459" s="208">
        <f t="shared" si="148"/>
        <v>3685</v>
      </c>
      <c r="P459" s="292"/>
      <c r="Q459" s="167">
        <f t="shared" si="149"/>
        <v>3685</v>
      </c>
    </row>
    <row r="460" spans="1:17" ht="12.75">
      <c r="A460" s="19" t="s">
        <v>71</v>
      </c>
      <c r="B460" s="60"/>
      <c r="C460" s="181"/>
      <c r="D460" s="172"/>
      <c r="E460" s="81"/>
      <c r="F460" s="195">
        <f t="shared" si="145"/>
        <v>0</v>
      </c>
      <c r="G460" s="226"/>
      <c r="H460" s="241"/>
      <c r="I460" s="213">
        <f t="shared" si="146"/>
        <v>0</v>
      </c>
      <c r="J460" s="264"/>
      <c r="K460" s="241">
        <f>5000</f>
        <v>5000</v>
      </c>
      <c r="L460" s="213">
        <f t="shared" si="147"/>
        <v>5000</v>
      </c>
      <c r="M460" s="264">
        <f>20000+6000</f>
        <v>26000</v>
      </c>
      <c r="N460" s="241"/>
      <c r="O460" s="213">
        <f t="shared" si="148"/>
        <v>31000</v>
      </c>
      <c r="P460" s="292"/>
      <c r="Q460" s="167">
        <f t="shared" si="149"/>
        <v>31000</v>
      </c>
    </row>
    <row r="461" spans="1:17" ht="12.75" hidden="1">
      <c r="A461" s="126" t="s">
        <v>170</v>
      </c>
      <c r="B461" s="60"/>
      <c r="C461" s="181"/>
      <c r="D461" s="172"/>
      <c r="E461" s="81"/>
      <c r="F461" s="195">
        <f t="shared" si="145"/>
        <v>0</v>
      </c>
      <c r="G461" s="226"/>
      <c r="H461" s="241"/>
      <c r="I461" s="213">
        <f t="shared" si="146"/>
        <v>0</v>
      </c>
      <c r="J461" s="264"/>
      <c r="K461" s="241"/>
      <c r="L461" s="213">
        <f t="shared" si="147"/>
        <v>0</v>
      </c>
      <c r="M461" s="264"/>
      <c r="N461" s="241"/>
      <c r="O461" s="213">
        <f t="shared" si="148"/>
        <v>0</v>
      </c>
      <c r="P461" s="295"/>
      <c r="Q461" s="168">
        <f t="shared" si="149"/>
        <v>0</v>
      </c>
    </row>
    <row r="462" spans="1:17" ht="12.75">
      <c r="A462" s="13" t="s">
        <v>88</v>
      </c>
      <c r="B462" s="61"/>
      <c r="C462" s="111">
        <f>C463+C466</f>
        <v>3238.8</v>
      </c>
      <c r="D462" s="92">
        <f aca="true" t="shared" si="150" ref="D462:Q462">D463+D466</f>
        <v>0</v>
      </c>
      <c r="E462" s="72">
        <f t="shared" si="150"/>
        <v>0</v>
      </c>
      <c r="F462" s="189">
        <f t="shared" si="150"/>
        <v>3238.8</v>
      </c>
      <c r="G462" s="71">
        <f t="shared" si="150"/>
        <v>0</v>
      </c>
      <c r="H462" s="234">
        <f t="shared" si="150"/>
        <v>0</v>
      </c>
      <c r="I462" s="207">
        <f t="shared" si="150"/>
        <v>3238.8</v>
      </c>
      <c r="J462" s="256">
        <f t="shared" si="150"/>
        <v>0</v>
      </c>
      <c r="K462" s="234">
        <f t="shared" si="150"/>
        <v>0</v>
      </c>
      <c r="L462" s="207">
        <f t="shared" si="150"/>
        <v>3238.8</v>
      </c>
      <c r="M462" s="256">
        <f t="shared" si="150"/>
        <v>0</v>
      </c>
      <c r="N462" s="234">
        <f t="shared" si="150"/>
        <v>0</v>
      </c>
      <c r="O462" s="207">
        <f t="shared" si="150"/>
        <v>3238.8</v>
      </c>
      <c r="P462" s="92">
        <f t="shared" si="150"/>
        <v>0</v>
      </c>
      <c r="Q462" s="150">
        <f t="shared" si="150"/>
        <v>3238.8</v>
      </c>
    </row>
    <row r="463" spans="1:17" ht="12.75">
      <c r="A463" s="22" t="s">
        <v>48</v>
      </c>
      <c r="B463" s="61"/>
      <c r="C463" s="115">
        <f>SUM(C465:C465)</f>
        <v>3238.8</v>
      </c>
      <c r="D463" s="105">
        <f aca="true" t="shared" si="151" ref="D463:Q463">SUM(D465:D465)</f>
        <v>0</v>
      </c>
      <c r="E463" s="80">
        <f t="shared" si="151"/>
        <v>0</v>
      </c>
      <c r="F463" s="193">
        <f t="shared" si="151"/>
        <v>3238.8</v>
      </c>
      <c r="G463" s="79">
        <f t="shared" si="151"/>
        <v>0</v>
      </c>
      <c r="H463" s="239">
        <f t="shared" si="151"/>
        <v>0</v>
      </c>
      <c r="I463" s="211">
        <f t="shared" si="151"/>
        <v>3238.8</v>
      </c>
      <c r="J463" s="262">
        <f t="shared" si="151"/>
        <v>0</v>
      </c>
      <c r="K463" s="239">
        <f t="shared" si="151"/>
        <v>0</v>
      </c>
      <c r="L463" s="211">
        <f t="shared" si="151"/>
        <v>3238.8</v>
      </c>
      <c r="M463" s="262">
        <f t="shared" si="151"/>
        <v>0</v>
      </c>
      <c r="N463" s="239">
        <f t="shared" si="151"/>
        <v>0</v>
      </c>
      <c r="O463" s="211">
        <f t="shared" si="151"/>
        <v>3238.8</v>
      </c>
      <c r="P463" s="105">
        <f t="shared" si="151"/>
        <v>0</v>
      </c>
      <c r="Q463" s="154">
        <f t="shared" si="151"/>
        <v>3238.8</v>
      </c>
    </row>
    <row r="464" spans="1:17" ht="12.75">
      <c r="A464" s="18" t="s">
        <v>26</v>
      </c>
      <c r="B464" s="57"/>
      <c r="C464" s="112"/>
      <c r="D464" s="102"/>
      <c r="E464" s="73"/>
      <c r="F464" s="189"/>
      <c r="G464" s="74"/>
      <c r="H464" s="235"/>
      <c r="I464" s="207"/>
      <c r="J464" s="257"/>
      <c r="K464" s="235"/>
      <c r="L464" s="207"/>
      <c r="M464" s="257"/>
      <c r="N464" s="235"/>
      <c r="O464" s="207"/>
      <c r="P464" s="292"/>
      <c r="Q464" s="167"/>
    </row>
    <row r="465" spans="1:17" ht="12.75">
      <c r="A465" s="19" t="s">
        <v>50</v>
      </c>
      <c r="B465" s="60"/>
      <c r="C465" s="185">
        <v>3238.8</v>
      </c>
      <c r="D465" s="172"/>
      <c r="E465" s="81"/>
      <c r="F465" s="195">
        <f>C465+D465+E465</f>
        <v>3238.8</v>
      </c>
      <c r="G465" s="226"/>
      <c r="H465" s="241"/>
      <c r="I465" s="213">
        <f>F465+G465+H465</f>
        <v>3238.8</v>
      </c>
      <c r="J465" s="264"/>
      <c r="K465" s="241"/>
      <c r="L465" s="213">
        <f>I465+J465+K465</f>
        <v>3238.8</v>
      </c>
      <c r="M465" s="264"/>
      <c r="N465" s="241"/>
      <c r="O465" s="213">
        <f>L465+M465+N465</f>
        <v>3238.8</v>
      </c>
      <c r="P465" s="292"/>
      <c r="Q465" s="167">
        <f>O465+P465</f>
        <v>3238.8</v>
      </c>
    </row>
    <row r="466" spans="1:17" ht="15" customHeight="1" hidden="1">
      <c r="A466" s="22" t="s">
        <v>52</v>
      </c>
      <c r="B466" s="61"/>
      <c r="C466" s="115">
        <f aca="true" t="shared" si="152" ref="C466:Q466">SUM(C468:C468)</f>
        <v>0</v>
      </c>
      <c r="D466" s="105">
        <f t="shared" si="152"/>
        <v>0</v>
      </c>
      <c r="E466" s="80">
        <f t="shared" si="152"/>
        <v>0</v>
      </c>
      <c r="F466" s="193">
        <f t="shared" si="152"/>
        <v>0</v>
      </c>
      <c r="G466" s="79">
        <f t="shared" si="152"/>
        <v>0</v>
      </c>
      <c r="H466" s="239">
        <f t="shared" si="152"/>
        <v>0</v>
      </c>
      <c r="I466" s="211">
        <f t="shared" si="152"/>
        <v>0</v>
      </c>
      <c r="J466" s="262">
        <f t="shared" si="152"/>
        <v>0</v>
      </c>
      <c r="K466" s="239">
        <f t="shared" si="152"/>
        <v>0</v>
      </c>
      <c r="L466" s="211">
        <f t="shared" si="152"/>
        <v>0</v>
      </c>
      <c r="M466" s="262">
        <f t="shared" si="152"/>
        <v>0</v>
      </c>
      <c r="N466" s="239">
        <f t="shared" si="152"/>
        <v>0</v>
      </c>
      <c r="O466" s="211">
        <f t="shared" si="152"/>
        <v>0</v>
      </c>
      <c r="P466" s="105">
        <f t="shared" si="152"/>
        <v>0</v>
      </c>
      <c r="Q466" s="154">
        <f t="shared" si="152"/>
        <v>0</v>
      </c>
    </row>
    <row r="467" spans="1:17" ht="12.75" hidden="1">
      <c r="A467" s="18" t="s">
        <v>26</v>
      </c>
      <c r="B467" s="57"/>
      <c r="C467" s="112"/>
      <c r="D467" s="102"/>
      <c r="E467" s="73"/>
      <c r="F467" s="190"/>
      <c r="G467" s="74"/>
      <c r="H467" s="235"/>
      <c r="I467" s="208"/>
      <c r="J467" s="257"/>
      <c r="K467" s="235"/>
      <c r="L467" s="208"/>
      <c r="M467" s="257"/>
      <c r="N467" s="235"/>
      <c r="O467" s="208"/>
      <c r="P467" s="292"/>
      <c r="Q467" s="167"/>
    </row>
    <row r="468" spans="1:17" ht="12.75" hidden="1">
      <c r="A468" s="19" t="s">
        <v>53</v>
      </c>
      <c r="B468" s="60"/>
      <c r="C468" s="181"/>
      <c r="D468" s="172"/>
      <c r="E468" s="81"/>
      <c r="F468" s="195">
        <f>C468+D468+E468</f>
        <v>0</v>
      </c>
      <c r="G468" s="226"/>
      <c r="H468" s="241"/>
      <c r="I468" s="213">
        <f>F468+G468+H468</f>
        <v>0</v>
      </c>
      <c r="J468" s="264"/>
      <c r="K468" s="241"/>
      <c r="L468" s="213">
        <f>I468+J468+K468</f>
        <v>0</v>
      </c>
      <c r="M468" s="264"/>
      <c r="N468" s="241"/>
      <c r="O468" s="213">
        <f>L468+M468+N468</f>
        <v>0</v>
      </c>
      <c r="P468" s="295"/>
      <c r="Q468" s="168">
        <f>O468+P468</f>
        <v>0</v>
      </c>
    </row>
    <row r="469" spans="1:17" ht="12.75">
      <c r="A469" s="13" t="s">
        <v>89</v>
      </c>
      <c r="B469" s="61"/>
      <c r="C469" s="111">
        <f aca="true" t="shared" si="153" ref="C469:Q469">C470</f>
        <v>245035.05</v>
      </c>
      <c r="D469" s="92">
        <f t="shared" si="153"/>
        <v>-154582.38999999998</v>
      </c>
      <c r="E469" s="72">
        <f t="shared" si="153"/>
        <v>0</v>
      </c>
      <c r="F469" s="189">
        <f t="shared" si="153"/>
        <v>90452.66000000002</v>
      </c>
      <c r="G469" s="71">
        <f t="shared" si="153"/>
        <v>73231.82</v>
      </c>
      <c r="H469" s="234">
        <f t="shared" si="153"/>
        <v>212152.59</v>
      </c>
      <c r="I469" s="207">
        <f t="shared" si="153"/>
        <v>375837.07</v>
      </c>
      <c r="J469" s="256">
        <f t="shared" si="153"/>
        <v>64856.869999999995</v>
      </c>
      <c r="K469" s="234">
        <f t="shared" si="153"/>
        <v>0</v>
      </c>
      <c r="L469" s="207">
        <f t="shared" si="153"/>
        <v>440693.94</v>
      </c>
      <c r="M469" s="256">
        <f t="shared" si="153"/>
        <v>11014</v>
      </c>
      <c r="N469" s="234">
        <f t="shared" si="153"/>
        <v>112376.97</v>
      </c>
      <c r="O469" s="207">
        <f t="shared" si="153"/>
        <v>564084.9100000001</v>
      </c>
      <c r="P469" s="92">
        <f t="shared" si="153"/>
        <v>0</v>
      </c>
      <c r="Q469" s="150">
        <f t="shared" si="153"/>
        <v>564084.9100000001</v>
      </c>
    </row>
    <row r="470" spans="1:17" ht="12.75">
      <c r="A470" s="22" t="s">
        <v>48</v>
      </c>
      <c r="B470" s="61"/>
      <c r="C470" s="115">
        <f>SUM(C472:C476)</f>
        <v>245035.05</v>
      </c>
      <c r="D470" s="105">
        <f aca="true" t="shared" si="154" ref="D470:Q470">SUM(D472:D476)</f>
        <v>-154582.38999999998</v>
      </c>
      <c r="E470" s="80">
        <f t="shared" si="154"/>
        <v>0</v>
      </c>
      <c r="F470" s="193">
        <f t="shared" si="154"/>
        <v>90452.66000000002</v>
      </c>
      <c r="G470" s="79">
        <f t="shared" si="154"/>
        <v>73231.82</v>
      </c>
      <c r="H470" s="239">
        <f t="shared" si="154"/>
        <v>212152.59</v>
      </c>
      <c r="I470" s="211">
        <f t="shared" si="154"/>
        <v>375837.07</v>
      </c>
      <c r="J470" s="262">
        <f t="shared" si="154"/>
        <v>64856.869999999995</v>
      </c>
      <c r="K470" s="239">
        <f t="shared" si="154"/>
        <v>0</v>
      </c>
      <c r="L470" s="211">
        <f t="shared" si="154"/>
        <v>440693.94</v>
      </c>
      <c r="M470" s="262">
        <f t="shared" si="154"/>
        <v>11014</v>
      </c>
      <c r="N470" s="239">
        <f t="shared" si="154"/>
        <v>112376.97</v>
      </c>
      <c r="O470" s="211">
        <f t="shared" si="154"/>
        <v>564084.9100000001</v>
      </c>
      <c r="P470" s="105">
        <f t="shared" si="154"/>
        <v>0</v>
      </c>
      <c r="Q470" s="154">
        <f t="shared" si="154"/>
        <v>564084.9100000001</v>
      </c>
    </row>
    <row r="471" spans="1:17" ht="12.75">
      <c r="A471" s="18" t="s">
        <v>26</v>
      </c>
      <c r="B471" s="57"/>
      <c r="C471" s="111"/>
      <c r="D471" s="92"/>
      <c r="E471" s="72"/>
      <c r="F471" s="189"/>
      <c r="G471" s="71"/>
      <c r="H471" s="234"/>
      <c r="I471" s="207"/>
      <c r="J471" s="256"/>
      <c r="K471" s="234"/>
      <c r="L471" s="207"/>
      <c r="M471" s="256"/>
      <c r="N471" s="234"/>
      <c r="O471" s="207"/>
      <c r="P471" s="292"/>
      <c r="Q471" s="167"/>
    </row>
    <row r="472" spans="1:17" ht="12.75">
      <c r="A472" s="58" t="s">
        <v>178</v>
      </c>
      <c r="B472" s="57"/>
      <c r="C472" s="112">
        <v>9535.05</v>
      </c>
      <c r="D472" s="102"/>
      <c r="E472" s="73"/>
      <c r="F472" s="190">
        <f>C472+D472+E472</f>
        <v>9535.05</v>
      </c>
      <c r="G472" s="74">
        <f>33331.85+72.68-505.74-680+32659</f>
        <v>64877.79</v>
      </c>
      <c r="H472" s="235">
        <f>212152.59</f>
        <v>212152.59</v>
      </c>
      <c r="I472" s="208">
        <f>F472+G472+H472</f>
        <v>286565.43</v>
      </c>
      <c r="J472" s="260">
        <f>31636.6+3898.25+101.75+109.92+29110.35</f>
        <v>64856.869999999995</v>
      </c>
      <c r="K472" s="235"/>
      <c r="L472" s="208">
        <f>I472+J472+K472</f>
        <v>351422.3</v>
      </c>
      <c r="M472" s="257">
        <f>11845.75+732+8886.25-450-10000</f>
        <v>11014</v>
      </c>
      <c r="N472" s="235">
        <f>108760.97+3616</f>
        <v>112376.97</v>
      </c>
      <c r="O472" s="208">
        <f>L472+M472+N472</f>
        <v>474813.27</v>
      </c>
      <c r="P472" s="292"/>
      <c r="Q472" s="167">
        <f>O472+P472</f>
        <v>474813.27</v>
      </c>
    </row>
    <row r="473" spans="1:17" ht="12.75">
      <c r="A473" s="58" t="s">
        <v>90</v>
      </c>
      <c r="B473" s="57"/>
      <c r="C473" s="112"/>
      <c r="D473" s="142">
        <f>45003.16</f>
        <v>45003.16</v>
      </c>
      <c r="E473" s="73"/>
      <c r="F473" s="190">
        <f>C473+D473+E473</f>
        <v>45003.16</v>
      </c>
      <c r="G473" s="74"/>
      <c r="H473" s="235"/>
      <c r="I473" s="208">
        <f>F473+G473+H473</f>
        <v>45003.16</v>
      </c>
      <c r="J473" s="257"/>
      <c r="K473" s="235"/>
      <c r="L473" s="208">
        <f>I473+J473+K473</f>
        <v>45003.16</v>
      </c>
      <c r="M473" s="257"/>
      <c r="N473" s="235"/>
      <c r="O473" s="208">
        <f>L473+M473+N473</f>
        <v>45003.16</v>
      </c>
      <c r="P473" s="292"/>
      <c r="Q473" s="167">
        <f>O473+P473</f>
        <v>45003.16</v>
      </c>
    </row>
    <row r="474" spans="1:17" ht="12.75">
      <c r="A474" s="58" t="s">
        <v>91</v>
      </c>
      <c r="B474" s="57"/>
      <c r="C474" s="112"/>
      <c r="D474" s="102"/>
      <c r="E474" s="73"/>
      <c r="F474" s="190">
        <f>C474+D474+E474</f>
        <v>0</v>
      </c>
      <c r="G474" s="74">
        <f>548.52+7805.51</f>
        <v>8354.03</v>
      </c>
      <c r="H474" s="235"/>
      <c r="I474" s="208">
        <f>F474+G474+H474</f>
        <v>8354.03</v>
      </c>
      <c r="J474" s="257"/>
      <c r="K474" s="235"/>
      <c r="L474" s="208">
        <f>I474+J474+K474</f>
        <v>8354.03</v>
      </c>
      <c r="M474" s="257"/>
      <c r="N474" s="235"/>
      <c r="O474" s="208">
        <f>L474+M474+N474</f>
        <v>8354.03</v>
      </c>
      <c r="P474" s="292"/>
      <c r="Q474" s="167">
        <f>O474+P474</f>
        <v>8354.03</v>
      </c>
    </row>
    <row r="475" spans="1:17" ht="12.75">
      <c r="A475" s="58" t="s">
        <v>301</v>
      </c>
      <c r="B475" s="57"/>
      <c r="C475" s="112">
        <v>200000</v>
      </c>
      <c r="D475" s="102">
        <f>-6097.55-119488+9000-23000-60000</f>
        <v>-199585.55</v>
      </c>
      <c r="E475" s="73"/>
      <c r="F475" s="190">
        <f>C475+D475+E475</f>
        <v>414.45000000001164</v>
      </c>
      <c r="G475" s="74"/>
      <c r="H475" s="235"/>
      <c r="I475" s="208">
        <f>F475+G475+H475</f>
        <v>414.45000000001164</v>
      </c>
      <c r="J475" s="257"/>
      <c r="K475" s="235"/>
      <c r="L475" s="208">
        <f>I475+J475+K475</f>
        <v>414.45000000001164</v>
      </c>
      <c r="M475" s="257"/>
      <c r="N475" s="235"/>
      <c r="O475" s="208">
        <f>L475+M475+N475</f>
        <v>414.45000000001164</v>
      </c>
      <c r="P475" s="292"/>
      <c r="Q475" s="167">
        <f>O475+P475</f>
        <v>414.45000000001164</v>
      </c>
    </row>
    <row r="476" spans="1:17" ht="12.75">
      <c r="A476" s="19" t="s">
        <v>50</v>
      </c>
      <c r="B476" s="60"/>
      <c r="C476" s="181">
        <v>35500</v>
      </c>
      <c r="D476" s="172"/>
      <c r="E476" s="81"/>
      <c r="F476" s="195">
        <f>C476+D476+E476</f>
        <v>35500</v>
      </c>
      <c r="G476" s="226"/>
      <c r="H476" s="241"/>
      <c r="I476" s="213">
        <f>F476+G476+H476</f>
        <v>35500</v>
      </c>
      <c r="J476" s="264"/>
      <c r="K476" s="241"/>
      <c r="L476" s="213">
        <f>I476+J476+K476</f>
        <v>35500</v>
      </c>
      <c r="M476" s="264"/>
      <c r="N476" s="241"/>
      <c r="O476" s="213">
        <f>L476+M476+N476</f>
        <v>35500</v>
      </c>
      <c r="P476" s="295"/>
      <c r="Q476" s="168">
        <f>O476+P476</f>
        <v>35500</v>
      </c>
    </row>
    <row r="477" spans="1:17" ht="12.75">
      <c r="A477" s="13" t="s">
        <v>156</v>
      </c>
      <c r="B477" s="61"/>
      <c r="C477" s="111">
        <f>C478+C491</f>
        <v>97752</v>
      </c>
      <c r="D477" s="92">
        <f aca="true" t="shared" si="155" ref="D477:Q477">D478+D491</f>
        <v>112286.25</v>
      </c>
      <c r="E477" s="72">
        <f t="shared" si="155"/>
        <v>67442.82</v>
      </c>
      <c r="F477" s="189">
        <f t="shared" si="155"/>
        <v>277481.07</v>
      </c>
      <c r="G477" s="71">
        <f t="shared" si="155"/>
        <v>69464.66</v>
      </c>
      <c r="H477" s="234">
        <f t="shared" si="155"/>
        <v>162517.88</v>
      </c>
      <c r="I477" s="207">
        <f t="shared" si="155"/>
        <v>509463.61</v>
      </c>
      <c r="J477" s="256">
        <f t="shared" si="155"/>
        <v>59260.33</v>
      </c>
      <c r="K477" s="234">
        <f t="shared" si="155"/>
        <v>20964.41</v>
      </c>
      <c r="L477" s="207">
        <f t="shared" si="155"/>
        <v>589688.35</v>
      </c>
      <c r="M477" s="256">
        <f t="shared" si="155"/>
        <v>8358.69</v>
      </c>
      <c r="N477" s="234">
        <f t="shared" si="155"/>
        <v>21051.2</v>
      </c>
      <c r="O477" s="207">
        <f t="shared" si="155"/>
        <v>619098.24</v>
      </c>
      <c r="P477" s="92">
        <f t="shared" si="155"/>
        <v>0</v>
      </c>
      <c r="Q477" s="150">
        <f t="shared" si="155"/>
        <v>614032.7000000001</v>
      </c>
    </row>
    <row r="478" spans="1:17" ht="12.75">
      <c r="A478" s="22" t="s">
        <v>48</v>
      </c>
      <c r="B478" s="61"/>
      <c r="C478" s="115">
        <f>SUM(C480:C490)</f>
        <v>63302</v>
      </c>
      <c r="D478" s="105">
        <f aca="true" t="shared" si="156" ref="D478:Q478">SUM(D480:D490)</f>
        <v>15780.25</v>
      </c>
      <c r="E478" s="80">
        <f t="shared" si="156"/>
        <v>44249.32</v>
      </c>
      <c r="F478" s="193">
        <f t="shared" si="156"/>
        <v>123331.57</v>
      </c>
      <c r="G478" s="79">
        <f t="shared" si="156"/>
        <v>6732.92</v>
      </c>
      <c r="H478" s="239">
        <f t="shared" si="156"/>
        <v>6606.88</v>
      </c>
      <c r="I478" s="211">
        <f t="shared" si="156"/>
        <v>136671.37000000002</v>
      </c>
      <c r="J478" s="262">
        <f t="shared" si="156"/>
        <v>7207.91</v>
      </c>
      <c r="K478" s="239">
        <f t="shared" si="156"/>
        <v>5002.45</v>
      </c>
      <c r="L478" s="211">
        <f t="shared" si="156"/>
        <v>148881.73</v>
      </c>
      <c r="M478" s="262">
        <f t="shared" si="156"/>
        <v>6432.67</v>
      </c>
      <c r="N478" s="239">
        <f t="shared" si="156"/>
        <v>5807.18</v>
      </c>
      <c r="O478" s="211">
        <f t="shared" si="156"/>
        <v>161121.58</v>
      </c>
      <c r="P478" s="105">
        <f t="shared" si="156"/>
        <v>0</v>
      </c>
      <c r="Q478" s="154">
        <f t="shared" si="156"/>
        <v>161121.58</v>
      </c>
    </row>
    <row r="479" spans="1:17" ht="12.75">
      <c r="A479" s="18" t="s">
        <v>26</v>
      </c>
      <c r="B479" s="57"/>
      <c r="C479" s="112"/>
      <c r="D479" s="102"/>
      <c r="E479" s="73"/>
      <c r="F479" s="190"/>
      <c r="G479" s="74"/>
      <c r="H479" s="235"/>
      <c r="I479" s="208"/>
      <c r="J479" s="257"/>
      <c r="K479" s="235"/>
      <c r="L479" s="208"/>
      <c r="M479" s="257"/>
      <c r="N479" s="235"/>
      <c r="O479" s="208"/>
      <c r="P479" s="292"/>
      <c r="Q479" s="167"/>
    </row>
    <row r="480" spans="1:17" ht="12.75">
      <c r="A480" s="16" t="s">
        <v>228</v>
      </c>
      <c r="B480" s="57">
        <v>1202</v>
      </c>
      <c r="C480" s="112">
        <v>2950</v>
      </c>
      <c r="D480" s="102">
        <f>149.93+350</f>
        <v>499.93</v>
      </c>
      <c r="E480" s="73">
        <f>-524.5</f>
        <v>-524.5</v>
      </c>
      <c r="F480" s="190">
        <f aca="true" t="shared" si="157" ref="F480:F490">C480+D480+E480</f>
        <v>2925.43</v>
      </c>
      <c r="G480" s="74"/>
      <c r="H480" s="235"/>
      <c r="I480" s="208">
        <f>F480+G480+H480</f>
        <v>2925.43</v>
      </c>
      <c r="J480" s="257"/>
      <c r="K480" s="235"/>
      <c r="L480" s="208">
        <f aca="true" t="shared" si="158" ref="L480:L490">I480+J480+K480</f>
        <v>2925.43</v>
      </c>
      <c r="M480" s="257"/>
      <c r="N480" s="235"/>
      <c r="O480" s="208">
        <f aca="true" t="shared" si="159" ref="O480:O490">L480+M480+N480</f>
        <v>2925.43</v>
      </c>
      <c r="P480" s="292"/>
      <c r="Q480" s="167">
        <f aca="true" t="shared" si="160" ref="Q480:Q490">O480+P480</f>
        <v>2925.43</v>
      </c>
    </row>
    <row r="481" spans="1:17" ht="12.75">
      <c r="A481" s="16" t="s">
        <v>173</v>
      </c>
      <c r="B481" s="57">
        <v>1207</v>
      </c>
      <c r="C481" s="112">
        <v>9800</v>
      </c>
      <c r="D481" s="102">
        <f>1008.06</f>
        <v>1008.06</v>
      </c>
      <c r="E481" s="73"/>
      <c r="F481" s="190">
        <f t="shared" si="157"/>
        <v>10808.06</v>
      </c>
      <c r="G481" s="74">
        <f>-134+14</f>
        <v>-120</v>
      </c>
      <c r="H481" s="235"/>
      <c r="I481" s="208">
        <f aca="true" t="shared" si="161" ref="I481:I490">F481+G481+H481</f>
        <v>10688.06</v>
      </c>
      <c r="J481" s="257">
        <f>15</f>
        <v>15</v>
      </c>
      <c r="K481" s="235"/>
      <c r="L481" s="208">
        <f t="shared" si="158"/>
        <v>10703.06</v>
      </c>
      <c r="M481" s="257">
        <f>87.74</f>
        <v>87.74</v>
      </c>
      <c r="N481" s="235"/>
      <c r="O481" s="208">
        <f t="shared" si="159"/>
        <v>10790.8</v>
      </c>
      <c r="P481" s="292"/>
      <c r="Q481" s="167">
        <f t="shared" si="160"/>
        <v>10790.8</v>
      </c>
    </row>
    <row r="482" spans="1:17" ht="12.75">
      <c r="A482" s="20" t="s">
        <v>286</v>
      </c>
      <c r="B482" s="57">
        <v>1209</v>
      </c>
      <c r="C482" s="112">
        <v>2180</v>
      </c>
      <c r="D482" s="102">
        <f>140.53</f>
        <v>140.53</v>
      </c>
      <c r="E482" s="73"/>
      <c r="F482" s="190">
        <f t="shared" si="157"/>
        <v>2320.53</v>
      </c>
      <c r="G482" s="74">
        <f>28</f>
        <v>28</v>
      </c>
      <c r="H482" s="235"/>
      <c r="I482" s="208">
        <f t="shared" si="161"/>
        <v>2348.53</v>
      </c>
      <c r="J482" s="257"/>
      <c r="K482" s="235"/>
      <c r="L482" s="208">
        <f t="shared" si="158"/>
        <v>2348.53</v>
      </c>
      <c r="M482" s="257"/>
      <c r="N482" s="235"/>
      <c r="O482" s="208">
        <f t="shared" si="159"/>
        <v>2348.53</v>
      </c>
      <c r="P482" s="292"/>
      <c r="Q482" s="167">
        <f t="shared" si="160"/>
        <v>2348.53</v>
      </c>
    </row>
    <row r="483" spans="1:17" ht="12.75">
      <c r="A483" s="16" t="s">
        <v>174</v>
      </c>
      <c r="B483" s="57">
        <v>1211</v>
      </c>
      <c r="C483" s="112">
        <v>2320</v>
      </c>
      <c r="D483" s="142">
        <f>306.25</f>
        <v>306.25</v>
      </c>
      <c r="E483" s="84"/>
      <c r="F483" s="190">
        <f t="shared" si="157"/>
        <v>2626.25</v>
      </c>
      <c r="G483" s="74">
        <f>-2065.54</f>
        <v>-2065.54</v>
      </c>
      <c r="H483" s="235"/>
      <c r="I483" s="208">
        <f t="shared" si="161"/>
        <v>560.71</v>
      </c>
      <c r="J483" s="257">
        <f>203.37</f>
        <v>203.37</v>
      </c>
      <c r="K483" s="235"/>
      <c r="L483" s="208">
        <f t="shared" si="158"/>
        <v>764.08</v>
      </c>
      <c r="M483" s="257">
        <f>1.58</f>
        <v>1.58</v>
      </c>
      <c r="N483" s="235"/>
      <c r="O483" s="208">
        <f t="shared" si="159"/>
        <v>765.6600000000001</v>
      </c>
      <c r="P483" s="292"/>
      <c r="Q483" s="167">
        <f t="shared" si="160"/>
        <v>765.6600000000001</v>
      </c>
    </row>
    <row r="484" spans="1:17" ht="12.75">
      <c r="A484" s="16" t="s">
        <v>359</v>
      </c>
      <c r="B484" s="57">
        <v>1214</v>
      </c>
      <c r="C484" s="112">
        <v>2850</v>
      </c>
      <c r="D484" s="142">
        <f>10.13+2.62+800</f>
        <v>812.75</v>
      </c>
      <c r="E484" s="73"/>
      <c r="F484" s="190">
        <f t="shared" si="157"/>
        <v>3662.75</v>
      </c>
      <c r="G484" s="74">
        <f>3.85</f>
        <v>3.85</v>
      </c>
      <c r="H484" s="235"/>
      <c r="I484" s="208">
        <f t="shared" si="161"/>
        <v>3666.6</v>
      </c>
      <c r="J484" s="257"/>
      <c r="K484" s="235"/>
      <c r="L484" s="208">
        <f t="shared" si="158"/>
        <v>3666.6</v>
      </c>
      <c r="M484" s="257"/>
      <c r="N484" s="235"/>
      <c r="O484" s="208">
        <f t="shared" si="159"/>
        <v>3666.6</v>
      </c>
      <c r="P484" s="292"/>
      <c r="Q484" s="167">
        <f t="shared" si="160"/>
        <v>3666.6</v>
      </c>
    </row>
    <row r="485" spans="1:17" ht="12.75" hidden="1">
      <c r="A485" s="16" t="s">
        <v>217</v>
      </c>
      <c r="B485" s="57">
        <v>1213</v>
      </c>
      <c r="C485" s="112"/>
      <c r="D485" s="142">
        <f>2.62-2.62</f>
        <v>0</v>
      </c>
      <c r="E485" s="73"/>
      <c r="F485" s="190">
        <f t="shared" si="157"/>
        <v>0</v>
      </c>
      <c r="G485" s="74"/>
      <c r="H485" s="235"/>
      <c r="I485" s="208">
        <f t="shared" si="161"/>
        <v>0</v>
      </c>
      <c r="J485" s="257"/>
      <c r="K485" s="235"/>
      <c r="L485" s="208">
        <f t="shared" si="158"/>
        <v>0</v>
      </c>
      <c r="M485" s="257"/>
      <c r="N485" s="235"/>
      <c r="O485" s="208">
        <f t="shared" si="159"/>
        <v>0</v>
      </c>
      <c r="P485" s="292"/>
      <c r="Q485" s="167">
        <f t="shared" si="160"/>
        <v>0</v>
      </c>
    </row>
    <row r="486" spans="1:17" ht="12.75">
      <c r="A486" s="16" t="s">
        <v>246</v>
      </c>
      <c r="B486" s="57">
        <v>1216</v>
      </c>
      <c r="C486" s="112">
        <v>22300</v>
      </c>
      <c r="D486" s="102">
        <f>2238.06</f>
        <v>2238.06</v>
      </c>
      <c r="E486" s="73">
        <f>-219+4000</f>
        <v>3781</v>
      </c>
      <c r="F486" s="190">
        <f t="shared" si="157"/>
        <v>28319.06</v>
      </c>
      <c r="G486" s="74">
        <f>59.73</f>
        <v>59.73</v>
      </c>
      <c r="H486" s="235"/>
      <c r="I486" s="208">
        <f t="shared" si="161"/>
        <v>28378.79</v>
      </c>
      <c r="J486" s="257">
        <f>6000+2</f>
        <v>6002</v>
      </c>
      <c r="K486" s="235"/>
      <c r="L486" s="208">
        <f t="shared" si="158"/>
        <v>34380.79</v>
      </c>
      <c r="M486" s="257">
        <f>2000+2.2</f>
        <v>2002.2</v>
      </c>
      <c r="N486" s="235"/>
      <c r="O486" s="208">
        <f t="shared" si="159"/>
        <v>36382.99</v>
      </c>
      <c r="P486" s="292"/>
      <c r="Q486" s="167">
        <f t="shared" si="160"/>
        <v>36382.99</v>
      </c>
    </row>
    <row r="487" spans="1:17" ht="12.75">
      <c r="A487" s="16" t="s">
        <v>175</v>
      </c>
      <c r="B487" s="57">
        <v>1239</v>
      </c>
      <c r="C487" s="112">
        <v>6600</v>
      </c>
      <c r="D487" s="102">
        <f>775.83+2650</f>
        <v>3425.83</v>
      </c>
      <c r="E487" s="73">
        <f>6400</f>
        <v>6400</v>
      </c>
      <c r="F487" s="190">
        <f t="shared" si="157"/>
        <v>16425.83</v>
      </c>
      <c r="G487" s="74">
        <f>3900+34.88</f>
        <v>3934.88</v>
      </c>
      <c r="H487" s="235"/>
      <c r="I487" s="208">
        <f t="shared" si="161"/>
        <v>20360.710000000003</v>
      </c>
      <c r="J487" s="257">
        <f>71.03+51-101.75</f>
        <v>20.28</v>
      </c>
      <c r="K487" s="235"/>
      <c r="L487" s="208">
        <f t="shared" si="158"/>
        <v>20380.99</v>
      </c>
      <c r="M487" s="257">
        <f>50+45.1</f>
        <v>95.1</v>
      </c>
      <c r="N487" s="235"/>
      <c r="O487" s="208">
        <f t="shared" si="159"/>
        <v>20476.09</v>
      </c>
      <c r="P487" s="292"/>
      <c r="Q487" s="167">
        <f t="shared" si="160"/>
        <v>20476.09</v>
      </c>
    </row>
    <row r="488" spans="1:17" ht="12.75">
      <c r="A488" s="16" t="s">
        <v>192</v>
      </c>
      <c r="B488" s="57">
        <v>1300</v>
      </c>
      <c r="C488" s="112">
        <v>9500</v>
      </c>
      <c r="D488" s="102">
        <f>400+2767.68+1333.33</f>
        <v>4501.01</v>
      </c>
      <c r="E488" s="73">
        <f>-1300+12210+5487+100+750+7145.82+2200+8000</f>
        <v>34592.82</v>
      </c>
      <c r="F488" s="190">
        <f t="shared" si="157"/>
        <v>48593.83</v>
      </c>
      <c r="G488" s="74"/>
      <c r="H488" s="235">
        <f>3300+950+2356.88</f>
        <v>6606.88</v>
      </c>
      <c r="I488" s="208">
        <f t="shared" si="161"/>
        <v>55200.71</v>
      </c>
      <c r="J488" s="257"/>
      <c r="K488" s="235">
        <f>202.45+800+2500+1500</f>
        <v>5002.45</v>
      </c>
      <c r="L488" s="208">
        <f t="shared" si="158"/>
        <v>60203.159999999996</v>
      </c>
      <c r="M488" s="257">
        <f>1448.5+800-202.45+2200</f>
        <v>4246.05</v>
      </c>
      <c r="N488" s="235">
        <f>500+3270+2430.18+250</f>
        <v>6450.18</v>
      </c>
      <c r="O488" s="208">
        <f t="shared" si="159"/>
        <v>70899.39</v>
      </c>
      <c r="P488" s="292"/>
      <c r="Q488" s="167">
        <f t="shared" si="160"/>
        <v>70899.39</v>
      </c>
    </row>
    <row r="489" spans="1:17" ht="12.75">
      <c r="A489" s="16" t="s">
        <v>176</v>
      </c>
      <c r="B489" s="57">
        <v>1110</v>
      </c>
      <c r="C489" s="112">
        <v>4800</v>
      </c>
      <c r="D489" s="102">
        <f>1870.13</f>
        <v>1870.13</v>
      </c>
      <c r="E489" s="73"/>
      <c r="F489" s="190">
        <f t="shared" si="157"/>
        <v>6670.13</v>
      </c>
      <c r="G489" s="74">
        <f>4892</f>
        <v>4892</v>
      </c>
      <c r="H489" s="235"/>
      <c r="I489" s="208">
        <f t="shared" si="161"/>
        <v>11562.130000000001</v>
      </c>
      <c r="J489" s="257">
        <f>6</f>
        <v>6</v>
      </c>
      <c r="K489" s="235"/>
      <c r="L489" s="208">
        <f t="shared" si="158"/>
        <v>11568.130000000001</v>
      </c>
      <c r="M489" s="257"/>
      <c r="N489" s="235">
        <f>-643</f>
        <v>-643</v>
      </c>
      <c r="O489" s="208">
        <f t="shared" si="159"/>
        <v>10925.130000000001</v>
      </c>
      <c r="P489" s="292"/>
      <c r="Q489" s="167">
        <f t="shared" si="160"/>
        <v>10925.130000000001</v>
      </c>
    </row>
    <row r="490" spans="1:17" ht="12.75">
      <c r="A490" s="16" t="s">
        <v>279</v>
      </c>
      <c r="B490" s="57"/>
      <c r="C490" s="112">
        <v>2</v>
      </c>
      <c r="D490" s="102">
        <f>977.7</f>
        <v>977.7</v>
      </c>
      <c r="E490" s="73"/>
      <c r="F490" s="190">
        <f t="shared" si="157"/>
        <v>979.7</v>
      </c>
      <c r="G490" s="74"/>
      <c r="H490" s="235"/>
      <c r="I490" s="208">
        <f t="shared" si="161"/>
        <v>979.7</v>
      </c>
      <c r="J490" s="257">
        <f>961.26</f>
        <v>961.26</v>
      </c>
      <c r="K490" s="235"/>
      <c r="L490" s="208">
        <f t="shared" si="158"/>
        <v>1940.96</v>
      </c>
      <c r="M490" s="257"/>
      <c r="N490" s="235"/>
      <c r="O490" s="208">
        <f t="shared" si="159"/>
        <v>1940.96</v>
      </c>
      <c r="P490" s="292"/>
      <c r="Q490" s="167">
        <f t="shared" si="160"/>
        <v>1940.96</v>
      </c>
    </row>
    <row r="491" spans="1:17" ht="12.75">
      <c r="A491" s="22" t="s">
        <v>52</v>
      </c>
      <c r="B491" s="61"/>
      <c r="C491" s="115">
        <f>SUM(C493:C501)</f>
        <v>34450</v>
      </c>
      <c r="D491" s="105">
        <f aca="true" t="shared" si="162" ref="D491:Q491">SUM(D493:D501)</f>
        <v>96506</v>
      </c>
      <c r="E491" s="80">
        <f t="shared" si="162"/>
        <v>23193.5</v>
      </c>
      <c r="F491" s="193">
        <f t="shared" si="162"/>
        <v>154149.5</v>
      </c>
      <c r="G491" s="79">
        <f t="shared" si="162"/>
        <v>62731.74</v>
      </c>
      <c r="H491" s="239">
        <f t="shared" si="162"/>
        <v>155911</v>
      </c>
      <c r="I491" s="211">
        <f t="shared" si="162"/>
        <v>372792.24</v>
      </c>
      <c r="J491" s="262">
        <f t="shared" si="162"/>
        <v>52052.42</v>
      </c>
      <c r="K491" s="239">
        <f t="shared" si="162"/>
        <v>15961.96</v>
      </c>
      <c r="L491" s="211">
        <f t="shared" si="162"/>
        <v>440806.62</v>
      </c>
      <c r="M491" s="262">
        <f t="shared" si="162"/>
        <v>1926.02</v>
      </c>
      <c r="N491" s="239">
        <f t="shared" si="162"/>
        <v>15244.02</v>
      </c>
      <c r="O491" s="211">
        <f t="shared" si="162"/>
        <v>457976.66000000003</v>
      </c>
      <c r="P491" s="105">
        <f t="shared" si="162"/>
        <v>0</v>
      </c>
      <c r="Q491" s="154">
        <f t="shared" si="162"/>
        <v>452911.12000000005</v>
      </c>
    </row>
    <row r="492" spans="1:17" ht="12.75">
      <c r="A492" s="18" t="s">
        <v>26</v>
      </c>
      <c r="B492" s="57"/>
      <c r="C492" s="112"/>
      <c r="D492" s="102"/>
      <c r="E492" s="73"/>
      <c r="F492" s="190"/>
      <c r="G492" s="74"/>
      <c r="H492" s="235"/>
      <c r="I492" s="208"/>
      <c r="J492" s="257"/>
      <c r="K492" s="235"/>
      <c r="L492" s="208"/>
      <c r="M492" s="257"/>
      <c r="N492" s="235"/>
      <c r="O492" s="208"/>
      <c r="P492" s="292"/>
      <c r="Q492" s="167"/>
    </row>
    <row r="493" spans="1:17" ht="13.5" thickBot="1">
      <c r="A493" s="309" t="s">
        <v>255</v>
      </c>
      <c r="B493" s="300">
        <v>1207</v>
      </c>
      <c r="C493" s="301">
        <v>2600</v>
      </c>
      <c r="D493" s="302">
        <f>3400</f>
        <v>3400</v>
      </c>
      <c r="E493" s="303"/>
      <c r="F493" s="304">
        <f aca="true" t="shared" si="163" ref="F493:F501">C493+D493+E493</f>
        <v>6000</v>
      </c>
      <c r="G493" s="305">
        <f>134</f>
        <v>134</v>
      </c>
      <c r="H493" s="306"/>
      <c r="I493" s="307">
        <f aca="true" t="shared" si="164" ref="I493:I501">F493+G493+H493</f>
        <v>6134</v>
      </c>
      <c r="J493" s="308"/>
      <c r="K493" s="306"/>
      <c r="L493" s="307">
        <f aca="true" t="shared" si="165" ref="L493:L501">I493+J493+K493</f>
        <v>6134</v>
      </c>
      <c r="M493" s="308"/>
      <c r="N493" s="306"/>
      <c r="O493" s="307">
        <f aca="true" t="shared" si="166" ref="O493:O501">L493+M493+N493</f>
        <v>6134</v>
      </c>
      <c r="P493" s="292"/>
      <c r="Q493" s="167">
        <f aca="true" t="shared" si="167" ref="Q493:Q501">O493+P493</f>
        <v>6134</v>
      </c>
    </row>
    <row r="494" spans="1:17" ht="12.75" hidden="1">
      <c r="A494" s="16" t="s">
        <v>297</v>
      </c>
      <c r="B494" s="57">
        <v>1214</v>
      </c>
      <c r="C494" s="112"/>
      <c r="D494" s="102"/>
      <c r="E494" s="73"/>
      <c r="F494" s="190">
        <f t="shared" si="163"/>
        <v>0</v>
      </c>
      <c r="G494" s="74"/>
      <c r="H494" s="235"/>
      <c r="I494" s="208">
        <f t="shared" si="164"/>
        <v>0</v>
      </c>
      <c r="J494" s="257"/>
      <c r="K494" s="235"/>
      <c r="L494" s="208">
        <f t="shared" si="165"/>
        <v>0</v>
      </c>
      <c r="M494" s="257"/>
      <c r="N494" s="235"/>
      <c r="O494" s="208">
        <f t="shared" si="166"/>
        <v>0</v>
      </c>
      <c r="P494" s="292"/>
      <c r="Q494" s="167">
        <f t="shared" si="167"/>
        <v>0</v>
      </c>
    </row>
    <row r="495" spans="1:17" ht="12.75">
      <c r="A495" s="16" t="s">
        <v>355</v>
      </c>
      <c r="B495" s="57">
        <v>1211</v>
      </c>
      <c r="C495" s="112"/>
      <c r="D495" s="102"/>
      <c r="E495" s="73"/>
      <c r="F495" s="190">
        <f t="shared" si="163"/>
        <v>0</v>
      </c>
      <c r="G495" s="74">
        <f>3000+2065.54</f>
        <v>5065.54</v>
      </c>
      <c r="H495" s="235"/>
      <c r="I495" s="208">
        <f t="shared" si="164"/>
        <v>5065.54</v>
      </c>
      <c r="J495" s="257"/>
      <c r="K495" s="235"/>
      <c r="L495" s="208">
        <f t="shared" si="165"/>
        <v>5065.54</v>
      </c>
      <c r="M495" s="257"/>
      <c r="N495" s="235"/>
      <c r="O495" s="208">
        <f t="shared" si="166"/>
        <v>5065.54</v>
      </c>
      <c r="P495" s="292"/>
      <c r="Q495" s="167"/>
    </row>
    <row r="496" spans="1:17" ht="12.75">
      <c r="A496" s="20" t="s">
        <v>287</v>
      </c>
      <c r="B496" s="57">
        <v>1209</v>
      </c>
      <c r="C496" s="112"/>
      <c r="D496" s="102">
        <f>600</f>
        <v>600</v>
      </c>
      <c r="E496" s="73"/>
      <c r="F496" s="190">
        <f t="shared" si="163"/>
        <v>600</v>
      </c>
      <c r="G496" s="74">
        <f>-28</f>
        <v>-28</v>
      </c>
      <c r="H496" s="235"/>
      <c r="I496" s="208">
        <f t="shared" si="164"/>
        <v>572</v>
      </c>
      <c r="J496" s="257"/>
      <c r="K496" s="235"/>
      <c r="L496" s="208">
        <f t="shared" si="165"/>
        <v>572</v>
      </c>
      <c r="M496" s="257"/>
      <c r="N496" s="235"/>
      <c r="O496" s="208">
        <f t="shared" si="166"/>
        <v>572</v>
      </c>
      <c r="P496" s="292"/>
      <c r="Q496" s="167">
        <f t="shared" si="167"/>
        <v>572</v>
      </c>
    </row>
    <row r="497" spans="1:17" ht="12.75">
      <c r="A497" s="16" t="s">
        <v>256</v>
      </c>
      <c r="B497" s="57">
        <v>1202</v>
      </c>
      <c r="C497" s="112"/>
      <c r="D497" s="102"/>
      <c r="E497" s="73">
        <f>524.5</f>
        <v>524.5</v>
      </c>
      <c r="F497" s="190">
        <f t="shared" si="163"/>
        <v>524.5</v>
      </c>
      <c r="G497" s="74"/>
      <c r="H497" s="235"/>
      <c r="I497" s="208">
        <f t="shared" si="164"/>
        <v>524.5</v>
      </c>
      <c r="J497" s="257"/>
      <c r="K497" s="235"/>
      <c r="L497" s="208">
        <f t="shared" si="165"/>
        <v>524.5</v>
      </c>
      <c r="M497" s="257">
        <f>88.9</f>
        <v>88.9</v>
      </c>
      <c r="N497" s="235"/>
      <c r="O497" s="208">
        <f t="shared" si="166"/>
        <v>613.4</v>
      </c>
      <c r="P497" s="292"/>
      <c r="Q497" s="167">
        <f t="shared" si="167"/>
        <v>613.4</v>
      </c>
    </row>
    <row r="498" spans="1:17" ht="12.75">
      <c r="A498" s="16" t="s">
        <v>268</v>
      </c>
      <c r="B498" s="57">
        <v>1216</v>
      </c>
      <c r="C498" s="112"/>
      <c r="D498" s="102">
        <f>4000</f>
        <v>4000</v>
      </c>
      <c r="E498" s="73">
        <f>219-4000</f>
        <v>-3781</v>
      </c>
      <c r="F498" s="190">
        <f t="shared" si="163"/>
        <v>219</v>
      </c>
      <c r="G498" s="74"/>
      <c r="H498" s="235"/>
      <c r="I498" s="208">
        <f t="shared" si="164"/>
        <v>219</v>
      </c>
      <c r="J498" s="257"/>
      <c r="K498" s="235"/>
      <c r="L498" s="208">
        <f t="shared" si="165"/>
        <v>219</v>
      </c>
      <c r="M498" s="257"/>
      <c r="N498" s="235"/>
      <c r="O498" s="208">
        <f t="shared" si="166"/>
        <v>219</v>
      </c>
      <c r="P498" s="292"/>
      <c r="Q498" s="167">
        <f t="shared" si="167"/>
        <v>219</v>
      </c>
    </row>
    <row r="499" spans="1:17" ht="12.75">
      <c r="A499" s="16" t="s">
        <v>272</v>
      </c>
      <c r="B499" s="57">
        <v>1239</v>
      </c>
      <c r="C499" s="112">
        <v>19850</v>
      </c>
      <c r="D499" s="102">
        <f>13000-3000+2500</f>
        <v>12500</v>
      </c>
      <c r="E499" s="73">
        <f>-6400</f>
        <v>-6400</v>
      </c>
      <c r="F499" s="190">
        <f t="shared" si="163"/>
        <v>25950</v>
      </c>
      <c r="G499" s="74">
        <f>-3900+28581+22.79+8000</f>
        <v>32703.79</v>
      </c>
      <c r="H499" s="235"/>
      <c r="I499" s="208">
        <f t="shared" si="164"/>
        <v>58653.79</v>
      </c>
      <c r="J499" s="257">
        <f>353.42-51</f>
        <v>302.42</v>
      </c>
      <c r="K499" s="235"/>
      <c r="L499" s="208">
        <f t="shared" si="165"/>
        <v>58956.21</v>
      </c>
      <c r="M499" s="257">
        <f>-50+168.7</f>
        <v>118.69999999999999</v>
      </c>
      <c r="N499" s="235"/>
      <c r="O499" s="208">
        <f t="shared" si="166"/>
        <v>59074.909999999996</v>
      </c>
      <c r="P499" s="292"/>
      <c r="Q499" s="167">
        <f t="shared" si="167"/>
        <v>59074.909999999996</v>
      </c>
    </row>
    <row r="500" spans="1:17" ht="12.75">
      <c r="A500" s="20" t="s">
        <v>257</v>
      </c>
      <c r="B500" s="57">
        <v>1300</v>
      </c>
      <c r="C500" s="112"/>
      <c r="D500" s="102">
        <f>100+3706+3000+2200+8000+10000+1000+30000</f>
        <v>58006</v>
      </c>
      <c r="E500" s="73">
        <f>1300+7350+3000-100+31500-2200-8000</f>
        <v>32850</v>
      </c>
      <c r="F500" s="190">
        <f t="shared" si="163"/>
        <v>90856</v>
      </c>
      <c r="G500" s="74">
        <f>700+8000+1500+5000+270.23</f>
        <v>15470.23</v>
      </c>
      <c r="H500" s="235">
        <f>61000+4321+60000+15000+7890+5600+2100</f>
        <v>155911</v>
      </c>
      <c r="I500" s="208">
        <f t="shared" si="164"/>
        <v>262237.23</v>
      </c>
      <c r="J500" s="257">
        <f>4250+500+47000</f>
        <v>51750</v>
      </c>
      <c r="K500" s="235">
        <f>2756.76+13271.76+1433.44-1500</f>
        <v>15961.96</v>
      </c>
      <c r="L500" s="208">
        <f t="shared" si="165"/>
        <v>329949.19</v>
      </c>
      <c r="M500" s="257">
        <f>1800-800+202.45</f>
        <v>1202.45</v>
      </c>
      <c r="N500" s="235">
        <f>10606+400+2480+1115.02</f>
        <v>14601.02</v>
      </c>
      <c r="O500" s="208">
        <f t="shared" si="166"/>
        <v>345752.66000000003</v>
      </c>
      <c r="P500" s="292"/>
      <c r="Q500" s="167">
        <f t="shared" si="167"/>
        <v>345752.66000000003</v>
      </c>
    </row>
    <row r="501" spans="1:17" ht="12.75">
      <c r="A501" s="19" t="s">
        <v>267</v>
      </c>
      <c r="B501" s="60">
        <v>1110</v>
      </c>
      <c r="C501" s="290">
        <v>12000</v>
      </c>
      <c r="D501" s="172">
        <f>18000</f>
        <v>18000</v>
      </c>
      <c r="E501" s="81"/>
      <c r="F501" s="195">
        <f t="shared" si="163"/>
        <v>30000</v>
      </c>
      <c r="G501" s="226">
        <f>9382+4.18</f>
        <v>9386.18</v>
      </c>
      <c r="H501" s="241"/>
      <c r="I501" s="213">
        <f t="shared" si="164"/>
        <v>39386.18</v>
      </c>
      <c r="J501" s="264"/>
      <c r="K501" s="241"/>
      <c r="L501" s="213">
        <f t="shared" si="165"/>
        <v>39386.18</v>
      </c>
      <c r="M501" s="264">
        <f>515.97</f>
        <v>515.97</v>
      </c>
      <c r="N501" s="241">
        <f>643</f>
        <v>643</v>
      </c>
      <c r="O501" s="213">
        <f t="shared" si="166"/>
        <v>40545.15</v>
      </c>
      <c r="P501" s="295"/>
      <c r="Q501" s="168">
        <f t="shared" si="167"/>
        <v>40545.15</v>
      </c>
    </row>
    <row r="502" spans="1:17" ht="12.75">
      <c r="A502" s="13" t="s">
        <v>371</v>
      </c>
      <c r="B502" s="61"/>
      <c r="C502" s="111">
        <f aca="true" t="shared" si="168" ref="C502:Q502">C503</f>
        <v>1</v>
      </c>
      <c r="D502" s="92">
        <f t="shared" si="168"/>
        <v>2458.05</v>
      </c>
      <c r="E502" s="72">
        <f t="shared" si="168"/>
        <v>0</v>
      </c>
      <c r="F502" s="189">
        <f t="shared" si="168"/>
        <v>2459.05</v>
      </c>
      <c r="G502" s="71">
        <f t="shared" si="168"/>
        <v>0</v>
      </c>
      <c r="H502" s="234">
        <f t="shared" si="168"/>
        <v>0</v>
      </c>
      <c r="I502" s="207">
        <f t="shared" si="168"/>
        <v>2459.05</v>
      </c>
      <c r="J502" s="256">
        <f t="shared" si="168"/>
        <v>0</v>
      </c>
      <c r="K502" s="234">
        <f t="shared" si="168"/>
        <v>0</v>
      </c>
      <c r="L502" s="207">
        <f t="shared" si="168"/>
        <v>2459.05</v>
      </c>
      <c r="M502" s="256">
        <f t="shared" si="168"/>
        <v>0</v>
      </c>
      <c r="N502" s="234">
        <f t="shared" si="168"/>
        <v>0</v>
      </c>
      <c r="O502" s="207">
        <f t="shared" si="168"/>
        <v>2459.05</v>
      </c>
      <c r="P502" s="92">
        <f t="shared" si="168"/>
        <v>0</v>
      </c>
      <c r="Q502" s="150">
        <f t="shared" si="168"/>
        <v>2459.05</v>
      </c>
    </row>
    <row r="503" spans="1:17" ht="12.75">
      <c r="A503" s="22" t="s">
        <v>48</v>
      </c>
      <c r="B503" s="61"/>
      <c r="C503" s="115">
        <f>C505</f>
        <v>1</v>
      </c>
      <c r="D503" s="105">
        <f aca="true" t="shared" si="169" ref="D503:Q503">D505</f>
        <v>2458.05</v>
      </c>
      <c r="E503" s="80">
        <f t="shared" si="169"/>
        <v>0</v>
      </c>
      <c r="F503" s="193">
        <f t="shared" si="169"/>
        <v>2459.05</v>
      </c>
      <c r="G503" s="79">
        <f t="shared" si="169"/>
        <v>0</v>
      </c>
      <c r="H503" s="239">
        <f t="shared" si="169"/>
        <v>0</v>
      </c>
      <c r="I503" s="211">
        <f t="shared" si="169"/>
        <v>2459.05</v>
      </c>
      <c r="J503" s="262">
        <f t="shared" si="169"/>
        <v>0</v>
      </c>
      <c r="K503" s="239">
        <f t="shared" si="169"/>
        <v>0</v>
      </c>
      <c r="L503" s="211">
        <f t="shared" si="169"/>
        <v>2459.05</v>
      </c>
      <c r="M503" s="262">
        <f t="shared" si="169"/>
        <v>0</v>
      </c>
      <c r="N503" s="239">
        <f t="shared" si="169"/>
        <v>0</v>
      </c>
      <c r="O503" s="211">
        <f t="shared" si="169"/>
        <v>2459.05</v>
      </c>
      <c r="P503" s="105">
        <f t="shared" si="169"/>
        <v>0</v>
      </c>
      <c r="Q503" s="154">
        <f t="shared" si="169"/>
        <v>2459.05</v>
      </c>
    </row>
    <row r="504" spans="1:17" ht="12.75">
      <c r="A504" s="18" t="s">
        <v>26</v>
      </c>
      <c r="B504" s="57"/>
      <c r="C504" s="112"/>
      <c r="D504" s="102"/>
      <c r="E504" s="73"/>
      <c r="F504" s="190"/>
      <c r="G504" s="74"/>
      <c r="H504" s="235"/>
      <c r="I504" s="208"/>
      <c r="J504" s="257"/>
      <c r="K504" s="235"/>
      <c r="L504" s="208"/>
      <c r="M504" s="257"/>
      <c r="N504" s="235"/>
      <c r="O504" s="208"/>
      <c r="P504" s="292"/>
      <c r="Q504" s="167"/>
    </row>
    <row r="505" spans="1:17" ht="12.75">
      <c r="A505" s="126" t="s">
        <v>50</v>
      </c>
      <c r="B505" s="229"/>
      <c r="C505" s="181">
        <v>1</v>
      </c>
      <c r="D505" s="172">
        <f>2458.05</f>
        <v>2458.05</v>
      </c>
      <c r="E505" s="230"/>
      <c r="F505" s="195">
        <f>C505+D505+E505</f>
        <v>2459.05</v>
      </c>
      <c r="G505" s="226"/>
      <c r="H505" s="241"/>
      <c r="I505" s="213">
        <f>F505+G505+H505</f>
        <v>2459.05</v>
      </c>
      <c r="J505" s="264"/>
      <c r="K505" s="241"/>
      <c r="L505" s="213">
        <f>I505+J505+K505</f>
        <v>2459.05</v>
      </c>
      <c r="M505" s="264"/>
      <c r="N505" s="241"/>
      <c r="O505" s="213">
        <f>L505+M505+N505</f>
        <v>2459.05</v>
      </c>
      <c r="P505" s="295"/>
      <c r="Q505" s="168">
        <f>O505+P505</f>
        <v>2459.05</v>
      </c>
    </row>
    <row r="506" spans="1:17" ht="12.75">
      <c r="A506" s="13" t="s">
        <v>92</v>
      </c>
      <c r="B506" s="61"/>
      <c r="C506" s="111">
        <f>C508+C509</f>
        <v>666648</v>
      </c>
      <c r="D506" s="92">
        <f aca="true" t="shared" si="170" ref="D506:Q506">D508+D509</f>
        <v>773220.8600000001</v>
      </c>
      <c r="E506" s="72">
        <f t="shared" si="170"/>
        <v>0</v>
      </c>
      <c r="F506" s="189">
        <f t="shared" si="170"/>
        <v>1439868.8599999996</v>
      </c>
      <c r="G506" s="71">
        <f t="shared" si="170"/>
        <v>197285.56</v>
      </c>
      <c r="H506" s="234">
        <f t="shared" si="170"/>
        <v>0</v>
      </c>
      <c r="I506" s="207">
        <f t="shared" si="170"/>
        <v>1637154.42</v>
      </c>
      <c r="J506" s="256">
        <f t="shared" si="170"/>
        <v>54877.880000000005</v>
      </c>
      <c r="K506" s="234">
        <f t="shared" si="170"/>
        <v>0</v>
      </c>
      <c r="L506" s="207">
        <f t="shared" si="170"/>
        <v>1692032.2999999996</v>
      </c>
      <c r="M506" s="256">
        <f t="shared" si="170"/>
        <v>105117</v>
      </c>
      <c r="N506" s="234">
        <f t="shared" si="170"/>
        <v>0</v>
      </c>
      <c r="O506" s="207">
        <f t="shared" si="170"/>
        <v>1797149.2999999996</v>
      </c>
      <c r="P506" s="92">
        <f t="shared" si="170"/>
        <v>0</v>
      </c>
      <c r="Q506" s="150">
        <f t="shared" si="170"/>
        <v>1797149.2999999996</v>
      </c>
    </row>
    <row r="507" spans="1:17" ht="12.75">
      <c r="A507" s="15" t="s">
        <v>26</v>
      </c>
      <c r="B507" s="57"/>
      <c r="C507" s="111"/>
      <c r="D507" s="92"/>
      <c r="E507" s="72"/>
      <c r="F507" s="189"/>
      <c r="G507" s="71"/>
      <c r="H507" s="234"/>
      <c r="I507" s="207"/>
      <c r="J507" s="256"/>
      <c r="K507" s="234"/>
      <c r="L507" s="207"/>
      <c r="M507" s="256"/>
      <c r="N507" s="234"/>
      <c r="O507" s="207"/>
      <c r="P507" s="92"/>
      <c r="Q507" s="150"/>
    </row>
    <row r="508" spans="1:17" ht="12.75">
      <c r="A508" s="13" t="s">
        <v>48</v>
      </c>
      <c r="B508" s="61"/>
      <c r="C508" s="113">
        <f>C512+C519+C521+C533+C535+C540+C552+C536+C526+C554+C528+C558+C542</f>
        <v>38780</v>
      </c>
      <c r="D508" s="113">
        <f aca="true" t="shared" si="171" ref="D508:L508">D512+D519+D521+D533+D535+D540+D552+D536+D526+D554+D528+D558+D542</f>
        <v>78707.63</v>
      </c>
      <c r="E508" s="113">
        <f t="shared" si="171"/>
        <v>0</v>
      </c>
      <c r="F508" s="113">
        <f t="shared" si="171"/>
        <v>117487.62999999999</v>
      </c>
      <c r="G508" s="113">
        <f t="shared" si="171"/>
        <v>132348.46</v>
      </c>
      <c r="H508" s="113">
        <f t="shared" si="171"/>
        <v>0</v>
      </c>
      <c r="I508" s="113">
        <f t="shared" si="171"/>
        <v>249836.09</v>
      </c>
      <c r="J508" s="75">
        <f t="shared" si="171"/>
        <v>-29281.81</v>
      </c>
      <c r="K508" s="237">
        <f t="shared" si="171"/>
        <v>0</v>
      </c>
      <c r="L508" s="280">
        <f t="shared" si="171"/>
        <v>220554.28</v>
      </c>
      <c r="M508" s="259">
        <f>M512+M519+M521+M533+M535+M540+M552+M536+M526+M554+M528+M558</f>
        <v>8629.810000000001</v>
      </c>
      <c r="N508" s="237">
        <f>N512+N519+N521+N533+N535+N540+N552+N536+N526+N554+N528+N558</f>
        <v>0</v>
      </c>
      <c r="O508" s="209">
        <f>O512+O519+O521+O533+O535+O540+O552+O536+O526+O554+O528+O558</f>
        <v>229184.09</v>
      </c>
      <c r="P508" s="103">
        <f>P512+P519+P521+P533+P535+P540+P552+P536+P526+P554+P528+P558</f>
        <v>0</v>
      </c>
      <c r="Q508" s="152">
        <f>Q512+Q519+Q521+Q533+Q535+Q540+Q552+Q536+Q526+Q554+Q528+Q558</f>
        <v>229184.09</v>
      </c>
    </row>
    <row r="509" spans="1:17" ht="12.75">
      <c r="A509" s="13" t="s">
        <v>52</v>
      </c>
      <c r="B509" s="61"/>
      <c r="C509" s="113">
        <f>+C513+C514+C516+C517+C518+C522+C523+C525+C527+C529+C531+C532+C534+C537+C539+C541+C543+C545+C546+C548+C549+C551+C553+C555+C557</f>
        <v>627868</v>
      </c>
      <c r="D509" s="103">
        <f aca="true" t="shared" si="172" ref="D509:Q509">+D513+D514+D516+D517+D518+D522+D523+D525+D527+D529+D531+D532+D534+D537+D539+D541+D543+D545+D546+D548+D549+D551+D553+D555+D557</f>
        <v>694513.2300000001</v>
      </c>
      <c r="E509" s="76">
        <f t="shared" si="172"/>
        <v>0</v>
      </c>
      <c r="F509" s="191">
        <f t="shared" si="172"/>
        <v>1322381.2299999997</v>
      </c>
      <c r="G509" s="75">
        <f t="shared" si="172"/>
        <v>64937.100000000006</v>
      </c>
      <c r="H509" s="237">
        <f t="shared" si="172"/>
        <v>0</v>
      </c>
      <c r="I509" s="209">
        <f t="shared" si="172"/>
        <v>1387318.3299999998</v>
      </c>
      <c r="J509" s="259">
        <f t="shared" si="172"/>
        <v>84159.69</v>
      </c>
      <c r="K509" s="237">
        <f t="shared" si="172"/>
        <v>0</v>
      </c>
      <c r="L509" s="209">
        <f t="shared" si="172"/>
        <v>1471478.0199999996</v>
      </c>
      <c r="M509" s="259">
        <f t="shared" si="172"/>
        <v>96487.19</v>
      </c>
      <c r="N509" s="237">
        <f t="shared" si="172"/>
        <v>0</v>
      </c>
      <c r="O509" s="209">
        <f t="shared" si="172"/>
        <v>1567965.2099999995</v>
      </c>
      <c r="P509" s="103">
        <f t="shared" si="172"/>
        <v>0</v>
      </c>
      <c r="Q509" s="152">
        <f t="shared" si="172"/>
        <v>1567965.2099999995</v>
      </c>
    </row>
    <row r="510" spans="1:17" ht="12.75">
      <c r="A510" s="14" t="s">
        <v>93</v>
      </c>
      <c r="B510" s="57"/>
      <c r="C510" s="111"/>
      <c r="D510" s="92"/>
      <c r="E510" s="72"/>
      <c r="F510" s="189"/>
      <c r="G510" s="71"/>
      <c r="H510" s="234"/>
      <c r="I510" s="207"/>
      <c r="J510" s="256"/>
      <c r="K510" s="234"/>
      <c r="L510" s="207"/>
      <c r="M510" s="256"/>
      <c r="N510" s="234"/>
      <c r="O510" s="207"/>
      <c r="P510" s="292"/>
      <c r="Q510" s="167"/>
    </row>
    <row r="511" spans="1:17" ht="12.75">
      <c r="A511" s="58" t="s">
        <v>289</v>
      </c>
      <c r="B511" s="57"/>
      <c r="C511" s="112">
        <f>C512+C513+C514</f>
        <v>33977</v>
      </c>
      <c r="D511" s="102">
        <f aca="true" t="shared" si="173" ref="D511:Q511">D512+D513+D514</f>
        <v>28400.73</v>
      </c>
      <c r="E511" s="73">
        <f t="shared" si="173"/>
        <v>0</v>
      </c>
      <c r="F511" s="190">
        <f t="shared" si="173"/>
        <v>62377.729999999996</v>
      </c>
      <c r="G511" s="74">
        <f t="shared" si="173"/>
        <v>0</v>
      </c>
      <c r="H511" s="235">
        <f t="shared" si="173"/>
        <v>0</v>
      </c>
      <c r="I511" s="208">
        <f t="shared" si="173"/>
        <v>62377.729999999996</v>
      </c>
      <c r="J511" s="257">
        <f t="shared" si="173"/>
        <v>0</v>
      </c>
      <c r="K511" s="235">
        <f t="shared" si="173"/>
        <v>0</v>
      </c>
      <c r="L511" s="208">
        <f t="shared" si="173"/>
        <v>62377.729999999996</v>
      </c>
      <c r="M511" s="257">
        <f t="shared" si="173"/>
        <v>0</v>
      </c>
      <c r="N511" s="235">
        <f t="shared" si="173"/>
        <v>0</v>
      </c>
      <c r="O511" s="208">
        <f t="shared" si="173"/>
        <v>62377.729999999996</v>
      </c>
      <c r="P511" s="102">
        <f t="shared" si="173"/>
        <v>0</v>
      </c>
      <c r="Q511" s="151">
        <f t="shared" si="173"/>
        <v>62377.729999999996</v>
      </c>
    </row>
    <row r="512" spans="1:17" ht="12.75" hidden="1">
      <c r="A512" s="15" t="s">
        <v>101</v>
      </c>
      <c r="B512" s="57"/>
      <c r="C512" s="111"/>
      <c r="D512" s="92"/>
      <c r="E512" s="72"/>
      <c r="F512" s="190">
        <f>C512+D512+E512</f>
        <v>0</v>
      </c>
      <c r="G512" s="71"/>
      <c r="H512" s="234"/>
      <c r="I512" s="208">
        <f>F512+G512+H512</f>
        <v>0</v>
      </c>
      <c r="J512" s="256"/>
      <c r="K512" s="234"/>
      <c r="L512" s="208">
        <f>I512+J512+K512</f>
        <v>0</v>
      </c>
      <c r="M512" s="256"/>
      <c r="N512" s="234"/>
      <c r="O512" s="208">
        <f>L512+M512+N512</f>
        <v>0</v>
      </c>
      <c r="P512" s="292"/>
      <c r="Q512" s="167">
        <f>O512+P512</f>
        <v>0</v>
      </c>
    </row>
    <row r="513" spans="1:17" ht="12.75">
      <c r="A513" s="15" t="s">
        <v>95</v>
      </c>
      <c r="B513" s="57"/>
      <c r="C513" s="112">
        <v>33977</v>
      </c>
      <c r="D513" s="102">
        <f>17490.32+1634</f>
        <v>19124.32</v>
      </c>
      <c r="E513" s="72"/>
      <c r="F513" s="190">
        <f>C513+D513+E513</f>
        <v>53101.32</v>
      </c>
      <c r="G513" s="74">
        <f>700+2000</f>
        <v>2700</v>
      </c>
      <c r="H513" s="234"/>
      <c r="I513" s="208">
        <f>F513+G513+H513</f>
        <v>55801.32</v>
      </c>
      <c r="J513" s="256"/>
      <c r="K513" s="234"/>
      <c r="L513" s="208">
        <f>I513+J513+K513</f>
        <v>55801.32</v>
      </c>
      <c r="M513" s="256"/>
      <c r="N513" s="234"/>
      <c r="O513" s="208">
        <f>L513+M513+N513</f>
        <v>55801.32</v>
      </c>
      <c r="P513" s="292"/>
      <c r="Q513" s="167">
        <f>O513+P513</f>
        <v>55801.32</v>
      </c>
    </row>
    <row r="514" spans="1:17" ht="12.75">
      <c r="A514" s="15" t="s">
        <v>106</v>
      </c>
      <c r="B514" s="57"/>
      <c r="C514" s="111"/>
      <c r="D514" s="102">
        <f>10910.41-1634</f>
        <v>9276.41</v>
      </c>
      <c r="E514" s="72"/>
      <c r="F514" s="190">
        <f>C514+D514+E514</f>
        <v>9276.41</v>
      </c>
      <c r="G514" s="74">
        <f>-700-2000</f>
        <v>-2700</v>
      </c>
      <c r="H514" s="234"/>
      <c r="I514" s="208">
        <f>F514+G514+H514</f>
        <v>6576.41</v>
      </c>
      <c r="J514" s="256"/>
      <c r="K514" s="234"/>
      <c r="L514" s="208">
        <f>I514+J514+K514</f>
        <v>6576.41</v>
      </c>
      <c r="M514" s="256"/>
      <c r="N514" s="234"/>
      <c r="O514" s="208">
        <f>L514+M514+N514</f>
        <v>6576.41</v>
      </c>
      <c r="P514" s="292"/>
      <c r="Q514" s="167">
        <f>O514+P514</f>
        <v>6576.41</v>
      </c>
    </row>
    <row r="515" spans="1:17" ht="12.75">
      <c r="A515" s="15" t="s">
        <v>97</v>
      </c>
      <c r="B515" s="57">
        <v>10</v>
      </c>
      <c r="C515" s="112">
        <f>SUM(C516:C519)</f>
        <v>100000</v>
      </c>
      <c r="D515" s="102">
        <f aca="true" t="shared" si="174" ref="D515:Q515">SUM(D516:D519)</f>
        <v>346443.79</v>
      </c>
      <c r="E515" s="73">
        <f t="shared" si="174"/>
        <v>0</v>
      </c>
      <c r="F515" s="190">
        <f t="shared" si="174"/>
        <v>446443.79</v>
      </c>
      <c r="G515" s="74">
        <f t="shared" si="174"/>
        <v>0</v>
      </c>
      <c r="H515" s="235">
        <f t="shared" si="174"/>
        <v>0</v>
      </c>
      <c r="I515" s="208">
        <f t="shared" si="174"/>
        <v>446443.79000000004</v>
      </c>
      <c r="J515" s="257">
        <f t="shared" si="174"/>
        <v>0</v>
      </c>
      <c r="K515" s="235">
        <f t="shared" si="174"/>
        <v>0</v>
      </c>
      <c r="L515" s="208">
        <f t="shared" si="174"/>
        <v>446443.79000000004</v>
      </c>
      <c r="M515" s="257">
        <f t="shared" si="174"/>
        <v>0</v>
      </c>
      <c r="N515" s="235">
        <f t="shared" si="174"/>
        <v>0</v>
      </c>
      <c r="O515" s="208">
        <f t="shared" si="174"/>
        <v>446443.79000000004</v>
      </c>
      <c r="P515" s="102">
        <f t="shared" si="174"/>
        <v>0</v>
      </c>
      <c r="Q515" s="151">
        <f t="shared" si="174"/>
        <v>446443.79000000004</v>
      </c>
    </row>
    <row r="516" spans="1:17" ht="12.75" hidden="1">
      <c r="A516" s="15" t="s">
        <v>98</v>
      </c>
      <c r="B516" s="57"/>
      <c r="C516" s="112"/>
      <c r="D516" s="102"/>
      <c r="E516" s="73"/>
      <c r="F516" s="190">
        <f aca="true" t="shared" si="175" ref="F516:F561">C516+D516+E516</f>
        <v>0</v>
      </c>
      <c r="G516" s="74"/>
      <c r="H516" s="235"/>
      <c r="I516" s="208">
        <f>F516+G516+H516</f>
        <v>0</v>
      </c>
      <c r="J516" s="257"/>
      <c r="K516" s="235"/>
      <c r="L516" s="208">
        <f>I516+J516+K516</f>
        <v>0</v>
      </c>
      <c r="M516" s="257"/>
      <c r="N516" s="235"/>
      <c r="O516" s="208">
        <f>L516+M516+N516</f>
        <v>0</v>
      </c>
      <c r="P516" s="292"/>
      <c r="Q516" s="167">
        <f>O516+P516</f>
        <v>0</v>
      </c>
    </row>
    <row r="517" spans="1:17" ht="12.75">
      <c r="A517" s="58" t="s">
        <v>95</v>
      </c>
      <c r="B517" s="57"/>
      <c r="C517" s="112">
        <v>80000</v>
      </c>
      <c r="D517" s="142">
        <f>20000+1000+318000</f>
        <v>339000</v>
      </c>
      <c r="E517" s="84"/>
      <c r="F517" s="190">
        <f t="shared" si="175"/>
        <v>419000</v>
      </c>
      <c r="G517" s="74">
        <f>-150000</f>
        <v>-150000</v>
      </c>
      <c r="H517" s="235"/>
      <c r="I517" s="208">
        <f>F517+G517+H517</f>
        <v>269000</v>
      </c>
      <c r="J517" s="257">
        <f>30000</f>
        <v>30000</v>
      </c>
      <c r="K517" s="235"/>
      <c r="L517" s="208">
        <f>I517+J517+K517</f>
        <v>299000</v>
      </c>
      <c r="M517" s="257"/>
      <c r="N517" s="235"/>
      <c r="O517" s="208">
        <f>L517+M517+N517</f>
        <v>299000</v>
      </c>
      <c r="P517" s="292"/>
      <c r="Q517" s="167">
        <f>O517+P517</f>
        <v>299000</v>
      </c>
    </row>
    <row r="518" spans="1:17" ht="12.75">
      <c r="A518" s="15" t="s">
        <v>96</v>
      </c>
      <c r="B518" s="57"/>
      <c r="C518" s="112"/>
      <c r="D518" s="102">
        <f>755.69</f>
        <v>755.69</v>
      </c>
      <c r="E518" s="73"/>
      <c r="F518" s="190">
        <f t="shared" si="175"/>
        <v>755.69</v>
      </c>
      <c r="G518" s="74"/>
      <c r="H518" s="235"/>
      <c r="I518" s="208">
        <f>F518+G518+H518</f>
        <v>755.69</v>
      </c>
      <c r="J518" s="257"/>
      <c r="K518" s="235"/>
      <c r="L518" s="208">
        <f>I518+J518+K518</f>
        <v>755.69</v>
      </c>
      <c r="M518" s="257"/>
      <c r="N518" s="235"/>
      <c r="O518" s="208">
        <f>L518+M518+N518</f>
        <v>755.69</v>
      </c>
      <c r="P518" s="292"/>
      <c r="Q518" s="167">
        <f>O518+P518</f>
        <v>755.69</v>
      </c>
    </row>
    <row r="519" spans="1:17" ht="12.75">
      <c r="A519" s="16" t="s">
        <v>125</v>
      </c>
      <c r="B519" s="57"/>
      <c r="C519" s="112">
        <v>20000</v>
      </c>
      <c r="D519" s="171">
        <f>6688.1</f>
        <v>6688.1</v>
      </c>
      <c r="E519" s="73"/>
      <c r="F519" s="190">
        <f t="shared" si="175"/>
        <v>26688.1</v>
      </c>
      <c r="G519" s="74">
        <f>150000</f>
        <v>150000</v>
      </c>
      <c r="H519" s="235"/>
      <c r="I519" s="208">
        <f>F519+G519+H519</f>
        <v>176688.1</v>
      </c>
      <c r="J519" s="257">
        <f>-30000</f>
        <v>-30000</v>
      </c>
      <c r="K519" s="235"/>
      <c r="L519" s="208">
        <f>I519+J519+K519</f>
        <v>146688.1</v>
      </c>
      <c r="M519" s="257"/>
      <c r="N519" s="235"/>
      <c r="O519" s="208">
        <f>L519+M519+N519</f>
        <v>146688.1</v>
      </c>
      <c r="P519" s="292"/>
      <c r="Q519" s="167">
        <f>O519+P519</f>
        <v>146688.1</v>
      </c>
    </row>
    <row r="520" spans="1:17" ht="12.75">
      <c r="A520" s="15" t="s">
        <v>100</v>
      </c>
      <c r="B520" s="57">
        <v>12</v>
      </c>
      <c r="C520" s="112">
        <f aca="true" t="shared" si="176" ref="C520:Q520">C521+C522+C523</f>
        <v>19000</v>
      </c>
      <c r="D520" s="102">
        <f t="shared" si="176"/>
        <v>36129</v>
      </c>
      <c r="E520" s="73">
        <f t="shared" si="176"/>
        <v>0</v>
      </c>
      <c r="F520" s="190">
        <f t="shared" si="176"/>
        <v>55129.00000000001</v>
      </c>
      <c r="G520" s="74">
        <f t="shared" si="176"/>
        <v>-18820</v>
      </c>
      <c r="H520" s="235">
        <f t="shared" si="176"/>
        <v>0</v>
      </c>
      <c r="I520" s="208">
        <f t="shared" si="176"/>
        <v>36309.00000000001</v>
      </c>
      <c r="J520" s="257">
        <f t="shared" si="176"/>
        <v>0</v>
      </c>
      <c r="K520" s="235">
        <f t="shared" si="176"/>
        <v>0</v>
      </c>
      <c r="L520" s="208">
        <f t="shared" si="176"/>
        <v>36309.00000000001</v>
      </c>
      <c r="M520" s="257">
        <f t="shared" si="176"/>
        <v>0</v>
      </c>
      <c r="N520" s="235">
        <f t="shared" si="176"/>
        <v>0</v>
      </c>
      <c r="O520" s="208">
        <f t="shared" si="176"/>
        <v>36309.00000000001</v>
      </c>
      <c r="P520" s="102">
        <f t="shared" si="176"/>
        <v>0</v>
      </c>
      <c r="Q520" s="151">
        <f t="shared" si="176"/>
        <v>36309.00000000001</v>
      </c>
    </row>
    <row r="521" spans="1:17" ht="12.75">
      <c r="A521" s="15" t="s">
        <v>101</v>
      </c>
      <c r="B521" s="57"/>
      <c r="C521" s="112">
        <v>5500</v>
      </c>
      <c r="D521" s="102">
        <f>24956.38</f>
        <v>24956.38</v>
      </c>
      <c r="E521" s="73"/>
      <c r="F521" s="190">
        <f t="shared" si="175"/>
        <v>30456.38</v>
      </c>
      <c r="G521" s="74">
        <f>-5200</f>
        <v>-5200</v>
      </c>
      <c r="H521" s="235"/>
      <c r="I521" s="208">
        <f>F521+G521+H521</f>
        <v>25256.38</v>
      </c>
      <c r="J521" s="257">
        <f>-500</f>
        <v>-500</v>
      </c>
      <c r="K521" s="235"/>
      <c r="L521" s="208">
        <f>I521+J521+K521</f>
        <v>24756.38</v>
      </c>
      <c r="M521" s="257">
        <f>-2500</f>
        <v>-2500</v>
      </c>
      <c r="N521" s="235"/>
      <c r="O521" s="208">
        <f>L521+M521+N521</f>
        <v>22256.38</v>
      </c>
      <c r="P521" s="292"/>
      <c r="Q521" s="167">
        <f>O521+P521</f>
        <v>22256.38</v>
      </c>
    </row>
    <row r="522" spans="1:17" ht="12.75">
      <c r="A522" s="15" t="s">
        <v>99</v>
      </c>
      <c r="B522" s="57"/>
      <c r="C522" s="112">
        <v>13500</v>
      </c>
      <c r="D522" s="102">
        <f>10143.19</f>
        <v>10143.19</v>
      </c>
      <c r="E522" s="73"/>
      <c r="F522" s="190">
        <f t="shared" si="175"/>
        <v>23643.190000000002</v>
      </c>
      <c r="G522" s="74">
        <f>-13120</f>
        <v>-13120</v>
      </c>
      <c r="H522" s="235"/>
      <c r="I522" s="208">
        <f>F522+G522+H522</f>
        <v>10523.190000000002</v>
      </c>
      <c r="J522" s="257">
        <f>1000</f>
        <v>1000</v>
      </c>
      <c r="K522" s="235"/>
      <c r="L522" s="208">
        <f>I522+J522+K522</f>
        <v>11523.190000000002</v>
      </c>
      <c r="M522" s="257">
        <f>2500</f>
        <v>2500</v>
      </c>
      <c r="N522" s="235"/>
      <c r="O522" s="208">
        <f>L522+M522+N522</f>
        <v>14023.190000000002</v>
      </c>
      <c r="P522" s="292"/>
      <c r="Q522" s="167">
        <f>O522+P522</f>
        <v>14023.190000000002</v>
      </c>
    </row>
    <row r="523" spans="1:17" ht="12.75" customHeight="1">
      <c r="A523" s="15" t="s">
        <v>96</v>
      </c>
      <c r="B523" s="57"/>
      <c r="C523" s="112"/>
      <c r="D523" s="102">
        <f>1029.43</f>
        <v>1029.43</v>
      </c>
      <c r="E523" s="73"/>
      <c r="F523" s="190">
        <f t="shared" si="175"/>
        <v>1029.43</v>
      </c>
      <c r="G523" s="74">
        <f>-500</f>
        <v>-500</v>
      </c>
      <c r="H523" s="235"/>
      <c r="I523" s="208">
        <f>F523+G523+H523</f>
        <v>529.4300000000001</v>
      </c>
      <c r="J523" s="257">
        <f>-500</f>
        <v>-500</v>
      </c>
      <c r="K523" s="235"/>
      <c r="L523" s="208">
        <f>I523+J523+K523</f>
        <v>29.430000000000064</v>
      </c>
      <c r="M523" s="257"/>
      <c r="N523" s="235"/>
      <c r="O523" s="208">
        <f>L523+M523+N523</f>
        <v>29.430000000000064</v>
      </c>
      <c r="P523" s="292"/>
      <c r="Q523" s="167">
        <f>O523+P523</f>
        <v>29.430000000000064</v>
      </c>
    </row>
    <row r="524" spans="1:17" ht="12.75">
      <c r="A524" s="15" t="s">
        <v>102</v>
      </c>
      <c r="B524" s="57">
        <v>14</v>
      </c>
      <c r="C524" s="112">
        <f>SUM(C525:C529)</f>
        <v>95000</v>
      </c>
      <c r="D524" s="102">
        <f aca="true" t="shared" si="177" ref="D524:Q524">SUM(D525:D529)</f>
        <v>152400</v>
      </c>
      <c r="E524" s="73">
        <f t="shared" si="177"/>
        <v>0</v>
      </c>
      <c r="F524" s="190">
        <f t="shared" si="177"/>
        <v>247400</v>
      </c>
      <c r="G524" s="74">
        <f t="shared" si="177"/>
        <v>40959.5</v>
      </c>
      <c r="H524" s="235">
        <f t="shared" si="177"/>
        <v>0</v>
      </c>
      <c r="I524" s="208">
        <f t="shared" si="177"/>
        <v>288359.5</v>
      </c>
      <c r="J524" s="257">
        <f t="shared" si="177"/>
        <v>15852.68</v>
      </c>
      <c r="K524" s="235">
        <f t="shared" si="177"/>
        <v>0</v>
      </c>
      <c r="L524" s="208">
        <f t="shared" si="177"/>
        <v>304212.18000000005</v>
      </c>
      <c r="M524" s="257">
        <f t="shared" si="177"/>
        <v>14817</v>
      </c>
      <c r="N524" s="235">
        <f t="shared" si="177"/>
        <v>0</v>
      </c>
      <c r="O524" s="208">
        <f t="shared" si="177"/>
        <v>319029.18000000005</v>
      </c>
      <c r="P524" s="102">
        <f t="shared" si="177"/>
        <v>0</v>
      </c>
      <c r="Q524" s="151">
        <f t="shared" si="177"/>
        <v>319029.18000000005</v>
      </c>
    </row>
    <row r="525" spans="1:17" ht="12.75">
      <c r="A525" s="15" t="s">
        <v>103</v>
      </c>
      <c r="B525" s="57"/>
      <c r="C525" s="112">
        <v>79500</v>
      </c>
      <c r="D525" s="142">
        <f>29774+700+3850+400+27800</f>
        <v>62524</v>
      </c>
      <c r="E525" s="84"/>
      <c r="F525" s="190">
        <f t="shared" si="175"/>
        <v>142024</v>
      </c>
      <c r="G525" s="74">
        <f>-225+7610+987.7+339.5+4000+4180+9800</f>
        <v>26692.2</v>
      </c>
      <c r="H525" s="235"/>
      <c r="I525" s="208">
        <f>F525+G525+H525</f>
        <v>168716.2</v>
      </c>
      <c r="J525" s="257">
        <f>396-270+7175.11+2203.81+695.88+7000</f>
        <v>17200.8</v>
      </c>
      <c r="K525" s="235"/>
      <c r="L525" s="208">
        <f>I525+J525+K525</f>
        <v>185917</v>
      </c>
      <c r="M525" s="257">
        <f>-1040+8266-4538.81</f>
        <v>2687.1899999999996</v>
      </c>
      <c r="N525" s="235"/>
      <c r="O525" s="208">
        <f>L525+M525+N525</f>
        <v>188604.19</v>
      </c>
      <c r="P525" s="292"/>
      <c r="Q525" s="167">
        <f aca="true" t="shared" si="178" ref="Q525:Q572">O525+P525</f>
        <v>188604.19</v>
      </c>
    </row>
    <row r="526" spans="1:17" ht="12.75">
      <c r="A526" s="15" t="s">
        <v>104</v>
      </c>
      <c r="B526" s="57"/>
      <c r="C526" s="112">
        <v>10500</v>
      </c>
      <c r="D526" s="102">
        <f>15699+1700</f>
        <v>17399</v>
      </c>
      <c r="E526" s="73"/>
      <c r="F526" s="190">
        <f t="shared" si="175"/>
        <v>27899</v>
      </c>
      <c r="G526" s="74">
        <f>305+490-987.7+820-10030.9</f>
        <v>-9403.6</v>
      </c>
      <c r="H526" s="235"/>
      <c r="I526" s="208">
        <f>F526+G526+H526</f>
        <v>18495.4</v>
      </c>
      <c r="J526" s="257">
        <f>452+270-2203.81</f>
        <v>-1481.81</v>
      </c>
      <c r="K526" s="235"/>
      <c r="L526" s="208">
        <f>I526+J526+K526</f>
        <v>17013.59</v>
      </c>
      <c r="M526" s="257">
        <f>1040+3734+6538.81</f>
        <v>11312.810000000001</v>
      </c>
      <c r="N526" s="235"/>
      <c r="O526" s="208">
        <f>L526+M526+N526</f>
        <v>28326.4</v>
      </c>
      <c r="P526" s="292"/>
      <c r="Q526" s="167">
        <f t="shared" si="178"/>
        <v>28326.4</v>
      </c>
    </row>
    <row r="527" spans="1:17" ht="13.5" customHeight="1">
      <c r="A527" s="15" t="s">
        <v>105</v>
      </c>
      <c r="B527" s="57"/>
      <c r="C527" s="112"/>
      <c r="D527" s="102">
        <f>53033+500+15000</f>
        <v>68533</v>
      </c>
      <c r="E527" s="73"/>
      <c r="F527" s="190">
        <f t="shared" si="175"/>
        <v>68533</v>
      </c>
      <c r="G527" s="74">
        <f>-4000+13120+7000+11500</f>
        <v>27620</v>
      </c>
      <c r="H527" s="235"/>
      <c r="I527" s="208">
        <f>F527+G527+H527</f>
        <v>96153</v>
      </c>
      <c r="J527" s="281">
        <f>-848+981.69</f>
        <v>133.69000000000005</v>
      </c>
      <c r="K527" s="235"/>
      <c r="L527" s="208">
        <f>I527+J527+K527</f>
        <v>96286.69</v>
      </c>
      <c r="M527" s="257"/>
      <c r="N527" s="235"/>
      <c r="O527" s="208">
        <f>L527+M527+N527</f>
        <v>96286.69</v>
      </c>
      <c r="P527" s="292"/>
      <c r="Q527" s="167">
        <f t="shared" si="178"/>
        <v>96286.69</v>
      </c>
    </row>
    <row r="528" spans="1:17" ht="13.5" customHeight="1">
      <c r="A528" s="16" t="s">
        <v>125</v>
      </c>
      <c r="B528" s="57"/>
      <c r="C528" s="112"/>
      <c r="D528" s="102">
        <f>8944</f>
        <v>8944</v>
      </c>
      <c r="E528" s="73"/>
      <c r="F528" s="190">
        <f t="shared" si="175"/>
        <v>8944</v>
      </c>
      <c r="G528" s="74">
        <f>-80-4100+230.9</f>
        <v>-3949.1</v>
      </c>
      <c r="H528" s="235"/>
      <c r="I528" s="208">
        <f>F528+G528+H528</f>
        <v>4994.9</v>
      </c>
      <c r="J528" s="257"/>
      <c r="K528" s="235"/>
      <c r="L528" s="208">
        <f>I528+J528+K528</f>
        <v>4994.9</v>
      </c>
      <c r="M528" s="257">
        <f>2817-300-1700</f>
        <v>817</v>
      </c>
      <c r="N528" s="235"/>
      <c r="O528" s="208">
        <f>L528+M528+N528</f>
        <v>5811.9</v>
      </c>
      <c r="P528" s="292"/>
      <c r="Q528" s="167">
        <f t="shared" si="178"/>
        <v>5811.9</v>
      </c>
    </row>
    <row r="529" spans="1:17" ht="12.75">
      <c r="A529" s="15" t="s">
        <v>106</v>
      </c>
      <c r="B529" s="57"/>
      <c r="C529" s="112">
        <v>5000</v>
      </c>
      <c r="D529" s="102">
        <f>-5000</f>
        <v>-5000</v>
      </c>
      <c r="E529" s="73"/>
      <c r="F529" s="190">
        <f t="shared" si="175"/>
        <v>0</v>
      </c>
      <c r="G529" s="74"/>
      <c r="H529" s="235"/>
      <c r="I529" s="208">
        <f>F529+G529+H529</f>
        <v>0</v>
      </c>
      <c r="J529" s="257"/>
      <c r="K529" s="235"/>
      <c r="L529" s="208">
        <f>I529+J529+K529</f>
        <v>0</v>
      </c>
      <c r="M529" s="257"/>
      <c r="N529" s="235"/>
      <c r="O529" s="208">
        <f>L529+M529+N529</f>
        <v>0</v>
      </c>
      <c r="P529" s="292"/>
      <c r="Q529" s="167">
        <f t="shared" si="178"/>
        <v>0</v>
      </c>
    </row>
    <row r="530" spans="1:17" ht="12.75">
      <c r="A530" s="15" t="s">
        <v>107</v>
      </c>
      <c r="B530" s="57">
        <v>15</v>
      </c>
      <c r="C530" s="112">
        <f>SUM(C531:C537)</f>
        <v>50000</v>
      </c>
      <c r="D530" s="102">
        <f aca="true" t="shared" si="179" ref="D530:Q530">SUM(D531:D537)</f>
        <v>436122.12</v>
      </c>
      <c r="E530" s="73">
        <f t="shared" si="179"/>
        <v>0</v>
      </c>
      <c r="F530" s="190">
        <f t="shared" si="179"/>
        <v>486122.12</v>
      </c>
      <c r="G530" s="74">
        <f t="shared" si="179"/>
        <v>189616</v>
      </c>
      <c r="H530" s="235">
        <f t="shared" si="179"/>
        <v>0</v>
      </c>
      <c r="I530" s="208">
        <f t="shared" si="179"/>
        <v>675738.12</v>
      </c>
      <c r="J530" s="257">
        <f t="shared" si="179"/>
        <v>71241.5</v>
      </c>
      <c r="K530" s="235">
        <f t="shared" si="179"/>
        <v>0</v>
      </c>
      <c r="L530" s="208">
        <f t="shared" si="179"/>
        <v>746979.62</v>
      </c>
      <c r="M530" s="257">
        <f t="shared" si="179"/>
        <v>93000</v>
      </c>
      <c r="N530" s="235">
        <f t="shared" si="179"/>
        <v>0</v>
      </c>
      <c r="O530" s="208">
        <f t="shared" si="179"/>
        <v>839979.62</v>
      </c>
      <c r="P530" s="102">
        <f t="shared" si="179"/>
        <v>0</v>
      </c>
      <c r="Q530" s="151">
        <f t="shared" si="179"/>
        <v>839979.62</v>
      </c>
    </row>
    <row r="531" spans="1:17" ht="12.75">
      <c r="A531" s="15" t="s">
        <v>108</v>
      </c>
      <c r="B531" s="57"/>
      <c r="C531" s="112">
        <v>16340</v>
      </c>
      <c r="D531" s="102">
        <f>51487.06+221833+70000-605+42427</f>
        <v>385142.06</v>
      </c>
      <c r="E531" s="73"/>
      <c r="F531" s="190">
        <f t="shared" si="175"/>
        <v>401482.06</v>
      </c>
      <c r="G531" s="74">
        <f>750+70000+500+122500+3178.9</f>
        <v>196928.9</v>
      </c>
      <c r="H531" s="235"/>
      <c r="I531" s="208">
        <f aca="true" t="shared" si="180" ref="I531:I537">F531+G531+H531</f>
        <v>598410.96</v>
      </c>
      <c r="J531" s="257">
        <f>50+10791.5+30000+27800</f>
        <v>68641.5</v>
      </c>
      <c r="K531" s="235"/>
      <c r="L531" s="208">
        <f aca="true" t="shared" si="181" ref="L531:L537">I531+J531+K531</f>
        <v>667052.46</v>
      </c>
      <c r="M531" s="257">
        <f>1000+7300+20000+3000+60000-900+700</f>
        <v>91100</v>
      </c>
      <c r="N531" s="235"/>
      <c r="O531" s="208">
        <f aca="true" t="shared" si="182" ref="O531:O537">L531+M531+N531</f>
        <v>758152.46</v>
      </c>
      <c r="P531" s="292"/>
      <c r="Q531" s="167">
        <f t="shared" si="178"/>
        <v>758152.46</v>
      </c>
    </row>
    <row r="532" spans="1:17" ht="12.75" hidden="1">
      <c r="A532" s="15" t="s">
        <v>109</v>
      </c>
      <c r="B532" s="57"/>
      <c r="C532" s="112"/>
      <c r="D532" s="102"/>
      <c r="E532" s="73"/>
      <c r="F532" s="190">
        <f t="shared" si="175"/>
        <v>0</v>
      </c>
      <c r="G532" s="74"/>
      <c r="H532" s="235"/>
      <c r="I532" s="208">
        <f t="shared" si="180"/>
        <v>0</v>
      </c>
      <c r="J532" s="257"/>
      <c r="K532" s="235"/>
      <c r="L532" s="208">
        <f t="shared" si="181"/>
        <v>0</v>
      </c>
      <c r="M532" s="257"/>
      <c r="N532" s="235"/>
      <c r="O532" s="208">
        <f t="shared" si="182"/>
        <v>0</v>
      </c>
      <c r="P532" s="292"/>
      <c r="Q532" s="167">
        <f t="shared" si="178"/>
        <v>0</v>
      </c>
    </row>
    <row r="533" spans="1:17" ht="12.75" hidden="1">
      <c r="A533" s="15" t="s">
        <v>110</v>
      </c>
      <c r="B533" s="57"/>
      <c r="C533" s="112"/>
      <c r="D533" s="142"/>
      <c r="E533" s="84"/>
      <c r="F533" s="190">
        <f t="shared" si="175"/>
        <v>0</v>
      </c>
      <c r="G533" s="74"/>
      <c r="H533" s="235"/>
      <c r="I533" s="208">
        <f t="shared" si="180"/>
        <v>0</v>
      </c>
      <c r="J533" s="257"/>
      <c r="K533" s="235"/>
      <c r="L533" s="208">
        <f t="shared" si="181"/>
        <v>0</v>
      </c>
      <c r="M533" s="257"/>
      <c r="N533" s="235"/>
      <c r="O533" s="208">
        <f t="shared" si="182"/>
        <v>0</v>
      </c>
      <c r="P533" s="292"/>
      <c r="Q533" s="167">
        <f t="shared" si="178"/>
        <v>0</v>
      </c>
    </row>
    <row r="534" spans="1:17" ht="12.75">
      <c r="A534" s="15" t="s">
        <v>111</v>
      </c>
      <c r="B534" s="57"/>
      <c r="C534" s="112">
        <v>30396</v>
      </c>
      <c r="D534" s="102">
        <f>37957.66</f>
        <v>37957.66</v>
      </c>
      <c r="E534" s="73"/>
      <c r="F534" s="190">
        <f t="shared" si="175"/>
        <v>68353.66</v>
      </c>
      <c r="G534" s="74">
        <f>-5684</f>
        <v>-5684</v>
      </c>
      <c r="H534" s="235"/>
      <c r="I534" s="208">
        <f t="shared" si="180"/>
        <v>62669.66</v>
      </c>
      <c r="J534" s="257"/>
      <c r="K534" s="235"/>
      <c r="L534" s="208">
        <f t="shared" si="181"/>
        <v>62669.66</v>
      </c>
      <c r="M534" s="257"/>
      <c r="N534" s="235"/>
      <c r="O534" s="208">
        <f t="shared" si="182"/>
        <v>62669.66</v>
      </c>
      <c r="P534" s="292"/>
      <c r="Q534" s="167">
        <f t="shared" si="178"/>
        <v>62669.66</v>
      </c>
    </row>
    <row r="535" spans="1:17" ht="12.75">
      <c r="A535" s="15" t="s">
        <v>112</v>
      </c>
      <c r="B535" s="57"/>
      <c r="C535" s="112">
        <v>1979</v>
      </c>
      <c r="D535" s="102">
        <f>401.5</f>
        <v>401.5</v>
      </c>
      <c r="E535" s="73"/>
      <c r="F535" s="190">
        <f t="shared" si="175"/>
        <v>2380.5</v>
      </c>
      <c r="G535" s="74"/>
      <c r="H535" s="235"/>
      <c r="I535" s="208">
        <f t="shared" si="180"/>
        <v>2380.5</v>
      </c>
      <c r="J535" s="260"/>
      <c r="K535" s="235"/>
      <c r="L535" s="208">
        <f t="shared" si="181"/>
        <v>2380.5</v>
      </c>
      <c r="M535" s="257"/>
      <c r="N535" s="235"/>
      <c r="O535" s="208">
        <f t="shared" si="182"/>
        <v>2380.5</v>
      </c>
      <c r="P535" s="292"/>
      <c r="Q535" s="167">
        <f t="shared" si="178"/>
        <v>2380.5</v>
      </c>
    </row>
    <row r="536" spans="1:17" ht="12.75">
      <c r="A536" s="15" t="s">
        <v>113</v>
      </c>
      <c r="B536" s="57"/>
      <c r="C536" s="112"/>
      <c r="D536" s="102">
        <f>4473.9+8167+605</f>
        <v>13245.9</v>
      </c>
      <c r="E536" s="73"/>
      <c r="F536" s="190">
        <f t="shared" si="175"/>
        <v>13245.9</v>
      </c>
      <c r="G536" s="74">
        <f>550+1000-3178.9</f>
        <v>-1628.9</v>
      </c>
      <c r="H536" s="235"/>
      <c r="I536" s="208">
        <f t="shared" si="180"/>
        <v>11617</v>
      </c>
      <c r="J536" s="257">
        <f>50+2650</f>
        <v>2700</v>
      </c>
      <c r="K536" s="235"/>
      <c r="L536" s="208">
        <f t="shared" si="181"/>
        <v>14317</v>
      </c>
      <c r="M536" s="257">
        <f>1900</f>
        <v>1900</v>
      </c>
      <c r="N536" s="235"/>
      <c r="O536" s="208">
        <f t="shared" si="182"/>
        <v>16217</v>
      </c>
      <c r="P536" s="292"/>
      <c r="Q536" s="167">
        <f t="shared" si="178"/>
        <v>16217</v>
      </c>
    </row>
    <row r="537" spans="1:17" ht="12.75">
      <c r="A537" s="15" t="s">
        <v>106</v>
      </c>
      <c r="B537" s="57"/>
      <c r="C537" s="112">
        <v>1285</v>
      </c>
      <c r="D537" s="102">
        <f>-625</f>
        <v>-625</v>
      </c>
      <c r="E537" s="73"/>
      <c r="F537" s="190">
        <f t="shared" si="175"/>
        <v>660</v>
      </c>
      <c r="G537" s="74"/>
      <c r="H537" s="235"/>
      <c r="I537" s="208">
        <f t="shared" si="180"/>
        <v>660</v>
      </c>
      <c r="J537" s="257">
        <f>-100</f>
        <v>-100</v>
      </c>
      <c r="K537" s="235"/>
      <c r="L537" s="208">
        <f t="shared" si="181"/>
        <v>560</v>
      </c>
      <c r="M537" s="257"/>
      <c r="N537" s="235"/>
      <c r="O537" s="208">
        <f t="shared" si="182"/>
        <v>560</v>
      </c>
      <c r="P537" s="292"/>
      <c r="Q537" s="167">
        <f t="shared" si="178"/>
        <v>560</v>
      </c>
    </row>
    <row r="538" spans="1:17" ht="12.75">
      <c r="A538" s="15" t="s">
        <v>114</v>
      </c>
      <c r="B538" s="57">
        <v>16</v>
      </c>
      <c r="C538" s="112">
        <f>SUM(C539:C543)</f>
        <v>5000</v>
      </c>
      <c r="D538" s="102">
        <f aca="true" t="shared" si="183" ref="D538:Q538">SUM(D539:D543)</f>
        <v>4013.59</v>
      </c>
      <c r="E538" s="73">
        <f t="shared" si="183"/>
        <v>0</v>
      </c>
      <c r="F538" s="190">
        <f t="shared" si="183"/>
        <v>9013.59</v>
      </c>
      <c r="G538" s="74">
        <f t="shared" si="183"/>
        <v>0</v>
      </c>
      <c r="H538" s="235">
        <f t="shared" si="183"/>
        <v>0</v>
      </c>
      <c r="I538" s="208">
        <f t="shared" si="183"/>
        <v>9013.59</v>
      </c>
      <c r="J538" s="257">
        <f t="shared" si="183"/>
        <v>3250</v>
      </c>
      <c r="K538" s="235">
        <f t="shared" si="183"/>
        <v>0</v>
      </c>
      <c r="L538" s="208">
        <f t="shared" si="183"/>
        <v>12263.59</v>
      </c>
      <c r="M538" s="257">
        <f t="shared" si="183"/>
        <v>0</v>
      </c>
      <c r="N538" s="235">
        <f t="shared" si="183"/>
        <v>0</v>
      </c>
      <c r="O538" s="208">
        <f t="shared" si="183"/>
        <v>12263.59</v>
      </c>
      <c r="P538" s="102">
        <f t="shared" si="183"/>
        <v>0</v>
      </c>
      <c r="Q538" s="151">
        <f t="shared" si="183"/>
        <v>12263.59</v>
      </c>
    </row>
    <row r="539" spans="1:17" ht="12.75">
      <c r="A539" s="15" t="s">
        <v>103</v>
      </c>
      <c r="B539" s="57"/>
      <c r="C539" s="112">
        <v>4927</v>
      </c>
      <c r="D539" s="102">
        <f>60+350+900</f>
        <v>1310</v>
      </c>
      <c r="E539" s="73"/>
      <c r="F539" s="190">
        <f t="shared" si="175"/>
        <v>6237</v>
      </c>
      <c r="G539" s="74">
        <f>-764.4</f>
        <v>-764.4</v>
      </c>
      <c r="H539" s="235"/>
      <c r="I539" s="208">
        <f>F539+G539+H539</f>
        <v>5472.6</v>
      </c>
      <c r="J539" s="257">
        <f>-24.2</f>
        <v>-24.2</v>
      </c>
      <c r="K539" s="235"/>
      <c r="L539" s="208">
        <f>I539+J539+K539</f>
        <v>5448.400000000001</v>
      </c>
      <c r="M539" s="257"/>
      <c r="N539" s="235"/>
      <c r="O539" s="208">
        <f>L539+M539+N539</f>
        <v>5448.400000000001</v>
      </c>
      <c r="P539" s="292"/>
      <c r="Q539" s="167">
        <f t="shared" si="178"/>
        <v>5448.400000000001</v>
      </c>
    </row>
    <row r="540" spans="1:17" ht="12.75">
      <c r="A540" s="15" t="s">
        <v>104</v>
      </c>
      <c r="B540" s="57"/>
      <c r="C540" s="112"/>
      <c r="D540" s="102">
        <f>200+350</f>
        <v>550</v>
      </c>
      <c r="E540" s="73"/>
      <c r="F540" s="190">
        <f t="shared" si="175"/>
        <v>550</v>
      </c>
      <c r="G540" s="74"/>
      <c r="H540" s="235"/>
      <c r="I540" s="208">
        <f>F540+G540+H540</f>
        <v>550</v>
      </c>
      <c r="J540" s="257">
        <f>750</f>
        <v>750</v>
      </c>
      <c r="K540" s="235"/>
      <c r="L540" s="208">
        <f>I540+J540+K540</f>
        <v>1300</v>
      </c>
      <c r="M540" s="257"/>
      <c r="N540" s="235"/>
      <c r="O540" s="208">
        <f>L540+M540+N540</f>
        <v>1300</v>
      </c>
      <c r="P540" s="292"/>
      <c r="Q540" s="167">
        <f t="shared" si="178"/>
        <v>1300</v>
      </c>
    </row>
    <row r="541" spans="1:17" ht="12.75">
      <c r="A541" s="15" t="s">
        <v>105</v>
      </c>
      <c r="B541" s="57"/>
      <c r="C541" s="112"/>
      <c r="D541" s="102">
        <f>1959.44+100</f>
        <v>2059.44</v>
      </c>
      <c r="E541" s="73"/>
      <c r="F541" s="190">
        <f t="shared" si="175"/>
        <v>2059.44</v>
      </c>
      <c r="G541" s="74">
        <f>50+864.4</f>
        <v>914.4</v>
      </c>
      <c r="H541" s="235"/>
      <c r="I541" s="208">
        <f>F541+G541+H541</f>
        <v>2973.84</v>
      </c>
      <c r="J541" s="257">
        <f>24.2+2500</f>
        <v>2524.2</v>
      </c>
      <c r="K541" s="235"/>
      <c r="L541" s="208">
        <f>I541+J541+K541</f>
        <v>5498.04</v>
      </c>
      <c r="M541" s="257"/>
      <c r="N541" s="235"/>
      <c r="O541" s="208">
        <f>L541+M541+N541</f>
        <v>5498.04</v>
      </c>
      <c r="P541" s="292"/>
      <c r="Q541" s="167">
        <f t="shared" si="178"/>
        <v>5498.04</v>
      </c>
    </row>
    <row r="542" spans="1:17" ht="12.75" hidden="1">
      <c r="A542" s="15" t="s">
        <v>113</v>
      </c>
      <c r="B542" s="57"/>
      <c r="C542" s="112"/>
      <c r="D542" s="102"/>
      <c r="E542" s="73"/>
      <c r="F542" s="190"/>
      <c r="G542" s="74"/>
      <c r="H542" s="235"/>
      <c r="I542" s="208">
        <f>F542+G542+H542</f>
        <v>0</v>
      </c>
      <c r="J542" s="260"/>
      <c r="K542" s="235"/>
      <c r="L542" s="208">
        <f>I542+J542+K542</f>
        <v>0</v>
      </c>
      <c r="M542" s="257"/>
      <c r="N542" s="235"/>
      <c r="O542" s="208">
        <f>L542+M542+N542</f>
        <v>0</v>
      </c>
      <c r="P542" s="292"/>
      <c r="Q542" s="167"/>
    </row>
    <row r="543" spans="1:17" ht="12.75">
      <c r="A543" s="15" t="s">
        <v>106</v>
      </c>
      <c r="B543" s="57"/>
      <c r="C543" s="112">
        <v>73</v>
      </c>
      <c r="D543" s="102">
        <f>794.15-700</f>
        <v>94.14999999999998</v>
      </c>
      <c r="E543" s="73"/>
      <c r="F543" s="190">
        <f t="shared" si="175"/>
        <v>167.14999999999998</v>
      </c>
      <c r="G543" s="74">
        <f>-50-100</f>
        <v>-150</v>
      </c>
      <c r="H543" s="235"/>
      <c r="I543" s="208">
        <f>F543+G543+H543</f>
        <v>17.149999999999977</v>
      </c>
      <c r="J543" s="257"/>
      <c r="K543" s="235"/>
      <c r="L543" s="208">
        <f>I543+J543+K543</f>
        <v>17.149999999999977</v>
      </c>
      <c r="M543" s="257"/>
      <c r="N543" s="235"/>
      <c r="O543" s="208">
        <f>L543+M543+N543</f>
        <v>17.149999999999977</v>
      </c>
      <c r="P543" s="292"/>
      <c r="Q543" s="167">
        <f t="shared" si="178"/>
        <v>17.149999999999977</v>
      </c>
    </row>
    <row r="544" spans="1:17" ht="12.75">
      <c r="A544" s="15" t="s">
        <v>94</v>
      </c>
      <c r="B544" s="57">
        <v>18</v>
      </c>
      <c r="C544" s="112">
        <f>C545+C546</f>
        <v>1670</v>
      </c>
      <c r="D544" s="102">
        <f aca="true" t="shared" si="184" ref="D544:Q544">D545+D546</f>
        <v>417.88</v>
      </c>
      <c r="E544" s="73">
        <f t="shared" si="184"/>
        <v>0</v>
      </c>
      <c r="F544" s="190">
        <f t="shared" si="184"/>
        <v>2087.88</v>
      </c>
      <c r="G544" s="74">
        <f t="shared" si="184"/>
        <v>0</v>
      </c>
      <c r="H544" s="235">
        <f t="shared" si="184"/>
        <v>0</v>
      </c>
      <c r="I544" s="208">
        <f t="shared" si="184"/>
        <v>2087.88</v>
      </c>
      <c r="J544" s="257">
        <f t="shared" si="184"/>
        <v>0</v>
      </c>
      <c r="K544" s="235">
        <f t="shared" si="184"/>
        <v>0</v>
      </c>
      <c r="L544" s="208">
        <f t="shared" si="184"/>
        <v>2087.88</v>
      </c>
      <c r="M544" s="257">
        <f t="shared" si="184"/>
        <v>0</v>
      </c>
      <c r="N544" s="235">
        <f t="shared" si="184"/>
        <v>0</v>
      </c>
      <c r="O544" s="208">
        <f t="shared" si="184"/>
        <v>2087.88</v>
      </c>
      <c r="P544" s="102">
        <f t="shared" si="184"/>
        <v>0</v>
      </c>
      <c r="Q544" s="151">
        <f t="shared" si="184"/>
        <v>2087.88</v>
      </c>
    </row>
    <row r="545" spans="1:17" ht="12.75">
      <c r="A545" s="15" t="s">
        <v>95</v>
      </c>
      <c r="B545" s="57"/>
      <c r="C545" s="112">
        <v>1670</v>
      </c>
      <c r="D545" s="102">
        <f>417.88</f>
        <v>417.88</v>
      </c>
      <c r="E545" s="73"/>
      <c r="F545" s="190">
        <f>C545+D545+E545</f>
        <v>2087.88</v>
      </c>
      <c r="G545" s="74"/>
      <c r="H545" s="235"/>
      <c r="I545" s="208">
        <f>F545+G545+H545</f>
        <v>2087.88</v>
      </c>
      <c r="J545" s="257"/>
      <c r="K545" s="235"/>
      <c r="L545" s="208">
        <f>I545+J545+K545</f>
        <v>2087.88</v>
      </c>
      <c r="M545" s="257"/>
      <c r="N545" s="235"/>
      <c r="O545" s="208">
        <f>L545+M545+N545</f>
        <v>2087.88</v>
      </c>
      <c r="P545" s="292"/>
      <c r="Q545" s="167">
        <f t="shared" si="178"/>
        <v>2087.88</v>
      </c>
    </row>
    <row r="546" spans="1:17" ht="12.75" hidden="1">
      <c r="A546" s="15" t="s">
        <v>96</v>
      </c>
      <c r="B546" s="57"/>
      <c r="C546" s="112">
        <v>0</v>
      </c>
      <c r="D546" s="102"/>
      <c r="E546" s="73"/>
      <c r="F546" s="190">
        <f>C546+D546+E546</f>
        <v>0</v>
      </c>
      <c r="G546" s="74"/>
      <c r="H546" s="235"/>
      <c r="I546" s="208">
        <f>F546+G546+H546</f>
        <v>0</v>
      </c>
      <c r="J546" s="257"/>
      <c r="K546" s="235"/>
      <c r="L546" s="208">
        <f>I546+J546+K546</f>
        <v>0</v>
      </c>
      <c r="M546" s="257"/>
      <c r="N546" s="235"/>
      <c r="O546" s="208">
        <f>L546+M546+N546</f>
        <v>0</v>
      </c>
      <c r="P546" s="292"/>
      <c r="Q546" s="167">
        <f t="shared" si="178"/>
        <v>0</v>
      </c>
    </row>
    <row r="547" spans="1:17" ht="12.75">
      <c r="A547" s="58" t="s">
        <v>229</v>
      </c>
      <c r="B547" s="57">
        <v>19</v>
      </c>
      <c r="C547" s="112">
        <f>C548+C549</f>
        <v>2000</v>
      </c>
      <c r="D547" s="102">
        <f aca="true" t="shared" si="185" ref="D547:Q547">D548+D549</f>
        <v>2274.74</v>
      </c>
      <c r="E547" s="73">
        <f t="shared" si="185"/>
        <v>0</v>
      </c>
      <c r="F547" s="190">
        <f t="shared" si="185"/>
        <v>4274.74</v>
      </c>
      <c r="G547" s="74">
        <f t="shared" si="185"/>
        <v>0</v>
      </c>
      <c r="H547" s="235">
        <f t="shared" si="185"/>
        <v>0</v>
      </c>
      <c r="I547" s="208">
        <f t="shared" si="185"/>
        <v>4274.74</v>
      </c>
      <c r="J547" s="257">
        <f t="shared" si="185"/>
        <v>0</v>
      </c>
      <c r="K547" s="235">
        <f t="shared" si="185"/>
        <v>0</v>
      </c>
      <c r="L547" s="208">
        <f t="shared" si="185"/>
        <v>4274.74</v>
      </c>
      <c r="M547" s="257">
        <f t="shared" si="185"/>
        <v>0</v>
      </c>
      <c r="N547" s="235">
        <f t="shared" si="185"/>
        <v>0</v>
      </c>
      <c r="O547" s="208">
        <f t="shared" si="185"/>
        <v>4274.74</v>
      </c>
      <c r="P547" s="102">
        <f t="shared" si="185"/>
        <v>0</v>
      </c>
      <c r="Q547" s="151">
        <f t="shared" si="185"/>
        <v>4274.74</v>
      </c>
    </row>
    <row r="548" spans="1:17" ht="12.75">
      <c r="A548" s="15" t="s">
        <v>95</v>
      </c>
      <c r="B548" s="57"/>
      <c r="C548" s="112">
        <v>2000</v>
      </c>
      <c r="D548" s="102">
        <f>2051.27</f>
        <v>2051.27</v>
      </c>
      <c r="E548" s="73"/>
      <c r="F548" s="190">
        <f>C548+D548+E548</f>
        <v>4051.27</v>
      </c>
      <c r="G548" s="74"/>
      <c r="H548" s="235"/>
      <c r="I548" s="208">
        <f>F548+G548+H548</f>
        <v>4051.27</v>
      </c>
      <c r="J548" s="257"/>
      <c r="K548" s="235"/>
      <c r="L548" s="208">
        <f>I548+J548+K548</f>
        <v>4051.27</v>
      </c>
      <c r="M548" s="257"/>
      <c r="N548" s="235"/>
      <c r="O548" s="208">
        <f>L548+M548+N548</f>
        <v>4051.27</v>
      </c>
      <c r="P548" s="292"/>
      <c r="Q548" s="167">
        <f t="shared" si="178"/>
        <v>4051.27</v>
      </c>
    </row>
    <row r="549" spans="1:17" ht="12.75">
      <c r="A549" s="15" t="s">
        <v>96</v>
      </c>
      <c r="B549" s="57"/>
      <c r="C549" s="112"/>
      <c r="D549" s="102">
        <f>223.47</f>
        <v>223.47</v>
      </c>
      <c r="E549" s="73"/>
      <c r="F549" s="190">
        <f>C549+D549+E549</f>
        <v>223.47</v>
      </c>
      <c r="G549" s="74"/>
      <c r="H549" s="235"/>
      <c r="I549" s="208">
        <f>F549+G549+H549</f>
        <v>223.47</v>
      </c>
      <c r="J549" s="257"/>
      <c r="K549" s="235"/>
      <c r="L549" s="208">
        <f>I549+J549+K549</f>
        <v>223.47</v>
      </c>
      <c r="M549" s="257"/>
      <c r="N549" s="235"/>
      <c r="O549" s="208">
        <f>L549+M549+N549</f>
        <v>223.47</v>
      </c>
      <c r="P549" s="292"/>
      <c r="Q549" s="167">
        <f t="shared" si="178"/>
        <v>223.47</v>
      </c>
    </row>
    <row r="550" spans="1:17" ht="12.75">
      <c r="A550" s="15" t="s">
        <v>115</v>
      </c>
      <c r="B550" s="57">
        <v>28</v>
      </c>
      <c r="C550" s="112">
        <f>SUM(C551:C555)</f>
        <v>30000</v>
      </c>
      <c r="D550" s="102">
        <f aca="true" t="shared" si="186" ref="D550:Q550">SUM(D551:D555)</f>
        <v>45846.26</v>
      </c>
      <c r="E550" s="73">
        <f t="shared" si="186"/>
        <v>0</v>
      </c>
      <c r="F550" s="190">
        <f t="shared" si="186"/>
        <v>75846.26000000001</v>
      </c>
      <c r="G550" s="74">
        <f t="shared" si="186"/>
        <v>-5500</v>
      </c>
      <c r="H550" s="235">
        <f t="shared" si="186"/>
        <v>0</v>
      </c>
      <c r="I550" s="208">
        <f t="shared" si="186"/>
        <v>70346.26000000001</v>
      </c>
      <c r="J550" s="257">
        <f t="shared" si="186"/>
        <v>-2216.3</v>
      </c>
      <c r="K550" s="235">
        <f t="shared" si="186"/>
        <v>0</v>
      </c>
      <c r="L550" s="208">
        <f t="shared" si="186"/>
        <v>68129.95999999999</v>
      </c>
      <c r="M550" s="257">
        <f t="shared" si="186"/>
        <v>0</v>
      </c>
      <c r="N550" s="235">
        <f t="shared" si="186"/>
        <v>0</v>
      </c>
      <c r="O550" s="208">
        <f t="shared" si="186"/>
        <v>68129.95999999999</v>
      </c>
      <c r="P550" s="102">
        <f t="shared" si="186"/>
        <v>0</v>
      </c>
      <c r="Q550" s="151">
        <f t="shared" si="186"/>
        <v>68129.95999999999</v>
      </c>
    </row>
    <row r="551" spans="1:17" ht="12.75">
      <c r="A551" s="15" t="s">
        <v>103</v>
      </c>
      <c r="B551" s="57"/>
      <c r="C551" s="112">
        <v>16800</v>
      </c>
      <c r="D551" s="142">
        <f>8596.79+3300-3800</f>
        <v>8096.790000000001</v>
      </c>
      <c r="E551" s="73"/>
      <c r="F551" s="190">
        <f t="shared" si="175"/>
        <v>24896.79</v>
      </c>
      <c r="G551" s="74"/>
      <c r="H551" s="235"/>
      <c r="I551" s="208">
        <f>F551+G551+H551</f>
        <v>24896.79</v>
      </c>
      <c r="J551" s="257">
        <f>5000</f>
        <v>5000</v>
      </c>
      <c r="K551" s="235"/>
      <c r="L551" s="208">
        <f>I551+J551+K551</f>
        <v>29896.79</v>
      </c>
      <c r="M551" s="257"/>
      <c r="N551" s="235"/>
      <c r="O551" s="208">
        <f>L551+M551+N551</f>
        <v>29896.79</v>
      </c>
      <c r="P551" s="292"/>
      <c r="Q551" s="167">
        <f t="shared" si="178"/>
        <v>29896.79</v>
      </c>
    </row>
    <row r="552" spans="1:17" ht="12.75">
      <c r="A552" s="15" t="s">
        <v>104</v>
      </c>
      <c r="B552" s="57"/>
      <c r="C552" s="112">
        <v>800</v>
      </c>
      <c r="D552" s="102">
        <f>850+1000</f>
        <v>1850</v>
      </c>
      <c r="E552" s="73"/>
      <c r="F552" s="190">
        <f t="shared" si="175"/>
        <v>2650</v>
      </c>
      <c r="G552" s="74"/>
      <c r="H552" s="235"/>
      <c r="I552" s="208">
        <f>F552+G552+H552</f>
        <v>2650</v>
      </c>
      <c r="J552" s="257"/>
      <c r="K552" s="235"/>
      <c r="L552" s="208">
        <f>I552+J552+K552</f>
        <v>2650</v>
      </c>
      <c r="M552" s="257"/>
      <c r="N552" s="235"/>
      <c r="O552" s="208">
        <f>L552+M552+N552</f>
        <v>2650</v>
      </c>
      <c r="P552" s="292"/>
      <c r="Q552" s="167">
        <f t="shared" si="178"/>
        <v>2650</v>
      </c>
    </row>
    <row r="553" spans="1:17" ht="12.75">
      <c r="A553" s="15" t="s">
        <v>116</v>
      </c>
      <c r="B553" s="57"/>
      <c r="C553" s="112">
        <v>12400</v>
      </c>
      <c r="D553" s="102">
        <f>31672.81+3000</f>
        <v>34672.81</v>
      </c>
      <c r="E553" s="73"/>
      <c r="F553" s="190">
        <f t="shared" si="175"/>
        <v>47072.81</v>
      </c>
      <c r="G553" s="74">
        <f>-5500</f>
        <v>-5500</v>
      </c>
      <c r="H553" s="235"/>
      <c r="I553" s="208">
        <f>F553+G553+H553</f>
        <v>41572.81</v>
      </c>
      <c r="J553" s="257">
        <f>-4500-2216.3</f>
        <v>-6716.3</v>
      </c>
      <c r="K553" s="235"/>
      <c r="L553" s="208">
        <f>I553+J553+K553</f>
        <v>34856.509999999995</v>
      </c>
      <c r="M553" s="257"/>
      <c r="N553" s="235"/>
      <c r="O553" s="208">
        <f>L553+M553+N553</f>
        <v>34856.509999999995</v>
      </c>
      <c r="P553" s="292"/>
      <c r="Q553" s="167">
        <f t="shared" si="178"/>
        <v>34856.509999999995</v>
      </c>
    </row>
    <row r="554" spans="1:17" ht="12.75" hidden="1">
      <c r="A554" s="15" t="s">
        <v>113</v>
      </c>
      <c r="B554" s="57"/>
      <c r="C554" s="112"/>
      <c r="D554" s="102"/>
      <c r="E554" s="73"/>
      <c r="F554" s="190">
        <f t="shared" si="175"/>
        <v>0</v>
      </c>
      <c r="G554" s="74"/>
      <c r="H554" s="235"/>
      <c r="I554" s="208">
        <f>F554+G554+H554</f>
        <v>0</v>
      </c>
      <c r="J554" s="257"/>
      <c r="K554" s="235"/>
      <c r="L554" s="208">
        <f>I554+J554+K554</f>
        <v>0</v>
      </c>
      <c r="M554" s="257"/>
      <c r="N554" s="235"/>
      <c r="O554" s="208">
        <f>L554+M554+N554</f>
        <v>0</v>
      </c>
      <c r="P554" s="292"/>
      <c r="Q554" s="167">
        <f t="shared" si="178"/>
        <v>0</v>
      </c>
    </row>
    <row r="555" spans="1:17" ht="12.75">
      <c r="A555" s="15" t="s">
        <v>106</v>
      </c>
      <c r="B555" s="57"/>
      <c r="C555" s="112"/>
      <c r="D555" s="142">
        <f>1426.66-200</f>
        <v>1226.66</v>
      </c>
      <c r="E555" s="73"/>
      <c r="F555" s="190">
        <f t="shared" si="175"/>
        <v>1226.66</v>
      </c>
      <c r="G555" s="74"/>
      <c r="H555" s="235"/>
      <c r="I555" s="208">
        <f>F555+G555+H555</f>
        <v>1226.66</v>
      </c>
      <c r="J555" s="257">
        <f>-500</f>
        <v>-500</v>
      </c>
      <c r="K555" s="235"/>
      <c r="L555" s="208">
        <f>I555+J555+K555</f>
        <v>726.6600000000001</v>
      </c>
      <c r="M555" s="257"/>
      <c r="N555" s="235"/>
      <c r="O555" s="208">
        <f>L555+M555+N555</f>
        <v>726.6600000000001</v>
      </c>
      <c r="P555" s="292"/>
      <c r="Q555" s="167">
        <f t="shared" si="178"/>
        <v>726.6600000000001</v>
      </c>
    </row>
    <row r="556" spans="1:17" ht="12.75">
      <c r="A556" s="16" t="s">
        <v>117</v>
      </c>
      <c r="B556" s="57"/>
      <c r="C556" s="112">
        <f>C557+C558</f>
        <v>330001</v>
      </c>
      <c r="D556" s="102">
        <f aca="true" t="shared" si="187" ref="D556:Q556">D557+D558</f>
        <v>-278827.25</v>
      </c>
      <c r="E556" s="73">
        <f t="shared" si="187"/>
        <v>0</v>
      </c>
      <c r="F556" s="190">
        <f t="shared" si="187"/>
        <v>51173.75</v>
      </c>
      <c r="G556" s="74">
        <f t="shared" si="187"/>
        <v>-8969.94</v>
      </c>
      <c r="H556" s="235">
        <f t="shared" si="187"/>
        <v>0</v>
      </c>
      <c r="I556" s="208">
        <f t="shared" si="187"/>
        <v>42203.81</v>
      </c>
      <c r="J556" s="257">
        <f t="shared" si="187"/>
        <v>-33250</v>
      </c>
      <c r="K556" s="235">
        <f t="shared" si="187"/>
        <v>0</v>
      </c>
      <c r="L556" s="208">
        <f t="shared" si="187"/>
        <v>8953.81</v>
      </c>
      <c r="M556" s="257">
        <f t="shared" si="187"/>
        <v>-2700</v>
      </c>
      <c r="N556" s="235">
        <f t="shared" si="187"/>
        <v>0</v>
      </c>
      <c r="O556" s="208">
        <f t="shared" si="187"/>
        <v>6253.8099999999995</v>
      </c>
      <c r="P556" s="102">
        <f t="shared" si="187"/>
        <v>0</v>
      </c>
      <c r="Q556" s="151">
        <f t="shared" si="187"/>
        <v>6253.8099999999995</v>
      </c>
    </row>
    <row r="557" spans="1:17" ht="12.75">
      <c r="A557" s="16" t="s">
        <v>215</v>
      </c>
      <c r="B557" s="57"/>
      <c r="C557" s="112">
        <v>330000</v>
      </c>
      <c r="D557" s="102">
        <f>-230000-70000+17500-1000</f>
        <v>-283500</v>
      </c>
      <c r="E557" s="73"/>
      <c r="F557" s="190">
        <f t="shared" si="175"/>
        <v>46500</v>
      </c>
      <c r="G557" s="74">
        <f>-11500</f>
        <v>-11500</v>
      </c>
      <c r="H557" s="235"/>
      <c r="I557" s="208">
        <f>F557+G557+H557</f>
        <v>35000</v>
      </c>
      <c r="J557" s="260">
        <f>-30000-2500</f>
        <v>-32500</v>
      </c>
      <c r="K557" s="235"/>
      <c r="L557" s="208">
        <f>I557+J557+K557</f>
        <v>2500</v>
      </c>
      <c r="M557" s="257">
        <f>900-700</f>
        <v>200</v>
      </c>
      <c r="N557" s="235"/>
      <c r="O557" s="208">
        <f>L557+M557+N557</f>
        <v>2700</v>
      </c>
      <c r="P557" s="292"/>
      <c r="Q557" s="167">
        <f t="shared" si="178"/>
        <v>2700</v>
      </c>
    </row>
    <row r="558" spans="1:17" ht="12.75">
      <c r="A558" s="19" t="s">
        <v>251</v>
      </c>
      <c r="B558" s="60"/>
      <c r="C558" s="181">
        <v>1</v>
      </c>
      <c r="D558" s="172">
        <f>4645.99+26.76</f>
        <v>4672.75</v>
      </c>
      <c r="E558" s="81"/>
      <c r="F558" s="195">
        <f t="shared" si="175"/>
        <v>4673.75</v>
      </c>
      <c r="G558" s="226">
        <f>2530.06</f>
        <v>2530.06</v>
      </c>
      <c r="H558" s="241"/>
      <c r="I558" s="213">
        <f>F558+G558+H558</f>
        <v>7203.8099999999995</v>
      </c>
      <c r="J558" s="264">
        <f>-750</f>
        <v>-750</v>
      </c>
      <c r="K558" s="241"/>
      <c r="L558" s="213">
        <f>I558+J558+K558</f>
        <v>6453.8099999999995</v>
      </c>
      <c r="M558" s="264">
        <f>-1000-1900</f>
        <v>-2900</v>
      </c>
      <c r="N558" s="241"/>
      <c r="O558" s="213">
        <f>L558+M558+N558</f>
        <v>3553.8099999999995</v>
      </c>
      <c r="P558" s="295"/>
      <c r="Q558" s="168">
        <f t="shared" si="178"/>
        <v>3553.8099999999995</v>
      </c>
    </row>
    <row r="559" spans="1:17" ht="13.5" thickBot="1">
      <c r="A559" s="28" t="s">
        <v>118</v>
      </c>
      <c r="B559" s="61"/>
      <c r="C559" s="113">
        <v>10846.36</v>
      </c>
      <c r="D559" s="102">
        <f>54.6</f>
        <v>54.6</v>
      </c>
      <c r="E559" s="76"/>
      <c r="F559" s="191">
        <f t="shared" si="175"/>
        <v>10900.960000000001</v>
      </c>
      <c r="G559" s="75"/>
      <c r="H559" s="235">
        <f>6941.88</f>
        <v>6941.88</v>
      </c>
      <c r="I559" s="209">
        <f>F559+G559+H559</f>
        <v>17842.84</v>
      </c>
      <c r="J559" s="259"/>
      <c r="K559" s="237"/>
      <c r="L559" s="209">
        <f>I559+J559+K559</f>
        <v>17842.84</v>
      </c>
      <c r="M559" s="257">
        <f>254.89</f>
        <v>254.89</v>
      </c>
      <c r="N559" s="237"/>
      <c r="O559" s="209">
        <f>L559+M559+N559</f>
        <v>18097.73</v>
      </c>
      <c r="P559" s="296"/>
      <c r="Q559" s="166">
        <f>O559+P559</f>
        <v>18097.73</v>
      </c>
    </row>
    <row r="560" spans="1:17" ht="15.75" thickBot="1">
      <c r="A560" s="29" t="s">
        <v>119</v>
      </c>
      <c r="B560" s="64"/>
      <c r="C560" s="118">
        <f aca="true" t="shared" si="188" ref="C560:Q560">+C81+C99+C108+C118+C136+C148+C180+C237+C257+C294+C316+C404+C441+C462+C469+C502+C506+C559+C477+C337+C287</f>
        <v>5982551.079999999</v>
      </c>
      <c r="D560" s="143">
        <f t="shared" si="188"/>
        <v>15027245.449999996</v>
      </c>
      <c r="E560" s="86">
        <f t="shared" si="188"/>
        <v>67442.82</v>
      </c>
      <c r="F560" s="197">
        <f t="shared" si="188"/>
        <v>21077239.35</v>
      </c>
      <c r="G560" s="134">
        <f t="shared" si="188"/>
        <v>1763225.6000000003</v>
      </c>
      <c r="H560" s="244">
        <f t="shared" si="188"/>
        <v>415028.33999999997</v>
      </c>
      <c r="I560" s="215">
        <f t="shared" si="188"/>
        <v>23255493.29</v>
      </c>
      <c r="J560" s="215">
        <f t="shared" si="188"/>
        <v>1094309.01</v>
      </c>
      <c r="K560" s="215">
        <f t="shared" si="188"/>
        <v>35593.59</v>
      </c>
      <c r="L560" s="215">
        <f t="shared" si="188"/>
        <v>24385395.89</v>
      </c>
      <c r="M560" s="277">
        <f t="shared" si="188"/>
        <v>648583.8699999999</v>
      </c>
      <c r="N560" s="244">
        <f t="shared" si="188"/>
        <v>41831.630000000005</v>
      </c>
      <c r="O560" s="215">
        <f t="shared" si="188"/>
        <v>25075811.39</v>
      </c>
      <c r="P560" s="143">
        <f t="shared" si="188"/>
        <v>0</v>
      </c>
      <c r="Q560" s="157">
        <f t="shared" si="188"/>
        <v>24098307.26</v>
      </c>
    </row>
    <row r="561" spans="1:17" ht="13.5" thickBot="1">
      <c r="A561" s="30" t="s">
        <v>120</v>
      </c>
      <c r="B561" s="64"/>
      <c r="C561" s="119">
        <v>-10846.36</v>
      </c>
      <c r="D561" s="175">
        <f>-54.6</f>
        <v>-54.6</v>
      </c>
      <c r="E561" s="136"/>
      <c r="F561" s="198">
        <f t="shared" si="175"/>
        <v>-10900.960000000001</v>
      </c>
      <c r="G561" s="135"/>
      <c r="H561" s="245"/>
      <c r="I561" s="208">
        <f>F561+G561+H561</f>
        <v>-10900.960000000001</v>
      </c>
      <c r="J561" s="265"/>
      <c r="K561" s="245"/>
      <c r="L561" s="208">
        <f>I561+J561+K561</f>
        <v>-10900.960000000001</v>
      </c>
      <c r="M561" s="289">
        <f>-254.89</f>
        <v>-254.89</v>
      </c>
      <c r="N561" s="245"/>
      <c r="O561" s="208">
        <f>L561+M561+N561</f>
        <v>-11155.85</v>
      </c>
      <c r="P561" s="297"/>
      <c r="Q561" s="167"/>
    </row>
    <row r="562" spans="1:17" ht="16.5" thickBot="1">
      <c r="A562" s="31" t="s">
        <v>121</v>
      </c>
      <c r="B562" s="64"/>
      <c r="C562" s="120">
        <f>C560+C561</f>
        <v>5971704.719999999</v>
      </c>
      <c r="D562" s="144">
        <f aca="true" t="shared" si="189" ref="D562:Q562">D560+D561</f>
        <v>15027190.849999996</v>
      </c>
      <c r="E562" s="138">
        <f t="shared" si="189"/>
        <v>67442.82</v>
      </c>
      <c r="F562" s="199">
        <f t="shared" si="189"/>
        <v>21066338.39</v>
      </c>
      <c r="G562" s="137">
        <f t="shared" si="189"/>
        <v>1763225.6000000003</v>
      </c>
      <c r="H562" s="246">
        <f t="shared" si="189"/>
        <v>415028.33999999997</v>
      </c>
      <c r="I562" s="216">
        <f t="shared" si="189"/>
        <v>23244592.33</v>
      </c>
      <c r="J562" s="273">
        <f>J560+J561</f>
        <v>1094309.01</v>
      </c>
      <c r="K562" s="268">
        <f>K560+K561</f>
        <v>35593.59</v>
      </c>
      <c r="L562" s="216">
        <f>L560+L561</f>
        <v>24374494.93</v>
      </c>
      <c r="M562" s="273">
        <f t="shared" si="189"/>
        <v>648328.9799999999</v>
      </c>
      <c r="N562" s="246">
        <f t="shared" si="189"/>
        <v>41831.630000000005</v>
      </c>
      <c r="O562" s="216">
        <f t="shared" si="189"/>
        <v>25064655.54</v>
      </c>
      <c r="P562" s="144">
        <f t="shared" si="189"/>
        <v>0</v>
      </c>
      <c r="Q562" s="158">
        <f t="shared" si="189"/>
        <v>24098307.26</v>
      </c>
    </row>
    <row r="563" spans="1:17" ht="15.75">
      <c r="A563" s="32" t="s">
        <v>26</v>
      </c>
      <c r="B563" s="65"/>
      <c r="C563" s="121"/>
      <c r="D563" s="145"/>
      <c r="E563" s="87"/>
      <c r="F563" s="200"/>
      <c r="G563" s="139"/>
      <c r="H563" s="247"/>
      <c r="I563" s="217"/>
      <c r="J563" s="274"/>
      <c r="K563" s="269"/>
      <c r="L563" s="217"/>
      <c r="M563" s="274"/>
      <c r="N563" s="247"/>
      <c r="O563" s="217"/>
      <c r="P563" s="145"/>
      <c r="Q563" s="159"/>
    </row>
    <row r="564" spans="1:17" ht="15.75">
      <c r="A564" s="33" t="s">
        <v>203</v>
      </c>
      <c r="B564" s="66"/>
      <c r="C564" s="122">
        <f aca="true" t="shared" si="190" ref="C564:Q564">+C82+C100+C109+C119+C137+C149+C181+C238+C258+C295+C317+C405+C442+C463+C470+C503+C508+C559+C561+C478+C338+C288</f>
        <v>4776778.8</v>
      </c>
      <c r="D564" s="146">
        <f t="shared" si="190"/>
        <v>12396087.07</v>
      </c>
      <c r="E564" s="129">
        <f t="shared" si="190"/>
        <v>44249.32</v>
      </c>
      <c r="F564" s="201">
        <f t="shared" si="190"/>
        <v>17217115.189999998</v>
      </c>
      <c r="G564" s="140">
        <f t="shared" si="190"/>
        <v>939021.7200000003</v>
      </c>
      <c r="H564" s="248">
        <f t="shared" si="190"/>
        <v>230723.13</v>
      </c>
      <c r="I564" s="218">
        <f t="shared" si="190"/>
        <v>18386860.039999995</v>
      </c>
      <c r="J564" s="275">
        <f t="shared" si="190"/>
        <v>566379.0599999999</v>
      </c>
      <c r="K564" s="270">
        <f t="shared" si="190"/>
        <v>-6987.77</v>
      </c>
      <c r="L564" s="218">
        <f t="shared" si="190"/>
        <v>18946251.330000002</v>
      </c>
      <c r="M564" s="275">
        <f t="shared" si="190"/>
        <v>327778.48</v>
      </c>
      <c r="N564" s="248">
        <f t="shared" si="190"/>
        <v>-72197.21000000002</v>
      </c>
      <c r="O564" s="218">
        <f t="shared" si="190"/>
        <v>19201832.599999998</v>
      </c>
      <c r="P564" s="146">
        <f t="shared" si="190"/>
        <v>0</v>
      </c>
      <c r="Q564" s="160">
        <f t="shared" si="190"/>
        <v>18713695.749999996</v>
      </c>
    </row>
    <row r="565" spans="1:17" ht="16.5" thickBot="1">
      <c r="A565" s="21" t="s">
        <v>204</v>
      </c>
      <c r="B565" s="67"/>
      <c r="C565" s="123">
        <f aca="true" t="shared" si="191" ref="C565:Q565">+C90+C104+C115+C131+C142+C169+C227+C250+C277+C309+C333+C436+C453+C466+C509+C491+C368+C291</f>
        <v>1194925.92</v>
      </c>
      <c r="D565" s="147">
        <f t="shared" si="191"/>
        <v>2631103.7800000003</v>
      </c>
      <c r="E565" s="130">
        <f t="shared" si="191"/>
        <v>23193.5</v>
      </c>
      <c r="F565" s="202">
        <f t="shared" si="191"/>
        <v>3849223.1999999997</v>
      </c>
      <c r="G565" s="141">
        <f t="shared" si="191"/>
        <v>824203.8800000001</v>
      </c>
      <c r="H565" s="249">
        <f t="shared" si="191"/>
        <v>184305.21000000002</v>
      </c>
      <c r="I565" s="219">
        <f t="shared" si="191"/>
        <v>4857732.29</v>
      </c>
      <c r="J565" s="276">
        <f t="shared" si="191"/>
        <v>527929.95</v>
      </c>
      <c r="K565" s="271">
        <f t="shared" si="191"/>
        <v>42581.36</v>
      </c>
      <c r="L565" s="219">
        <f t="shared" si="191"/>
        <v>5428243.6</v>
      </c>
      <c r="M565" s="276">
        <f t="shared" si="191"/>
        <v>320550.49999999994</v>
      </c>
      <c r="N565" s="249">
        <f t="shared" si="191"/>
        <v>114028.84</v>
      </c>
      <c r="O565" s="219">
        <f t="shared" si="191"/>
        <v>5862822.9399999995</v>
      </c>
      <c r="P565" s="147">
        <f t="shared" si="191"/>
        <v>0</v>
      </c>
      <c r="Q565" s="161">
        <f t="shared" si="191"/>
        <v>5384611.51</v>
      </c>
    </row>
    <row r="566" spans="1:17" ht="16.5" thickBot="1">
      <c r="A566" s="33" t="s">
        <v>197</v>
      </c>
      <c r="B566" s="66"/>
      <c r="C566" s="118">
        <f aca="true" t="shared" si="192" ref="C566:Q566">C79-C562</f>
        <v>-219999.99999999907</v>
      </c>
      <c r="D566" s="143">
        <f t="shared" si="192"/>
        <v>-2849586.3399999924</v>
      </c>
      <c r="E566" s="86">
        <f t="shared" si="192"/>
        <v>-67442.82</v>
      </c>
      <c r="F566" s="197">
        <f t="shared" si="192"/>
        <v>-3137029.1599999964</v>
      </c>
      <c r="G566" s="134">
        <f t="shared" si="192"/>
        <v>-18881.070000000298</v>
      </c>
      <c r="H566" s="244">
        <f t="shared" si="192"/>
        <v>-247899.79999999996</v>
      </c>
      <c r="I566" s="215">
        <f t="shared" si="192"/>
        <v>-3403810.0299999975</v>
      </c>
      <c r="J566" s="277">
        <f t="shared" si="192"/>
        <v>0</v>
      </c>
      <c r="K566" s="272">
        <f t="shared" si="192"/>
        <v>0</v>
      </c>
      <c r="L566" s="215">
        <f t="shared" si="192"/>
        <v>-3403810.0299999975</v>
      </c>
      <c r="M566" s="277">
        <f t="shared" si="192"/>
        <v>-0.01999999990221113</v>
      </c>
      <c r="N566" s="244">
        <f t="shared" si="192"/>
        <v>0</v>
      </c>
      <c r="O566" s="215">
        <f t="shared" si="192"/>
        <v>-3403810.049999997</v>
      </c>
      <c r="P566" s="143">
        <f t="shared" si="192"/>
        <v>0</v>
      </c>
      <c r="Q566" s="157">
        <f t="shared" si="192"/>
        <v>-2557814.5999999978</v>
      </c>
    </row>
    <row r="567" spans="1:17" ht="15.75">
      <c r="A567" s="32" t="s">
        <v>205</v>
      </c>
      <c r="B567" s="65"/>
      <c r="C567" s="124">
        <f>SUM(C569:C572)</f>
        <v>220000</v>
      </c>
      <c r="D567" s="107">
        <f aca="true" t="shared" si="193" ref="D567:Q567">SUM(D569:D572)</f>
        <v>2849586.3400000003</v>
      </c>
      <c r="E567" s="88">
        <f t="shared" si="193"/>
        <v>67442.82</v>
      </c>
      <c r="F567" s="203">
        <f t="shared" si="193"/>
        <v>3137029.16</v>
      </c>
      <c r="G567" s="93">
        <f t="shared" si="193"/>
        <v>18881.069999999996</v>
      </c>
      <c r="H567" s="250">
        <f t="shared" si="193"/>
        <v>247899.8</v>
      </c>
      <c r="I567" s="220">
        <f t="shared" si="193"/>
        <v>3403810.03</v>
      </c>
      <c r="J567" s="267">
        <f>SUM(J569:J572)</f>
        <v>0</v>
      </c>
      <c r="K567" s="250">
        <f>SUM(K569:K572)</f>
        <v>0</v>
      </c>
      <c r="L567" s="255">
        <f>SUM(L569:L572)</f>
        <v>3403810.03</v>
      </c>
      <c r="M567" s="267">
        <f t="shared" si="193"/>
        <v>0.02</v>
      </c>
      <c r="N567" s="250">
        <f t="shared" si="193"/>
        <v>0</v>
      </c>
      <c r="O567" s="220">
        <f t="shared" si="193"/>
        <v>3403810.05</v>
      </c>
      <c r="P567" s="107">
        <f t="shared" si="193"/>
        <v>0</v>
      </c>
      <c r="Q567" s="162">
        <f t="shared" si="193"/>
        <v>3403810.05</v>
      </c>
    </row>
    <row r="568" spans="1:17" ht="12.75" customHeight="1">
      <c r="A568" s="34" t="s">
        <v>26</v>
      </c>
      <c r="B568" s="68"/>
      <c r="C568" s="182"/>
      <c r="D568" s="176"/>
      <c r="E568" s="89"/>
      <c r="F568" s="204"/>
      <c r="G568" s="227"/>
      <c r="H568" s="251"/>
      <c r="I568" s="221"/>
      <c r="J568" s="266"/>
      <c r="K568" s="251"/>
      <c r="L568" s="221"/>
      <c r="M568" s="266"/>
      <c r="N568" s="251"/>
      <c r="O568" s="221"/>
      <c r="P568" s="292"/>
      <c r="Q568" s="167"/>
    </row>
    <row r="569" spans="1:17" ht="12.75">
      <c r="A569" s="34" t="s">
        <v>122</v>
      </c>
      <c r="B569" s="68"/>
      <c r="C569" s="183">
        <v>400000</v>
      </c>
      <c r="D569" s="177"/>
      <c r="E569" s="99"/>
      <c r="F569" s="205">
        <f>SUM(C569:E569)</f>
        <v>400000</v>
      </c>
      <c r="G569" s="232"/>
      <c r="H569" s="252"/>
      <c r="I569" s="222">
        <f>SUM(F569:H569)</f>
        <v>400000</v>
      </c>
      <c r="J569" s="285"/>
      <c r="K569" s="252"/>
      <c r="L569" s="222">
        <f>SUM(I569:K569)</f>
        <v>400000</v>
      </c>
      <c r="M569" s="285"/>
      <c r="N569" s="252"/>
      <c r="O569" s="222">
        <f>SUM(L569:N569)</f>
        <v>400000</v>
      </c>
      <c r="P569" s="292"/>
      <c r="Q569" s="167">
        <f t="shared" si="178"/>
        <v>400000</v>
      </c>
    </row>
    <row r="570" spans="1:17" ht="12.75">
      <c r="A570" s="35" t="s">
        <v>129</v>
      </c>
      <c r="B570" s="68"/>
      <c r="C570" s="183">
        <v>-180000</v>
      </c>
      <c r="D570" s="177"/>
      <c r="E570" s="99"/>
      <c r="F570" s="205">
        <f>SUM(C570:E570)</f>
        <v>-180000</v>
      </c>
      <c r="G570" s="232"/>
      <c r="H570" s="252"/>
      <c r="I570" s="222">
        <f>SUM(F570:H570)</f>
        <v>-180000</v>
      </c>
      <c r="J570" s="285"/>
      <c r="K570" s="252"/>
      <c r="L570" s="222">
        <f>SUM(I570:K570)</f>
        <v>-180000</v>
      </c>
      <c r="M570" s="285"/>
      <c r="N570" s="252"/>
      <c r="O570" s="222">
        <f>SUM(L570:N570)</f>
        <v>-180000</v>
      </c>
      <c r="P570" s="292"/>
      <c r="Q570" s="167">
        <f t="shared" si="178"/>
        <v>-180000</v>
      </c>
    </row>
    <row r="571" spans="1:17" ht="13.5" thickBot="1">
      <c r="A571" s="35" t="s">
        <v>123</v>
      </c>
      <c r="B571" s="231"/>
      <c r="C571" s="183"/>
      <c r="D571" s="177">
        <f>91326.3+9970+336371.11+1000+13200+340906.09+739837.14+27800.56+7633+10000+500+32215.72+26800+1123+69447.46+1230.07+11929.94+7126.31+12225.29+5820.76+77538.41+3604.16+2391.29+19020.5+75653.4+1044.1+25775.83+2458.05+34500+4309.47+6646+3300+4084.75+3850+8540.5+23530.38+1815.87+22172.75+782888.13</f>
        <v>2849586.3400000003</v>
      </c>
      <c r="E571" s="99">
        <f>7350+12210+8487+750+31500+7145.82</f>
        <v>67442.82</v>
      </c>
      <c r="F571" s="205">
        <f>SUM(C571:E571)</f>
        <v>2917029.16</v>
      </c>
      <c r="G571" s="232">
        <f>3050.49+9460.46+5000+1370.12</f>
        <v>18881.069999999996</v>
      </c>
      <c r="H571" s="252">
        <f>18053.9+10751.43+212152.59</f>
        <v>240957.91999999998</v>
      </c>
      <c r="I571" s="222">
        <f>SUM(F571:H571)</f>
        <v>3176868.15</v>
      </c>
      <c r="J571" s="285"/>
      <c r="K571" s="252"/>
      <c r="L571" s="222">
        <f>SUM(I571:K571)</f>
        <v>3176868.15</v>
      </c>
      <c r="M571" s="285">
        <f>0.02</f>
        <v>0.02</v>
      </c>
      <c r="N571" s="252"/>
      <c r="O571" s="222">
        <f>SUM(L571:N571)</f>
        <v>3176868.17</v>
      </c>
      <c r="P571" s="298"/>
      <c r="Q571" s="169">
        <f t="shared" si="178"/>
        <v>3176868.17</v>
      </c>
    </row>
    <row r="572" spans="1:17" ht="13.5" thickBot="1">
      <c r="A572" s="44" t="s">
        <v>140</v>
      </c>
      <c r="B572" s="69"/>
      <c r="C572" s="184"/>
      <c r="D572" s="125" t="s">
        <v>183</v>
      </c>
      <c r="E572" s="100"/>
      <c r="F572" s="206">
        <f>SUM(C572:E572)</f>
        <v>0</v>
      </c>
      <c r="G572" s="233"/>
      <c r="H572" s="253">
        <f>6941.88</f>
        <v>6941.88</v>
      </c>
      <c r="I572" s="223">
        <f>SUM(F572:H572)</f>
        <v>6941.88</v>
      </c>
      <c r="J572" s="286">
        <v>0</v>
      </c>
      <c r="K572" s="253">
        <v>0</v>
      </c>
      <c r="L572" s="223">
        <f>SUM(I572:K572)</f>
        <v>6941.88</v>
      </c>
      <c r="M572" s="286"/>
      <c r="N572" s="253"/>
      <c r="O572" s="223">
        <f>SUM(L572:N572)</f>
        <v>6941.88</v>
      </c>
      <c r="P572" s="298"/>
      <c r="Q572" s="169">
        <f t="shared" si="178"/>
        <v>6941.88</v>
      </c>
    </row>
    <row r="573" spans="2:17" ht="12.75">
      <c r="B573" s="70"/>
      <c r="C573" s="85">
        <f aca="true" t="shared" si="194" ref="C573:Q573">C79+C567-C562</f>
        <v>0</v>
      </c>
      <c r="D573" s="85">
        <f t="shared" si="194"/>
        <v>0</v>
      </c>
      <c r="E573" s="85">
        <f t="shared" si="194"/>
        <v>0</v>
      </c>
      <c r="F573" s="85">
        <f t="shared" si="194"/>
        <v>0</v>
      </c>
      <c r="G573" s="85">
        <f t="shared" si="194"/>
        <v>0</v>
      </c>
      <c r="H573" s="95">
        <f t="shared" si="194"/>
        <v>0</v>
      </c>
      <c r="I573" s="224">
        <f t="shared" si="194"/>
        <v>0</v>
      </c>
      <c r="J573" s="95">
        <f t="shared" si="194"/>
        <v>0</v>
      </c>
      <c r="K573" s="95">
        <f t="shared" si="194"/>
        <v>0</v>
      </c>
      <c r="L573" s="95">
        <f t="shared" si="194"/>
        <v>0</v>
      </c>
      <c r="M573" s="95">
        <f t="shared" si="194"/>
        <v>0</v>
      </c>
      <c r="N573" s="95">
        <f t="shared" si="194"/>
        <v>0</v>
      </c>
      <c r="O573" s="95">
        <f t="shared" si="194"/>
        <v>0</v>
      </c>
      <c r="P573" s="43">
        <f t="shared" si="194"/>
        <v>0</v>
      </c>
      <c r="Q573" s="43">
        <f t="shared" si="194"/>
        <v>845995.450000003</v>
      </c>
    </row>
    <row r="574" spans="2:16" ht="12.75">
      <c r="B574" s="70"/>
      <c r="G574" s="85"/>
      <c r="H574" s="95"/>
      <c r="I574" s="95"/>
      <c r="J574" s="95"/>
      <c r="L574" s="95"/>
      <c r="P574" s="43"/>
    </row>
    <row r="575" spans="2:16" ht="12.75">
      <c r="B575" s="70"/>
      <c r="D575" s="95"/>
      <c r="G575" s="85"/>
      <c r="H575" s="95"/>
      <c r="I575" s="95"/>
      <c r="J575" s="95"/>
      <c r="L575" s="95"/>
      <c r="O575" s="95"/>
      <c r="P575" s="43"/>
    </row>
    <row r="576" spans="2:16" ht="12.75">
      <c r="B576" s="70"/>
      <c r="G576" s="85"/>
      <c r="H576" s="95"/>
      <c r="I576" s="95"/>
      <c r="J576" s="95"/>
      <c r="L576" s="95"/>
      <c r="P576" s="43"/>
    </row>
    <row r="577" spans="2:16" ht="12.75">
      <c r="B577" s="70"/>
      <c r="G577" s="85"/>
      <c r="H577" s="95"/>
      <c r="I577" s="95"/>
      <c r="J577" s="95"/>
      <c r="L577" s="95"/>
      <c r="P577" s="43"/>
    </row>
    <row r="578" spans="2:16" ht="12.75">
      <c r="B578" s="70"/>
      <c r="G578" s="85"/>
      <c r="H578" s="95"/>
      <c r="I578" s="95"/>
      <c r="J578" s="95"/>
      <c r="L578" s="95"/>
      <c r="P578" s="43"/>
    </row>
    <row r="579" spans="2:16" ht="12.75">
      <c r="B579" s="70"/>
      <c r="G579" s="85"/>
      <c r="H579" s="95"/>
      <c r="I579" s="95"/>
      <c r="J579" s="95"/>
      <c r="L579" s="95"/>
      <c r="P579" s="43"/>
    </row>
    <row r="580" spans="2:16" ht="12.75">
      <c r="B580" s="70"/>
      <c r="G580" s="85"/>
      <c r="H580" s="95"/>
      <c r="I580" s="95"/>
      <c r="J580" s="95"/>
      <c r="L580" s="95"/>
      <c r="P580" s="43"/>
    </row>
    <row r="581" spans="2:16" ht="12.75">
      <c r="B581" s="70"/>
      <c r="G581" s="85"/>
      <c r="H581" s="95"/>
      <c r="I581" s="95"/>
      <c r="J581" s="95"/>
      <c r="L581" s="95"/>
      <c r="P581" s="43"/>
    </row>
    <row r="582" spans="2:16" ht="12.75">
      <c r="B582" s="70"/>
      <c r="H582" s="95"/>
      <c r="I582" s="95"/>
      <c r="J582" s="95"/>
      <c r="L582" s="95"/>
      <c r="P582" s="43"/>
    </row>
    <row r="583" spans="2:16" ht="12.75">
      <c r="B583" s="70"/>
      <c r="H583" s="95"/>
      <c r="J583" s="95"/>
      <c r="L583" s="95"/>
      <c r="P583" s="43"/>
    </row>
    <row r="584" spans="2:16" ht="12.75">
      <c r="B584" s="70"/>
      <c r="H584" s="95"/>
      <c r="J584" s="95"/>
      <c r="L584" s="95"/>
      <c r="P584" s="43"/>
    </row>
    <row r="585" spans="2:16" ht="12.75">
      <c r="B585" s="70"/>
      <c r="H585" s="95"/>
      <c r="J585" s="95"/>
      <c r="L585" s="95"/>
      <c r="P585" s="43"/>
    </row>
    <row r="586" spans="2:16" ht="12.75">
      <c r="B586" s="70"/>
      <c r="H586" s="95"/>
      <c r="J586" s="95"/>
      <c r="L586" s="95"/>
      <c r="P586" s="43"/>
    </row>
    <row r="587" spans="2:16" ht="12.75">
      <c r="B587" s="70"/>
      <c r="H587" s="95"/>
      <c r="J587" s="95"/>
      <c r="L587" s="95"/>
      <c r="P587" s="43"/>
    </row>
    <row r="588" spans="2:16" ht="12.75">
      <c r="B588" s="70"/>
      <c r="H588" s="95"/>
      <c r="J588" s="95"/>
      <c r="L588" s="95"/>
      <c r="P588" s="43"/>
    </row>
    <row r="589" spans="2:16" ht="12.75">
      <c r="B589" s="70"/>
      <c r="H589" s="95"/>
      <c r="J589" s="95"/>
      <c r="P589" s="43"/>
    </row>
    <row r="590" spans="2:16" ht="12.75">
      <c r="B590" s="70"/>
      <c r="J590" s="95"/>
      <c r="P590" s="43"/>
    </row>
    <row r="591" spans="2:16" ht="12.75">
      <c r="B591" s="70"/>
      <c r="J591" s="95"/>
      <c r="P591" s="43"/>
    </row>
    <row r="592" spans="2:16" ht="12.75">
      <c r="B592" s="70"/>
      <c r="P592" s="43"/>
    </row>
    <row r="593" ht="12.75">
      <c r="P593" s="43"/>
    </row>
    <row r="594" ht="12.75">
      <c r="P594" s="43"/>
    </row>
    <row r="595" ht="12.75">
      <c r="P595" s="43"/>
    </row>
    <row r="596" ht="12.75">
      <c r="P596" s="43"/>
    </row>
    <row r="597" ht="12.75">
      <c r="P597" s="43"/>
    </row>
    <row r="598" ht="12.75">
      <c r="P598" s="43"/>
    </row>
    <row r="599" ht="12.75">
      <c r="P599" s="43"/>
    </row>
    <row r="600" ht="12.75">
      <c r="P600" s="43"/>
    </row>
    <row r="601" ht="12.75">
      <c r="P601" s="43"/>
    </row>
    <row r="602" ht="12.75">
      <c r="P602" s="43"/>
    </row>
    <row r="603" ht="12.75">
      <c r="P603" s="43"/>
    </row>
    <row r="604" ht="12.75">
      <c r="P604" s="43"/>
    </row>
    <row r="605" ht="12.75">
      <c r="P605" s="43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9055118110236221" bottom="0.5905511811023623" header="0.5118110236220472" footer="0.31496062992125984"/>
  <pageSetup horizontalDpi="600" verticalDpi="600" orientation="portrait" paperSize="9" scale="77" r:id="rId1"/>
  <headerFooter scaleWithDoc="0" alignWithMargins="0">
    <oddFooter>&amp;CStránka &amp;P</oddFooter>
  </headerFooter>
  <rowBreaks count="5" manualBreakCount="5">
    <brk id="89" max="14" man="1"/>
    <brk id="185" max="14" man="1"/>
    <brk id="290" max="14" man="1"/>
    <brk id="397" max="14" man="1"/>
    <brk id="49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2023-12-04T13:40:31Z</cp:lastPrinted>
  <dcterms:created xsi:type="dcterms:W3CDTF">2009-01-05T12:05:07Z</dcterms:created>
  <dcterms:modified xsi:type="dcterms:W3CDTF">2023-12-13T14:47:34Z</dcterms:modified>
  <cp:category/>
  <cp:version/>
  <cp:contentType/>
  <cp:contentStatus/>
</cp:coreProperties>
</file>