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0"/>
  </bookViews>
  <sheets>
    <sheet name="5. ZR" sheetId="1" r:id="rId1"/>
  </sheets>
  <definedNames>
    <definedName name="_xlnm.Print_Titles" localSheetId="0">'5. ZR'!$8:$9</definedName>
    <definedName name="_xlnm.Print_Area" localSheetId="0">'5. ZR'!$A$1:$Q$576</definedName>
    <definedName name="Z_39FD50E0_9911_4D32_8842_5A58F13D310F_.wvu.Cols" localSheetId="0" hidden="1">'5. ZR'!$D:$K,'5. ZR'!$N:$N,'5. ZR'!#REF!</definedName>
    <definedName name="Z_39FD50E0_9911_4D32_8842_5A58F13D310F_.wvu.PrintTitles" localSheetId="0" hidden="1">'5. ZR'!$8:$9</definedName>
    <definedName name="Z_39FD50E0_9911_4D32_8842_5A58F13D310F_.wvu.Rows" localSheetId="0" hidden="1">'5. ZR'!#REF!</definedName>
  </definedNames>
  <calcPr fullCalcOnLoad="1"/>
</workbook>
</file>

<file path=xl/sharedStrings.xml><?xml version="1.0" encoding="utf-8"?>
<sst xmlns="http://schemas.openxmlformats.org/spreadsheetml/2006/main" count="613" uniqueCount="382">
  <si>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</si>
  <si>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</si>
  <si>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</si>
  <si>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</si>
  <si>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</si>
  <si>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</si>
  <si>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</si>
  <si>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</si>
  <si>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</si>
  <si>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</si>
  <si>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</si>
  <si>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</si>
  <si>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</si>
  <si>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</si>
  <si>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</si>
  <si>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</si>
  <si>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</si>
  <si>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</si>
  <si>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</si>
  <si>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</si>
  <si>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</si>
  <si>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</si>
  <si>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</si>
  <si>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</si>
  <si>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</si>
  <si>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</si>
  <si>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</si>
  <si>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</si>
  <si>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</si>
  <si>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</si>
  <si>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</si>
  <si>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</si>
  <si>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</si>
  <si>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</si>
  <si>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</si>
  <si>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</si>
  <si>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</si>
  <si>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</si>
  <si>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</si>
  <si>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</si>
  <si>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</si>
  <si>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</si>
  <si>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</si>
  <si>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</si>
  <si>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</si>
  <si>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</si>
  <si>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</si>
  <si>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</si>
  <si>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</si>
  <si>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</si>
  <si>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</si>
  <si>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</si>
  <si>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</si>
  <si>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</si>
  <si>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</si>
  <si>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</si>
  <si>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</si>
  <si>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</si>
  <si>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</si>
  <si>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</si>
  <si>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</si>
  <si>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</si>
  <si>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</si>
  <si>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</si>
  <si>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</si>
  <si>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</si>
  <si>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</si>
  <si>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</si>
  <si>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</si>
  <si>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</si>
  <si>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</si>
  <si>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</si>
  <si>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</si>
  <si>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</si>
  <si>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</si>
  <si>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</si>
  <si>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</si>
  <si>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</si>
  <si>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</si>
  <si>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</si>
  <si>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</si>
  <si>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</si>
  <si>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</si>
  <si>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</si>
  <si>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</si>
  <si>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</si>
  <si>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</si>
  <si>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</si>
  <si>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</si>
  <si>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</si>
  <si>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</si>
  <si>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</si>
  <si>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</si>
  <si>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</si>
  <si>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</si>
  <si>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</si>
  <si>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</si>
  <si>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</si>
  <si>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</si>
  <si>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</si>
  <si>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</si>
  <si>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</si>
  <si>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</si>
  <si>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</si>
  <si>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</si>
  <si>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</si>
  <si>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</si>
  <si>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</si>
  <si>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</si>
  <si>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</si>
  <si>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</si>
  <si>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</si>
  <si>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</si>
  <si>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</si>
  <si>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</si>
  <si>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</si>
  <si>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</si>
  <si>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</si>
  <si>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</si>
  <si>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</si>
  <si>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</si>
  <si>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</si>
  <si>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</si>
  <si>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</si>
  <si>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</si>
  <si>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</si>
  <si>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</si>
  <si>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</si>
  <si>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</si>
  <si>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</si>
  <si>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</si>
  <si>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</si>
  <si>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</si>
  <si>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</si>
  <si>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</si>
  <si>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</si>
  <si>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</si>
  <si>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</si>
  <si>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</si>
  <si>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</si>
  <si>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</si>
  <si>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</si>
  <si>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</si>
  <si>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</si>
  <si>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</si>
  <si>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</si>
  <si>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</si>
  <si>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</si>
  <si>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</si>
  <si>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</si>
  <si>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</si>
  <si>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</si>
  <si>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</si>
  <si>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</si>
  <si>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</si>
  <si>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</si>
  <si>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</si>
  <si>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</si>
  <si>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</si>
  <si>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</si>
  <si>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</si>
  <si>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</si>
  <si>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</si>
  <si>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</si>
  <si>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</si>
  <si>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</si>
  <si>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</si>
  <si>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</si>
  <si>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</si>
  <si>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</si>
  <si>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</si>
  <si>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</si>
  <si>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</si>
  <si>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</si>
  <si>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</si>
  <si>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</si>
  <si>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</si>
  <si>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</si>
  <si>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</si>
  <si>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</si>
  <si>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</si>
  <si>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</si>
  <si>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</si>
  <si>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</si>
  <si>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</si>
  <si>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</si>
  <si>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</si>
  <si>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</si>
  <si>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</si>
  <si>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</si>
  <si>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majetková účast v a.s. Zdravotnický holding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</si>
  <si>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</si>
  <si>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</si>
  <si>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</si>
  <si>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</si>
  <si>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</si>
  <si>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</si>
  <si>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</si>
  <si>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</si>
  <si>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</si>
  <si>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</si>
  <si>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</si>
  <si>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</si>
  <si>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</si>
  <si>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</si>
  <si>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</si>
  <si>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</si>
  <si>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</si>
  <si>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</si>
  <si>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</si>
  <si>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</si>
  <si>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</si>
  <si>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</si>
  <si>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>průmyslová zóna Kvasiny - SR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</si>
  <si>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</si>
  <si>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</si>
  <si>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</si>
  <si>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</si>
  <si>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</si>
  <si>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</si>
  <si>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</si>
  <si>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</si>
  <si>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</si>
  <si>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</si>
  <si>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</si>
  <si>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</si>
  <si>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</si>
  <si>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</si>
  <si>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</si>
  <si>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</si>
  <si>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</si>
  <si>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</si>
  <si>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</si>
  <si>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</si>
  <si>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</si>
  <si>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</si>
  <si>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</si>
  <si>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</si>
  <si>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</si>
  <si>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</si>
  <si>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</si>
  <si>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</si>
  <si>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</si>
  <si>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</si>
  <si>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</si>
  <si>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</si>
  <si>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řešení mimoř.událostí a kriz.situací ZZS KHK - SR</t>
  </si>
  <si>
    <t>podpora mládeže na krajské úrovni - SR</t>
  </si>
  <si>
    <t xml:space="preserve">              rezerva neinvestiční a poplatky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</si>
  <si>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</si>
  <si>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</si>
  <si>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</si>
  <si>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</si>
  <si>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</si>
  <si>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</si>
  <si>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</si>
  <si>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>Digitální planetárium - zásobník na chlad, PD kotelny</t>
  </si>
  <si>
    <t xml:space="preserve">poplatky za odebr. množství podzemní vody </t>
  </si>
  <si>
    <t>investiční transfery obcím a DSO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</si>
  <si>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</si>
  <si>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</si>
  <si>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</si>
  <si>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</si>
  <si>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</si>
  <si>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</si>
  <si>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</si>
  <si>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</si>
  <si>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</si>
  <si>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</si>
  <si>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</si>
  <si>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</si>
  <si>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</si>
  <si>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</si>
  <si>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</si>
  <si>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</si>
  <si>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</si>
  <si>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</si>
  <si>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</si>
  <si>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</si>
  <si>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</si>
  <si>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</si>
  <si>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</si>
  <si>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</si>
  <si>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</si>
  <si>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</si>
  <si>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</si>
  <si>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</si>
  <si>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</si>
  <si>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</si>
  <si>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projekt mobility osob v programu Erasmus - SR</t>
  </si>
  <si>
    <t>OP Z Rozvoj dostup.a kvality soc.sl.v KHK VII - SR 2021</t>
  </si>
  <si>
    <t>OP Z Služby soc.prevence v KHK V - SR  2021</t>
  </si>
  <si>
    <t>nástroje pro oživení a odolnost - doučování žáků - SR</t>
  </si>
  <si>
    <t xml:space="preserve">             informatika</t>
  </si>
  <si>
    <t xml:space="preserve">          školství - vzdělávání </t>
  </si>
  <si>
    <t>NA ROK 2023</t>
  </si>
  <si>
    <t>ISO 50001 - plnění cílů</t>
  </si>
  <si>
    <t xml:space="preserve">průmyslová zóna Solnice - Kvasiny </t>
  </si>
  <si>
    <t>rezerva - navýšení energií</t>
  </si>
  <si>
    <t>příprava a realizace OZE (obnovitelné zdroje energie)</t>
  </si>
  <si>
    <t xml:space="preserve">                             - soukromé školství - SR</t>
  </si>
  <si>
    <t>OP Z+ Služby sociální prevence v KHK VII - SR</t>
  </si>
  <si>
    <t>OP Z+ Podpora procesu transformace péče o ohrož.děti v KHK - SR</t>
  </si>
  <si>
    <t>Výměna kotlů pro nízkopříjmové domácnosti v KHK I. - SR</t>
  </si>
  <si>
    <t xml:space="preserve">  z MF</t>
  </si>
  <si>
    <t>Komunitní zahrada kapucínského kláštera v Opočně - SR</t>
  </si>
  <si>
    <t>spolupráce se studenty - příprava investic</t>
  </si>
  <si>
    <t>energetika</t>
  </si>
  <si>
    <t>řešení krizových a havarijních situací</t>
  </si>
  <si>
    <t>Krajský akční plán vzdělávání v KHK - SR 2022</t>
  </si>
  <si>
    <t>IKAP rozvoje vzdělávání v KHK II - SR 2022</t>
  </si>
  <si>
    <t>Krajský akční plán vzdělávání v KHK II - SR 2022</t>
  </si>
  <si>
    <t>OP VVV - Smart Akcelerátor II. - SR 2022</t>
  </si>
  <si>
    <t>OP Z - Predikce trhu práce - Kompas - SR 2022</t>
  </si>
  <si>
    <t>Snížení emisí z lokál.vytápění domácností v KHK II - SR 2022</t>
  </si>
  <si>
    <t>Snížení emisí z lokál.vytápění domácností v KHK III. - SR 2022</t>
  </si>
  <si>
    <t>potravinová pomoc dětem v KHK V - obědy do škol - SR 2022</t>
  </si>
  <si>
    <t>Nová zelená úsporám - AMO - SR 2022</t>
  </si>
  <si>
    <t>OP Z+ Rozvoj reg.partnerství v soc.oblasti v KHK III - SR 2022</t>
  </si>
  <si>
    <t>OP Z+ Žijeme v komunitě fáze 1 - SR 2022</t>
  </si>
  <si>
    <t>OP Z+ Žijeme v komunitě fáze 2 - SR 2022</t>
  </si>
  <si>
    <t>OP Z Služby soc.prevence v KHK VI - SR  2022</t>
  </si>
  <si>
    <t>OP Z Služby soc.prevence v KHK VII - SR  2022</t>
  </si>
  <si>
    <t>OP Z+ Podpora procesů reformy péče o duševní zdraví - SR 2022</t>
  </si>
  <si>
    <t>OP Z+ Rozvoj kompetencí sociálních služeb v KHK - SR 2022</t>
  </si>
  <si>
    <t>Interreg VA ČR-PL online digitální platforma - SR</t>
  </si>
  <si>
    <t>Hry X. zimní olympiády dětí a mládeže ČR 2023 - SR</t>
  </si>
  <si>
    <t>Výměna kotlů pro nízkopříjmové domácnosti v KHK I. - SR 2022</t>
  </si>
  <si>
    <t>OP Z - Agentura pro sociální začleňování jako inovační aktér - SR</t>
  </si>
  <si>
    <t>Správa nemovitostí KHK, a.s. - příplatek k základnímu kapitálu</t>
  </si>
  <si>
    <t>financování ukrajinských asistentů pedagoga - SR</t>
  </si>
  <si>
    <t>OP JAK - Šablony - Zlepšení kvality vzdělávání - SR</t>
  </si>
  <si>
    <t xml:space="preserve">OP JAK - Smart Akcelerátor plus KHK I. </t>
  </si>
  <si>
    <t>učební pomůcky pro MŠ - rozvoj informativního myšlení - SR</t>
  </si>
  <si>
    <t>prevence digi propasti - pořízení digit.techn. pro znev.žáky-SR</t>
  </si>
  <si>
    <t xml:space="preserve">Krajský akční plán vzdělávání v KHK II - SR </t>
  </si>
  <si>
    <t>IP Posilování kompet.ped.prac.a škol.ped.poraden. - SR</t>
  </si>
  <si>
    <t>12002, 95032</t>
  </si>
  <si>
    <t>výkon sociální práce 2023</t>
  </si>
  <si>
    <t xml:space="preserve">OP Z+ Podpora procesů reformy péče o duševní zdraví - SR </t>
  </si>
  <si>
    <t xml:space="preserve">OP Z+ Žijeme v komunitě fáze 2 - SR </t>
  </si>
  <si>
    <t>Podpora služeb s nadreg.a celostátní působností - SR</t>
  </si>
  <si>
    <t>zajištění zázemí provozu a činnosti KACPU - SR</t>
  </si>
  <si>
    <t>integrovaný systém ochrany mov.kult.dědictví II - SR</t>
  </si>
  <si>
    <t>podpora vých.vzdělávacích aktivit v muzejnictví - SR</t>
  </si>
  <si>
    <t>Plán pro zvládání sucha a stavu nedostatku vody KHK - SR</t>
  </si>
  <si>
    <t>Interreg VA ČR-PL Kompetence 4.0 - SR</t>
  </si>
  <si>
    <t xml:space="preserve">IKAP rozvoje vzdělávání v KHK II - SR </t>
  </si>
  <si>
    <t>Komunitní zahrada kapucínského kláštera v Opočně - SR 2022</t>
  </si>
  <si>
    <t>CEP a.s. HK - příplatek mimo základní kapitál</t>
  </si>
  <si>
    <t xml:space="preserve">          cestovní ruch</t>
  </si>
  <si>
    <t>podpora škol s nadprům. zastoupením soc. znevýhod. žáků - SR</t>
  </si>
  <si>
    <t>OPZ - Rozvoj systému hospodaření s energií v KHK - SR 2022</t>
  </si>
  <si>
    <t>prev.neg.dopadů psych.a fyz.zátěže v souvisl.s epid.COVID-19-SR</t>
  </si>
  <si>
    <t xml:space="preserve">            školství - vzdělávání  a prevence</t>
  </si>
  <si>
    <t>podp. soc. znevýhodn. rom. žáků SŠ a studentů VOŠ - SR</t>
  </si>
  <si>
    <t xml:space="preserve">OP Z+ Rozvoj kompetencí sociálních služeb v KHK - SR </t>
  </si>
  <si>
    <t xml:space="preserve">OP Z+ Žijeme v komunitě fáze 1 - SR </t>
  </si>
  <si>
    <t xml:space="preserve">OPZ - Rozvoj systému hospodaření s energií v KHK - SR </t>
  </si>
  <si>
    <t xml:space="preserve">OP Z+ Rozvoj reg.partnerství v soc.oblasti v KHK III - SR </t>
  </si>
  <si>
    <t>národní plán obnovy - strategie, digitalizace - SR</t>
  </si>
  <si>
    <t>standardizované veřejné služby muzeí a galerií - SR</t>
  </si>
  <si>
    <t>podpora expozičních a výstavních projektů - SR</t>
  </si>
  <si>
    <t xml:space="preserve">  z Mze</t>
  </si>
  <si>
    <t>nemocnice Rychnov n.K. - rozšíření PZ Solnice - Kvasiny - SR</t>
  </si>
  <si>
    <t>kap. 49 - Regionální výzkumný a inovační fond KHK</t>
  </si>
  <si>
    <t>Výměna kotlů pro nízkopříjmové domácnosti v KHK II. - SR</t>
  </si>
  <si>
    <t>33063, 33092</t>
  </si>
  <si>
    <t>národní program podpory cestovního ruchu v regionech - SR</t>
  </si>
  <si>
    <t>národní plán obnovy - strategie, digitalizace, kreativita - SR</t>
  </si>
  <si>
    <t>Výměna kotlů pro nízkopříjmové domácnosti v KHK II. - SR 2022</t>
  </si>
  <si>
    <t>koordinace pedagogických praxí pro MŠ, ZŠ a SŠ - SR</t>
  </si>
  <si>
    <t>OPZ+ - Příležitost pro začátek - SR</t>
  </si>
  <si>
    <t>digit.učební pomůcky pro rozvoj informat. myšlení a dig.kompet. - SR</t>
  </si>
  <si>
    <t xml:space="preserve">OP Z+ Žijeme v komunitě fáze 3 - SR </t>
  </si>
  <si>
    <t>akviziční fond - SR</t>
  </si>
  <si>
    <t>jednotný inform.systém v letecké záchr.službě - pro ZZS KHK-SR</t>
  </si>
  <si>
    <t>Centra odborné přípravy - SR</t>
  </si>
  <si>
    <t>lesní hospodářské plány v digit. podobě - SR</t>
  </si>
  <si>
    <t>zajištění služeb sociální péče pro uprchlíky z Ukrajiny - SR</t>
  </si>
  <si>
    <t xml:space="preserve">potravinová pomoc dětem v sociální nouzi v KHK - SR </t>
  </si>
  <si>
    <t xml:space="preserve">potravinová pomoc dětem v KHK V - obědy do škol - SR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</si>
</sst>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6"/>
      <name val="Arial CE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thin"/>
      <right style="thick"/>
      <top/>
      <bottom style="thin"/>
    </border>
    <border>
      <left style="thin"/>
      <right style="thick"/>
      <top style="medium"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8" fillId="0" borderId="0" applyNumberFormat="0" applyFill="0" applyBorder="0" applyAlignment="0" applyProtection="0"/>
    <xf numFmtId="0" fontId="39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3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4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7" fontId="4" fillId="0" borderId="11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13" xfId="38" applyNumberFormat="1" applyFont="1" applyBorder="1" applyAlignment="1">
      <alignment horizontal="center"/>
    </xf>
    <xf numFmtId="168" fontId="4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/>
    </xf>
    <xf numFmtId="167" fontId="4" fillId="0" borderId="14" xfId="38" applyNumberFormat="1" applyFont="1" applyBorder="1" applyAlignment="1">
      <alignment horizontal="center"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0" fillId="0" borderId="16" xfId="0" applyBorder="1" applyAlignment="1">
      <alignment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7" xfId="0" applyBorder="1" applyAlignment="1">
      <alignment/>
    </xf>
    <xf numFmtId="3" fontId="0" fillId="0" borderId="16" xfId="0" applyFont="1" applyBorder="1" applyAlignment="1">
      <alignment/>
    </xf>
    <xf numFmtId="3" fontId="2" fillId="0" borderId="18" xfId="0" applyFont="1" applyBorder="1" applyAlignment="1">
      <alignment vertical="center"/>
    </xf>
    <xf numFmtId="3" fontId="6" fillId="0" borderId="16" xfId="0" applyFont="1" applyBorder="1" applyAlignment="1">
      <alignment/>
    </xf>
    <xf numFmtId="3" fontId="6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7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4" fillId="0" borderId="16" xfId="0" applyFont="1" applyFill="1" applyBorder="1" applyAlignment="1">
      <alignment/>
    </xf>
    <xf numFmtId="3" fontId="4" fillId="0" borderId="18" xfId="0" applyFont="1" applyBorder="1" applyAlignment="1">
      <alignment/>
    </xf>
    <xf numFmtId="3" fontId="3" fillId="0" borderId="19" xfId="0" applyFont="1" applyBorder="1" applyAlignment="1">
      <alignment vertical="center"/>
    </xf>
    <xf numFmtId="3" fontId="4" fillId="0" borderId="19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0" fillId="0" borderId="16" xfId="0" applyFont="1" applyBorder="1" applyAlignment="1">
      <alignment vertical="center"/>
    </xf>
    <xf numFmtId="3" fontId="0" fillId="0" borderId="16" xfId="0" applyBorder="1" applyAlignment="1">
      <alignment vertical="center"/>
    </xf>
    <xf numFmtId="3" fontId="7" fillId="0" borderId="16" xfId="0" applyFont="1" applyBorder="1" applyAlignment="1">
      <alignment/>
    </xf>
    <xf numFmtId="3" fontId="4" fillId="0" borderId="16" xfId="0" applyFont="1" applyBorder="1" applyAlignment="1">
      <alignment horizontal="left" vertical="center"/>
    </xf>
    <xf numFmtId="167" fontId="4" fillId="0" borderId="15" xfId="38" applyNumberFormat="1" applyFont="1" applyBorder="1" applyAlignment="1">
      <alignment horizontal="center"/>
    </xf>
    <xf numFmtId="167" fontId="4" fillId="0" borderId="21" xfId="38" applyNumberFormat="1" applyFont="1" applyBorder="1" applyAlignment="1">
      <alignment horizontal="center"/>
    </xf>
    <xf numFmtId="167" fontId="4" fillId="0" borderId="22" xfId="38" applyNumberFormat="1" applyFont="1" applyBorder="1" applyAlignment="1">
      <alignment horizontal="center"/>
    </xf>
    <xf numFmtId="167" fontId="4" fillId="0" borderId="23" xfId="38" applyNumberFormat="1" applyFont="1" applyBorder="1" applyAlignment="1">
      <alignment horizontal="center"/>
    </xf>
    <xf numFmtId="3" fontId="54" fillId="0" borderId="0" xfId="0" applyFont="1" applyAlignment="1">
      <alignment/>
    </xf>
    <xf numFmtId="3" fontId="0" fillId="0" borderId="18" xfId="0" applyBorder="1" applyAlignment="1">
      <alignment vertical="center"/>
    </xf>
    <xf numFmtId="3" fontId="55" fillId="0" borderId="0" xfId="0" applyFont="1" applyAlignment="1">
      <alignment/>
    </xf>
    <xf numFmtId="3" fontId="7" fillId="0" borderId="24" xfId="0" applyFont="1" applyBorder="1" applyAlignment="1">
      <alignment/>
    </xf>
    <xf numFmtId="3" fontId="4" fillId="0" borderId="25" xfId="0" applyFont="1" applyBorder="1" applyAlignment="1">
      <alignment horizontal="center" vertical="center"/>
    </xf>
    <xf numFmtId="3" fontId="4" fillId="0" borderId="24" xfId="0" applyFont="1" applyBorder="1" applyAlignment="1">
      <alignment horizontal="left" vertical="center"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4" xfId="0" applyBorder="1" applyAlignment="1">
      <alignment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2" fillId="0" borderId="26" xfId="0" applyFont="1" applyBorder="1" applyAlignment="1">
      <alignment vertical="center"/>
    </xf>
    <xf numFmtId="3" fontId="7" fillId="0" borderId="24" xfId="0" applyFont="1" applyBorder="1" applyAlignment="1">
      <alignment horizontal="center"/>
    </xf>
    <xf numFmtId="3" fontId="0" fillId="0" borderId="16" xfId="0" applyFont="1" applyBorder="1" applyAlignment="1">
      <alignment/>
    </xf>
    <xf numFmtId="3" fontId="9" fillId="0" borderId="24" xfId="0" applyFont="1" applyBorder="1" applyAlignment="1">
      <alignment/>
    </xf>
    <xf numFmtId="3" fontId="7" fillId="0" borderId="27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24" xfId="0" applyFont="1" applyFill="1" applyBorder="1" applyAlignment="1">
      <alignment horizontal="center"/>
    </xf>
    <xf numFmtId="3" fontId="7" fillId="0" borderId="24" xfId="0" applyFont="1" applyFill="1" applyBorder="1" applyAlignment="1">
      <alignment horizontal="center"/>
    </xf>
    <xf numFmtId="3" fontId="9" fillId="0" borderId="19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16" xfId="0" applyFont="1" applyBorder="1" applyAlignment="1">
      <alignment horizontal="center" vertical="center"/>
    </xf>
    <xf numFmtId="3" fontId="9" fillId="0" borderId="18" xfId="0" applyFont="1" applyBorder="1" applyAlignment="1">
      <alignment horizontal="center" vertical="center"/>
    </xf>
    <xf numFmtId="3" fontId="7" fillId="0" borderId="16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4" xfId="38" applyNumberFormat="1" applyFont="1" applyBorder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1" xfId="38" applyNumberFormat="1" applyFont="1" applyBorder="1" applyAlignment="1">
      <alignment vertical="center"/>
    </xf>
    <xf numFmtId="176" fontId="2" fillId="0" borderId="22" xfId="38" applyNumberFormat="1" applyFont="1" applyBorder="1" applyAlignment="1">
      <alignment vertical="center"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28" xfId="38" applyNumberFormat="1" applyFont="1" applyBorder="1" applyAlignment="1">
      <alignment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29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4" fillId="0" borderId="30" xfId="38" applyNumberFormat="1" applyFont="1" applyBorder="1" applyAlignment="1">
      <alignment/>
    </xf>
    <xf numFmtId="176" fontId="2" fillId="0" borderId="11" xfId="38" applyNumberFormat="1" applyFont="1" applyBorder="1" applyAlignment="1">
      <alignment vertical="center"/>
    </xf>
    <xf numFmtId="167" fontId="5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16" xfId="0" applyFont="1" applyFill="1" applyBorder="1" applyAlignment="1">
      <alignment/>
    </xf>
    <xf numFmtId="3" fontId="4" fillId="0" borderId="26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22" xfId="38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/>
    </xf>
    <xf numFmtId="176" fontId="0" fillId="0" borderId="30" xfId="38" applyNumberFormat="1" applyFont="1" applyBorder="1" applyAlignment="1">
      <alignment/>
    </xf>
    <xf numFmtId="176" fontId="4" fillId="0" borderId="30" xfId="38" applyNumberFormat="1" applyFont="1" applyBorder="1" applyAlignment="1">
      <alignment/>
    </xf>
    <xf numFmtId="176" fontId="2" fillId="0" borderId="31" xfId="38" applyNumberFormat="1" applyFont="1" applyBorder="1" applyAlignment="1">
      <alignment vertical="center"/>
    </xf>
    <xf numFmtId="176" fontId="6" fillId="0" borderId="30" xfId="38" applyNumberFormat="1" applyFont="1" applyBorder="1" applyAlignment="1">
      <alignment/>
    </xf>
    <xf numFmtId="176" fontId="6" fillId="0" borderId="30" xfId="38" applyNumberFormat="1" applyFont="1" applyBorder="1" applyAlignment="1">
      <alignment/>
    </xf>
    <xf numFmtId="176" fontId="2" fillId="0" borderId="32" xfId="38" applyNumberFormat="1" applyFont="1" applyBorder="1" applyAlignment="1">
      <alignment vertical="center"/>
    </xf>
    <xf numFmtId="3" fontId="10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3" fontId="0" fillId="0" borderId="27" xfId="0" applyFont="1" applyBorder="1" applyAlignment="1">
      <alignment/>
    </xf>
    <xf numFmtId="176" fontId="4" fillId="0" borderId="16" xfId="38" applyNumberFormat="1" applyFont="1" applyBorder="1" applyAlignment="1">
      <alignment/>
    </xf>
    <xf numFmtId="176" fontId="0" fillId="0" borderId="16" xfId="38" applyNumberFormat="1" applyFont="1" applyBorder="1" applyAlignment="1">
      <alignment/>
    </xf>
    <xf numFmtId="176" fontId="4" fillId="0" borderId="16" xfId="38" applyNumberFormat="1" applyFont="1" applyBorder="1" applyAlignment="1">
      <alignment/>
    </xf>
    <xf numFmtId="176" fontId="2" fillId="0" borderId="18" xfId="38" applyNumberFormat="1" applyFont="1" applyBorder="1" applyAlignment="1">
      <alignment vertical="center"/>
    </xf>
    <xf numFmtId="176" fontId="6" fillId="0" borderId="16" xfId="38" applyNumberFormat="1" applyFont="1" applyBorder="1" applyAlignment="1">
      <alignment/>
    </xf>
    <xf numFmtId="176" fontId="6" fillId="0" borderId="16" xfId="38" applyNumberFormat="1" applyFont="1" applyBorder="1" applyAlignment="1">
      <alignment/>
    </xf>
    <xf numFmtId="176" fontId="0" fillId="0" borderId="16" xfId="38" applyNumberFormat="1" applyFont="1" applyFill="1" applyBorder="1" applyAlignment="1">
      <alignment/>
    </xf>
    <xf numFmtId="176" fontId="3" fillId="0" borderId="19" xfId="38" applyNumberFormat="1" applyFont="1" applyBorder="1" applyAlignment="1">
      <alignment vertical="center"/>
    </xf>
    <xf numFmtId="176" fontId="4" fillId="0" borderId="19" xfId="38" applyNumberFormat="1" applyFont="1" applyBorder="1" applyAlignment="1">
      <alignment vertical="center"/>
    </xf>
    <xf numFmtId="176" fontId="2" fillId="0" borderId="19" xfId="38" applyNumberFormat="1" applyFont="1" applyBorder="1" applyAlignment="1">
      <alignment vertical="center"/>
    </xf>
    <xf numFmtId="176" fontId="3" fillId="0" borderId="20" xfId="38" applyNumberFormat="1" applyFont="1" applyBorder="1" applyAlignment="1">
      <alignment vertical="center"/>
    </xf>
    <xf numFmtId="176" fontId="3" fillId="0" borderId="16" xfId="38" applyNumberFormat="1" applyFont="1" applyBorder="1" applyAlignment="1">
      <alignment vertical="center"/>
    </xf>
    <xf numFmtId="176" fontId="3" fillId="0" borderId="18" xfId="38" applyNumberFormat="1" applyFont="1" applyBorder="1" applyAlignment="1">
      <alignment vertical="center"/>
    </xf>
    <xf numFmtId="176" fontId="2" fillId="0" borderId="20" xfId="38" applyNumberFormat="1" applyFont="1" applyBorder="1" applyAlignment="1">
      <alignment vertical="center"/>
    </xf>
    <xf numFmtId="176" fontId="0" fillId="0" borderId="31" xfId="38" applyNumberFormat="1" applyFont="1" applyBorder="1" applyAlignment="1">
      <alignment vertical="center"/>
    </xf>
    <xf numFmtId="3" fontId="0" fillId="0" borderId="17" xfId="0" applyFont="1" applyBorder="1" applyAlignment="1">
      <alignment/>
    </xf>
    <xf numFmtId="3" fontId="0" fillId="0" borderId="16" xfId="0" applyFill="1" applyBorder="1" applyAlignment="1">
      <alignment/>
    </xf>
    <xf numFmtId="167" fontId="55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176" fontId="4" fillId="0" borderId="15" xfId="38" applyNumberFormat="1" applyFont="1" applyBorder="1" applyAlignment="1">
      <alignment/>
    </xf>
    <xf numFmtId="176" fontId="0" fillId="0" borderId="15" xfId="38" applyNumberFormat="1" applyFont="1" applyBorder="1" applyAlignment="1">
      <alignment/>
    </xf>
    <xf numFmtId="176" fontId="0" fillId="0" borderId="14" xfId="38" applyNumberFormat="1" applyFont="1" applyFill="1" applyBorder="1" applyAlignment="1">
      <alignment/>
    </xf>
    <xf numFmtId="176" fontId="3" fillId="0" borderId="33" xfId="38" applyNumberFormat="1" applyFont="1" applyBorder="1" applyAlignment="1">
      <alignment vertical="center"/>
    </xf>
    <xf numFmtId="176" fontId="4" fillId="0" borderId="33" xfId="38" applyNumberFormat="1" applyFont="1" applyBorder="1" applyAlignment="1">
      <alignment vertical="center"/>
    </xf>
    <xf numFmtId="176" fontId="4" fillId="0" borderId="29" xfId="38" applyNumberFormat="1" applyFont="1" applyBorder="1" applyAlignment="1">
      <alignment vertical="center"/>
    </xf>
    <xf numFmtId="176" fontId="2" fillId="0" borderId="33" xfId="38" applyNumberFormat="1" applyFont="1" applyBorder="1" applyAlignment="1">
      <alignment vertical="center"/>
    </xf>
    <xf numFmtId="176" fontId="2" fillId="0" borderId="29" xfId="38" applyNumberFormat="1" applyFont="1" applyBorder="1" applyAlignment="1">
      <alignment vertical="center"/>
    </xf>
    <xf numFmtId="176" fontId="3" fillId="0" borderId="11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21" xfId="38" applyNumberFormat="1" applyFont="1" applyBorder="1" applyAlignment="1">
      <alignment vertical="center"/>
    </xf>
    <xf numFmtId="176" fontId="0" fillId="0" borderId="30" xfId="38" applyNumberFormat="1" applyFont="1" applyFill="1" applyBorder="1" applyAlignment="1">
      <alignment/>
    </xf>
    <xf numFmtId="176" fontId="3" fillId="0" borderId="34" xfId="38" applyNumberFormat="1" applyFont="1" applyBorder="1" applyAlignment="1">
      <alignment vertical="center"/>
    </xf>
    <xf numFmtId="176" fontId="2" fillId="0" borderId="34" xfId="38" applyNumberFormat="1" applyFont="1" applyBorder="1" applyAlignment="1">
      <alignment vertical="center"/>
    </xf>
    <xf numFmtId="176" fontId="3" fillId="0" borderId="32" xfId="38" applyNumberFormat="1" applyFont="1" applyBorder="1" applyAlignment="1">
      <alignment vertical="center"/>
    </xf>
    <xf numFmtId="176" fontId="3" fillId="0" borderId="30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67" fontId="4" fillId="0" borderId="35" xfId="38" applyNumberFormat="1" applyFont="1" applyBorder="1" applyAlignment="1">
      <alignment horizontal="center"/>
    </xf>
    <xf numFmtId="167" fontId="4" fillId="0" borderId="36" xfId="38" applyNumberFormat="1" applyFont="1" applyBorder="1" applyAlignment="1">
      <alignment horizontal="center"/>
    </xf>
    <xf numFmtId="167" fontId="4" fillId="0" borderId="32" xfId="38" applyNumberFormat="1" applyFont="1" applyBorder="1" applyAlignment="1">
      <alignment horizontal="center"/>
    </xf>
    <xf numFmtId="167" fontId="4" fillId="0" borderId="31" xfId="38" applyNumberFormat="1" applyFont="1" applyBorder="1" applyAlignment="1">
      <alignment horizontal="center"/>
    </xf>
    <xf numFmtId="3" fontId="0" fillId="0" borderId="37" xfId="0" applyBorder="1" applyAlignment="1">
      <alignment/>
    </xf>
    <xf numFmtId="167" fontId="4" fillId="0" borderId="30" xfId="38" applyNumberFormat="1" applyFont="1" applyBorder="1" applyAlignment="1">
      <alignment horizontal="center"/>
    </xf>
    <xf numFmtId="176" fontId="0" fillId="0" borderId="30" xfId="38" applyNumberFormat="1" applyFont="1" applyBorder="1" applyAlignment="1">
      <alignment/>
    </xf>
    <xf numFmtId="176" fontId="0" fillId="0" borderId="38" xfId="38" applyNumberFormat="1" applyFont="1" applyBorder="1" applyAlignment="1">
      <alignment/>
    </xf>
    <xf numFmtId="176" fontId="6" fillId="0" borderId="30" xfId="38" applyNumberFormat="1" applyFont="1" applyFill="1" applyBorder="1" applyAlignment="1">
      <alignment/>
    </xf>
    <xf numFmtId="176" fontId="0" fillId="0" borderId="30" xfId="38" applyNumberFormat="1" applyFont="1" applyFill="1" applyBorder="1" applyAlignment="1">
      <alignment/>
    </xf>
    <xf numFmtId="176" fontId="0" fillId="0" borderId="34" xfId="38" applyNumberFormat="1" applyFont="1" applyBorder="1" applyAlignment="1">
      <alignment vertical="center"/>
    </xf>
    <xf numFmtId="176" fontId="2" fillId="0" borderId="30" xfId="38" applyNumberFormat="1" applyFont="1" applyBorder="1" applyAlignment="1">
      <alignment vertical="center"/>
    </xf>
    <xf numFmtId="176" fontId="0" fillId="0" borderId="30" xfId="38" applyNumberFormat="1" applyFont="1" applyBorder="1" applyAlignment="1">
      <alignment vertical="center"/>
    </xf>
    <xf numFmtId="167" fontId="4" fillId="0" borderId="20" xfId="38" applyNumberFormat="1" applyFont="1" applyBorder="1" applyAlignment="1">
      <alignment horizontal="center"/>
    </xf>
    <xf numFmtId="167" fontId="4" fillId="0" borderId="18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76" fontId="0" fillId="0" borderId="17" xfId="38" applyNumberFormat="1" applyFont="1" applyBorder="1" applyAlignment="1">
      <alignment/>
    </xf>
    <xf numFmtId="176" fontId="2" fillId="0" borderId="16" xfId="38" applyNumberFormat="1" applyFont="1" applyBorder="1" applyAlignment="1">
      <alignment vertical="center"/>
    </xf>
    <xf numFmtId="176" fontId="0" fillId="0" borderId="16" xfId="38" applyNumberFormat="1" applyFont="1" applyBorder="1" applyAlignment="1">
      <alignment vertical="center"/>
    </xf>
    <xf numFmtId="176" fontId="4" fillId="0" borderId="18" xfId="38" applyNumberFormat="1" applyFont="1" applyBorder="1" applyAlignment="1">
      <alignment vertical="center"/>
    </xf>
    <xf numFmtId="176" fontId="0" fillId="0" borderId="17" xfId="38" applyNumberFormat="1" applyFont="1" applyBorder="1" applyAlignment="1">
      <alignment/>
    </xf>
    <xf numFmtId="167" fontId="4" fillId="0" borderId="39" xfId="38" applyNumberFormat="1" applyFont="1" applyBorder="1" applyAlignment="1">
      <alignment horizontal="center"/>
    </xf>
    <xf numFmtId="167" fontId="4" fillId="0" borderId="40" xfId="38" applyNumberFormat="1" applyFont="1" applyBorder="1" applyAlignment="1">
      <alignment horizontal="center"/>
    </xf>
    <xf numFmtId="167" fontId="4" fillId="0" borderId="41" xfId="38" applyNumberFormat="1" applyFont="1" applyBorder="1" applyAlignment="1">
      <alignment horizontal="center"/>
    </xf>
    <xf numFmtId="176" fontId="4" fillId="0" borderId="41" xfId="38" applyNumberFormat="1" applyFont="1" applyBorder="1" applyAlignment="1">
      <alignment/>
    </xf>
    <xf numFmtId="176" fontId="0" fillId="0" borderId="41" xfId="38" applyNumberFormat="1" applyFont="1" applyBorder="1" applyAlignment="1">
      <alignment/>
    </xf>
    <xf numFmtId="176" fontId="4" fillId="0" borderId="41" xfId="38" applyNumberFormat="1" applyFont="1" applyBorder="1" applyAlignment="1">
      <alignment/>
    </xf>
    <xf numFmtId="176" fontId="2" fillId="0" borderId="40" xfId="38" applyNumberFormat="1" applyFont="1" applyBorder="1" applyAlignment="1">
      <alignment vertical="center"/>
    </xf>
    <xf numFmtId="176" fontId="6" fillId="0" borderId="41" xfId="38" applyNumberFormat="1" applyFont="1" applyBorder="1" applyAlignment="1">
      <alignment/>
    </xf>
    <xf numFmtId="176" fontId="6" fillId="0" borderId="41" xfId="38" applyNumberFormat="1" applyFont="1" applyBorder="1" applyAlignment="1">
      <alignment/>
    </xf>
    <xf numFmtId="176" fontId="0" fillId="0" borderId="42" xfId="38" applyNumberFormat="1" applyFont="1" applyBorder="1" applyAlignment="1">
      <alignment/>
    </xf>
    <xf numFmtId="176" fontId="0" fillId="0" borderId="41" xfId="38" applyNumberFormat="1" applyFont="1" applyFill="1" applyBorder="1" applyAlignment="1">
      <alignment/>
    </xf>
    <xf numFmtId="176" fontId="3" fillId="0" borderId="43" xfId="38" applyNumberFormat="1" applyFont="1" applyBorder="1" applyAlignment="1">
      <alignment vertical="center"/>
    </xf>
    <xf numFmtId="176" fontId="4" fillId="0" borderId="43" xfId="38" applyNumberFormat="1" applyFont="1" applyBorder="1" applyAlignment="1">
      <alignment/>
    </xf>
    <xf numFmtId="176" fontId="2" fillId="0" borderId="43" xfId="38" applyNumberFormat="1" applyFont="1" applyBorder="1" applyAlignment="1">
      <alignment vertical="center"/>
    </xf>
    <xf numFmtId="176" fontId="3" fillId="0" borderId="39" xfId="38" applyNumberFormat="1" applyFont="1" applyBorder="1" applyAlignment="1">
      <alignment vertical="center"/>
    </xf>
    <xf numFmtId="176" fontId="3" fillId="0" borderId="41" xfId="38" applyNumberFormat="1" applyFont="1" applyBorder="1" applyAlignment="1">
      <alignment vertical="center"/>
    </xf>
    <xf numFmtId="176" fontId="3" fillId="0" borderId="40" xfId="38" applyNumberFormat="1" applyFont="1" applyBorder="1" applyAlignment="1">
      <alignment vertical="center"/>
    </xf>
    <xf numFmtId="176" fontId="2" fillId="0" borderId="39" xfId="38" applyNumberFormat="1" applyFont="1" applyBorder="1" applyAlignment="1">
      <alignment vertical="center"/>
    </xf>
    <xf numFmtId="176" fontId="8" fillId="0" borderId="41" xfId="38" applyNumberFormat="1" applyFont="1" applyBorder="1" applyAlignment="1">
      <alignment vertical="center"/>
    </xf>
    <xf numFmtId="176" fontId="0" fillId="0" borderId="41" xfId="38" applyNumberFormat="1" applyFont="1" applyBorder="1" applyAlignment="1">
      <alignment vertical="center"/>
    </xf>
    <xf numFmtId="176" fontId="0" fillId="0" borderId="40" xfId="38" applyNumberFormat="1" applyFont="1" applyBorder="1" applyAlignment="1">
      <alignment vertical="center"/>
    </xf>
    <xf numFmtId="4" fontId="4" fillId="0" borderId="15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6" fillId="0" borderId="15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0" fillId="0" borderId="44" xfId="38" applyNumberFormat="1" applyFont="1" applyBorder="1" applyAlignment="1">
      <alignment/>
    </xf>
    <xf numFmtId="4" fontId="0" fillId="0" borderId="15" xfId="38" applyNumberFormat="1" applyFont="1" applyFill="1" applyBorder="1" applyAlignment="1">
      <alignment/>
    </xf>
    <xf numFmtId="4" fontId="3" fillId="0" borderId="45" xfId="38" applyNumberFormat="1" applyFont="1" applyBorder="1" applyAlignment="1">
      <alignment vertical="center"/>
    </xf>
    <xf numFmtId="4" fontId="2" fillId="0" borderId="45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" fontId="0" fillId="0" borderId="15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176" fontId="0" fillId="0" borderId="14" xfId="0" applyNumberFormat="1" applyBorder="1" applyAlignment="1">
      <alignment/>
    </xf>
    <xf numFmtId="176" fontId="0" fillId="0" borderId="46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3" fontId="13" fillId="0" borderId="24" xfId="0" applyFont="1" applyBorder="1" applyAlignment="1">
      <alignment horizontal="center"/>
    </xf>
    <xf numFmtId="3" fontId="12" fillId="0" borderId="27" xfId="0" applyFont="1" applyBorder="1" applyAlignment="1">
      <alignment horizontal="center"/>
    </xf>
    <xf numFmtId="176" fontId="11" fillId="0" borderId="28" xfId="38" applyNumberFormat="1" applyFont="1" applyBorder="1" applyAlignment="1">
      <alignment/>
    </xf>
    <xf numFmtId="3" fontId="7" fillId="0" borderId="24" xfId="0" applyFont="1" applyBorder="1" applyAlignment="1">
      <alignment horizontal="center" vertical="center"/>
    </xf>
    <xf numFmtId="176" fontId="0" fillId="0" borderId="14" xfId="38" applyNumberFormat="1" applyFont="1" applyBorder="1" applyAlignment="1">
      <alignment vertical="center"/>
    </xf>
    <xf numFmtId="176" fontId="0" fillId="0" borderId="21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29" xfId="38" applyNumberFormat="1" applyFont="1" applyBorder="1" applyAlignment="1">
      <alignment vertical="center"/>
    </xf>
    <xf numFmtId="4" fontId="4" fillId="0" borderId="29" xfId="38" applyNumberFormat="1" applyFont="1" applyBorder="1" applyAlignment="1">
      <alignment vertical="center"/>
    </xf>
    <xf numFmtId="4" fontId="2" fillId="0" borderId="29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6" fillId="0" borderId="47" xfId="38" applyNumberFormat="1" applyFont="1" applyBorder="1" applyAlignment="1">
      <alignment/>
    </xf>
    <xf numFmtId="4" fontId="2" fillId="0" borderId="48" xfId="38" applyNumberFormat="1" applyFont="1" applyBorder="1" applyAlignment="1">
      <alignment vertical="center"/>
    </xf>
    <xf numFmtId="4" fontId="4" fillId="0" borderId="14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14" xfId="38" applyNumberFormat="1" applyFont="1" applyFill="1" applyBorder="1" applyAlignment="1">
      <alignment/>
    </xf>
    <xf numFmtId="4" fontId="2" fillId="0" borderId="21" xfId="38" applyNumberFormat="1" applyFont="1" applyBorder="1" applyAlignment="1">
      <alignment vertical="center"/>
    </xf>
    <xf numFmtId="4" fontId="6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0" fillId="0" borderId="46" xfId="38" applyNumberFormat="1" applyFont="1" applyBorder="1" applyAlignment="1">
      <alignment/>
    </xf>
    <xf numFmtId="4" fontId="4" fillId="0" borderId="33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49" xfId="38" applyNumberFormat="1" applyFont="1" applyBorder="1" applyAlignment="1">
      <alignment vertical="center"/>
    </xf>
    <xf numFmtId="4" fontId="3" fillId="0" borderId="48" xfId="38" applyNumberFormat="1" applyFont="1" applyBorder="1" applyAlignment="1">
      <alignment vertical="center"/>
    </xf>
    <xf numFmtId="4" fontId="3" fillId="0" borderId="47" xfId="38" applyNumberFormat="1" applyFont="1" applyBorder="1" applyAlignment="1">
      <alignment vertical="center"/>
    </xf>
    <xf numFmtId="4" fontId="3" fillId="0" borderId="50" xfId="38" applyNumberFormat="1" applyFont="1" applyBorder="1" applyAlignment="1">
      <alignment vertical="center"/>
    </xf>
    <xf numFmtId="4" fontId="3" fillId="0" borderId="49" xfId="38" applyNumberFormat="1" applyFont="1" applyBorder="1" applyAlignment="1">
      <alignment vertical="center"/>
    </xf>
    <xf numFmtId="4" fontId="2" fillId="0" borderId="33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3" fontId="14" fillId="0" borderId="14" xfId="0" applyFont="1" applyBorder="1" applyAlignment="1">
      <alignment vertical="center"/>
    </xf>
    <xf numFmtId="3" fontId="5" fillId="0" borderId="24" xfId="0" applyFont="1" applyBorder="1" applyAlignment="1">
      <alignment horizontal="center"/>
    </xf>
    <xf numFmtId="176" fontId="4" fillId="0" borderId="47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28" xfId="38" applyNumberFormat="1" applyFont="1" applyFill="1" applyBorder="1" applyAlignment="1">
      <alignment/>
    </xf>
    <xf numFmtId="4" fontId="0" fillId="0" borderId="46" xfId="38" applyNumberFormat="1" applyFont="1" applyFill="1" applyBorder="1" applyAlignment="1">
      <alignment/>
    </xf>
    <xf numFmtId="4" fontId="0" fillId="0" borderId="14" xfId="38" applyNumberFormat="1" applyFont="1" applyBorder="1" applyAlignment="1">
      <alignment vertical="center"/>
    </xf>
    <xf numFmtId="4" fontId="0" fillId="0" borderId="21" xfId="38" applyNumberFormat="1" applyFont="1" applyBorder="1" applyAlignment="1">
      <alignment vertical="center"/>
    </xf>
    <xf numFmtId="3" fontId="14" fillId="0" borderId="24" xfId="0" applyFont="1" applyBorder="1" applyAlignment="1">
      <alignment vertical="center"/>
    </xf>
    <xf numFmtId="3" fontId="0" fillId="0" borderId="0" xfId="0" applyFill="1" applyAlignment="1">
      <alignment/>
    </xf>
    <xf numFmtId="4" fontId="0" fillId="0" borderId="33" xfId="38" applyNumberFormat="1" applyFont="1" applyBorder="1" applyAlignment="1">
      <alignment vertical="center"/>
    </xf>
    <xf numFmtId="176" fontId="0" fillId="0" borderId="17" xfId="38" applyNumberFormat="1" applyFont="1" applyFill="1" applyBorder="1" applyAlignment="1">
      <alignment/>
    </xf>
    <xf numFmtId="4" fontId="4" fillId="0" borderId="37" xfId="38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38" applyNumberFormat="1" applyFont="1" applyBorder="1" applyAlignment="1">
      <alignment/>
    </xf>
    <xf numFmtId="4" fontId="4" fillId="0" borderId="37" xfId="38" applyNumberFormat="1" applyFont="1" applyBorder="1" applyAlignment="1">
      <alignment/>
    </xf>
    <xf numFmtId="4" fontId="0" fillId="0" borderId="30" xfId="0" applyNumberFormat="1" applyFill="1" applyBorder="1" applyAlignment="1">
      <alignment/>
    </xf>
    <xf numFmtId="4" fontId="2" fillId="0" borderId="36" xfId="38" applyNumberFormat="1" applyFont="1" applyBorder="1" applyAlignment="1">
      <alignment vertical="center"/>
    </xf>
    <xf numFmtId="4" fontId="6" fillId="0" borderId="37" xfId="38" applyNumberFormat="1" applyFont="1" applyBorder="1" applyAlignment="1">
      <alignment/>
    </xf>
    <xf numFmtId="4" fontId="6" fillId="0" borderId="37" xfId="38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30" xfId="38" applyNumberFormat="1" applyFont="1" applyFill="1" applyBorder="1" applyAlignment="1">
      <alignment/>
    </xf>
    <xf numFmtId="4" fontId="0" fillId="0" borderId="37" xfId="38" applyNumberFormat="1" applyFont="1" applyFill="1" applyBorder="1" applyAlignment="1">
      <alignment/>
    </xf>
    <xf numFmtId="4" fontId="3" fillId="0" borderId="52" xfId="38" applyNumberFormat="1" applyFont="1" applyBorder="1" applyAlignment="1">
      <alignment vertical="center"/>
    </xf>
    <xf numFmtId="4" fontId="2" fillId="0" borderId="52" xfId="38" applyNumberFormat="1" applyFont="1" applyBorder="1" applyAlignment="1">
      <alignment vertical="center"/>
    </xf>
    <xf numFmtId="4" fontId="3" fillId="0" borderId="35" xfId="38" applyNumberFormat="1" applyFont="1" applyBorder="1" applyAlignment="1">
      <alignment vertical="center"/>
    </xf>
    <xf numFmtId="4" fontId="3" fillId="0" borderId="37" xfId="38" applyNumberFormat="1" applyFont="1" applyBorder="1" applyAlignment="1">
      <alignment vertical="center"/>
    </xf>
    <xf numFmtId="4" fontId="3" fillId="0" borderId="36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0" fillId="0" borderId="36" xfId="0" applyNumberFormat="1" applyBorder="1" applyAlignment="1">
      <alignment/>
    </xf>
    <xf numFmtId="3" fontId="0" fillId="0" borderId="18" xfId="0" applyFont="1" applyBorder="1" applyAlignment="1">
      <alignment/>
    </xf>
    <xf numFmtId="3" fontId="7" fillId="0" borderId="26" xfId="0" applyFont="1" applyBorder="1" applyAlignment="1">
      <alignment horizontal="center"/>
    </xf>
    <xf numFmtId="176" fontId="0" fillId="0" borderId="18" xfId="38" applyNumberFormat="1" applyFont="1" applyBorder="1" applyAlignment="1">
      <alignment/>
    </xf>
    <xf numFmtId="176" fontId="0" fillId="0" borderId="31" xfId="38" applyNumberFormat="1" applyFont="1" applyBorder="1" applyAlignment="1">
      <alignment/>
    </xf>
    <xf numFmtId="176" fontId="0" fillId="0" borderId="22" xfId="38" applyNumberFormat="1" applyFont="1" applyBorder="1" applyAlignment="1">
      <alignment/>
    </xf>
    <xf numFmtId="176" fontId="0" fillId="0" borderId="40" xfId="38" applyNumberFormat="1" applyFont="1" applyBorder="1" applyAlignment="1">
      <alignment/>
    </xf>
    <xf numFmtId="176" fontId="0" fillId="0" borderId="2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3" fontId="0" fillId="0" borderId="18" xfId="0" applyFont="1" applyBorder="1" applyAlignment="1">
      <alignment/>
    </xf>
    <xf numFmtId="176" fontId="0" fillId="0" borderId="31" xfId="38" applyNumberFormat="1" applyFont="1" applyFill="1" applyBorder="1" applyAlignment="1">
      <alignment/>
    </xf>
    <xf numFmtId="3" fontId="0" fillId="0" borderId="18" xfId="0" applyBorder="1" applyAlignment="1">
      <alignment/>
    </xf>
    <xf numFmtId="4" fontId="0" fillId="0" borderId="21" xfId="38" applyNumberFormat="1" applyFont="1" applyFill="1" applyBorder="1" applyAlignment="1">
      <alignment/>
    </xf>
    <xf numFmtId="176" fontId="0" fillId="0" borderId="18" xfId="38" applyNumberFormat="1" applyFont="1" applyFill="1" applyBorder="1" applyAlignment="1">
      <alignment/>
    </xf>
    <xf numFmtId="167" fontId="4" fillId="0" borderId="32" xfId="38" applyNumberFormat="1" applyFont="1" applyFill="1" applyBorder="1" applyAlignment="1">
      <alignment horizontal="center"/>
    </xf>
    <xf numFmtId="167" fontId="4" fillId="0" borderId="31" xfId="38" applyNumberFormat="1" applyFont="1" applyFill="1" applyBorder="1" applyAlignment="1">
      <alignment horizontal="center"/>
    </xf>
    <xf numFmtId="3" fontId="0" fillId="0" borderId="30" xfId="0" applyFill="1" applyBorder="1" applyAlignment="1">
      <alignment/>
    </xf>
    <xf numFmtId="4" fontId="4" fillId="0" borderId="30" xfId="38" applyNumberFormat="1" applyFont="1" applyFill="1" applyBorder="1" applyAlignment="1">
      <alignment/>
    </xf>
    <xf numFmtId="4" fontId="4" fillId="0" borderId="30" xfId="38" applyNumberFormat="1" applyFont="1" applyFill="1" applyBorder="1" applyAlignment="1">
      <alignment/>
    </xf>
    <xf numFmtId="4" fontId="2" fillId="0" borderId="31" xfId="38" applyNumberFormat="1" applyFont="1" applyFill="1" applyBorder="1" applyAlignment="1">
      <alignment vertical="center"/>
    </xf>
    <xf numFmtId="4" fontId="6" fillId="0" borderId="30" xfId="38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6" fillId="0" borderId="30" xfId="38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3" fillId="0" borderId="34" xfId="38" applyNumberFormat="1" applyFont="1" applyFill="1" applyBorder="1" applyAlignment="1">
      <alignment vertical="center"/>
    </xf>
    <xf numFmtId="4" fontId="4" fillId="0" borderId="34" xfId="38" applyNumberFormat="1" applyFont="1" applyFill="1" applyBorder="1" applyAlignment="1">
      <alignment vertical="center"/>
    </xf>
    <xf numFmtId="4" fontId="2" fillId="0" borderId="34" xfId="38" applyNumberFormat="1" applyFont="1" applyFill="1" applyBorder="1" applyAlignment="1">
      <alignment vertical="center"/>
    </xf>
    <xf numFmtId="4" fontId="3" fillId="0" borderId="32" xfId="38" applyNumberFormat="1" applyFont="1" applyFill="1" applyBorder="1" applyAlignment="1">
      <alignment vertical="center"/>
    </xf>
    <xf numFmtId="4" fontId="3" fillId="0" borderId="30" xfId="38" applyNumberFormat="1" applyFont="1" applyFill="1" applyBorder="1" applyAlignment="1">
      <alignment vertical="center"/>
    </xf>
    <xf numFmtId="4" fontId="3" fillId="0" borderId="31" xfId="38" applyNumberFormat="1" applyFont="1" applyFill="1" applyBorder="1" applyAlignment="1">
      <alignment vertical="center"/>
    </xf>
    <xf numFmtId="4" fontId="2" fillId="0" borderId="32" xfId="38" applyNumberFormat="1" applyFont="1" applyFill="1" applyBorder="1" applyAlignment="1">
      <alignment vertical="center"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" fontId="4" fillId="0" borderId="0" xfId="38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20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9"/>
  <sheetViews>
    <sheetView tabSelected="1" zoomScale="110" zoomScaleNormal="110" zoomScaleSheetLayoutView="69" zoomScalePageLayoutView="0" workbookViewId="0" topLeftCell="A1">
      <pane xSplit="1" ySplit="9" topLeftCell="C55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224" sqref="P224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75390625" style="0" customWidth="1"/>
    <col min="4" max="4" width="16.75390625" style="0" hidden="1" customWidth="1"/>
    <col min="5" max="5" width="12.875" style="0" hidden="1" customWidth="1"/>
    <col min="6" max="6" width="16.375" style="0" hidden="1" customWidth="1"/>
    <col min="7" max="7" width="15.625" style="0" hidden="1" customWidth="1"/>
    <col min="8" max="8" width="13.125" style="0" hidden="1" customWidth="1"/>
    <col min="9" max="9" width="16.125" style="0" hidden="1" customWidth="1"/>
    <col min="10" max="10" width="15.25390625" style="0" hidden="1" customWidth="1"/>
    <col min="11" max="11" width="13.00390625" style="0" hidden="1" customWidth="1"/>
    <col min="12" max="12" width="16.25390625" style="0" hidden="1" customWidth="1"/>
    <col min="13" max="13" width="12.75390625" style="0" hidden="1" customWidth="1"/>
    <col min="14" max="14" width="13.125" style="0" hidden="1" customWidth="1"/>
    <col min="15" max="15" width="16.00390625" style="0" customWidth="1"/>
    <col min="16" max="16" width="14.875" style="269" customWidth="1"/>
    <col min="17" max="17" width="16.75390625" style="0" customWidth="1"/>
    <col min="19" max="19" width="15.25390625" style="0" customWidth="1"/>
  </cols>
  <sheetData>
    <row r="1" spans="3:17" ht="12.75">
      <c r="C1" s="1"/>
      <c r="D1" s="1"/>
      <c r="E1" s="1"/>
      <c r="F1" s="2"/>
      <c r="I1" s="2"/>
      <c r="L1" s="2"/>
      <c r="O1" s="2"/>
      <c r="Q1" s="2" t="s">
        <v>123</v>
      </c>
    </row>
    <row r="2" spans="3:6" ht="9.75" customHeight="1">
      <c r="C2" s="1"/>
      <c r="D2" s="1"/>
      <c r="E2" s="1"/>
      <c r="F2" s="2"/>
    </row>
    <row r="3" spans="1:17" ht="15.75">
      <c r="A3" s="327" t="s">
        <v>218</v>
      </c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15.75">
      <c r="A4" s="329" t="s">
        <v>295</v>
      </c>
      <c r="B4" s="329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17" ht="15">
      <c r="A5" s="330" t="s">
        <v>0</v>
      </c>
      <c r="B5" s="330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ht="12.75">
      <c r="A6" s="331" t="s">
        <v>1</v>
      </c>
      <c r="B6" s="331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3" ht="10.5" customHeight="1" thickBot="1">
      <c r="A7" s="3"/>
      <c r="B7" s="3"/>
      <c r="C7" s="127"/>
      <c r="D7" s="93"/>
      <c r="E7" s="4"/>
      <c r="F7" s="4"/>
      <c r="J7" s="44"/>
      <c r="M7" s="42"/>
    </row>
    <row r="8" spans="1:17" ht="12.75">
      <c r="A8" s="332" t="s">
        <v>2</v>
      </c>
      <c r="B8" s="46" t="s">
        <v>206</v>
      </c>
      <c r="C8" s="160" t="s">
        <v>3</v>
      </c>
      <c r="D8" s="149" t="s">
        <v>4</v>
      </c>
      <c r="E8" s="8" t="s">
        <v>5</v>
      </c>
      <c r="F8" s="168" t="s">
        <v>6</v>
      </c>
      <c r="G8" s="7" t="s">
        <v>7</v>
      </c>
      <c r="H8" s="8" t="s">
        <v>5</v>
      </c>
      <c r="I8" s="9" t="s">
        <v>6</v>
      </c>
      <c r="J8" s="7" t="s">
        <v>8</v>
      </c>
      <c r="K8" s="8" t="s">
        <v>5</v>
      </c>
      <c r="L8" s="9" t="s">
        <v>6</v>
      </c>
      <c r="M8" s="7" t="s">
        <v>9</v>
      </c>
      <c r="N8" s="8" t="s">
        <v>5</v>
      </c>
      <c r="O8" s="9" t="s">
        <v>6</v>
      </c>
      <c r="P8" s="305" t="s">
        <v>146</v>
      </c>
      <c r="Q8" s="147" t="s">
        <v>6</v>
      </c>
    </row>
    <row r="9" spans="1:17" ht="13.5" thickBot="1">
      <c r="A9" s="333"/>
      <c r="B9" s="96" t="s">
        <v>160</v>
      </c>
      <c r="C9" s="161" t="s">
        <v>10</v>
      </c>
      <c r="D9" s="150" t="s">
        <v>11</v>
      </c>
      <c r="E9" s="40" t="s">
        <v>12</v>
      </c>
      <c r="F9" s="169" t="s">
        <v>13</v>
      </c>
      <c r="G9" s="39" t="s">
        <v>11</v>
      </c>
      <c r="H9" s="40" t="s">
        <v>12</v>
      </c>
      <c r="I9" s="41" t="s">
        <v>14</v>
      </c>
      <c r="J9" s="39" t="s">
        <v>11</v>
      </c>
      <c r="K9" s="40" t="s">
        <v>12</v>
      </c>
      <c r="L9" s="41" t="s">
        <v>15</v>
      </c>
      <c r="M9" s="39" t="s">
        <v>11</v>
      </c>
      <c r="N9" s="40" t="s">
        <v>12</v>
      </c>
      <c r="O9" s="41" t="s">
        <v>16</v>
      </c>
      <c r="P9" s="306" t="s">
        <v>11</v>
      </c>
      <c r="Q9" s="148" t="s">
        <v>147</v>
      </c>
    </row>
    <row r="10" spans="1:17" ht="15.75" customHeight="1">
      <c r="A10" s="37" t="s">
        <v>17</v>
      </c>
      <c r="B10" s="47"/>
      <c r="C10" s="162"/>
      <c r="D10" s="152"/>
      <c r="E10" s="5"/>
      <c r="F10" s="170"/>
      <c r="G10" s="12"/>
      <c r="H10" s="5"/>
      <c r="I10" s="38"/>
      <c r="J10" s="12"/>
      <c r="K10" s="5"/>
      <c r="L10" s="38"/>
      <c r="M10" s="12"/>
      <c r="N10" s="5"/>
      <c r="O10" s="38"/>
      <c r="P10" s="307"/>
      <c r="Q10" s="151"/>
    </row>
    <row r="11" spans="1:17" ht="12.75">
      <c r="A11" s="13" t="s">
        <v>196</v>
      </c>
      <c r="B11" s="48"/>
      <c r="C11" s="110">
        <f>C13+C14+C15+C16</f>
        <v>5350000</v>
      </c>
      <c r="D11" s="91">
        <f>D13+D14+D15+D16</f>
        <v>45003.16</v>
      </c>
      <c r="E11" s="71">
        <f>E13+E14+E15</f>
        <v>0</v>
      </c>
      <c r="F11" s="171">
        <f>F13+F14+F15+F16</f>
        <v>5395003.16</v>
      </c>
      <c r="G11" s="70">
        <f aca="true" t="shared" si="0" ref="G11:Q11">G13+G14+G15+G16</f>
        <v>652991.7</v>
      </c>
      <c r="H11" s="216">
        <f t="shared" si="0"/>
        <v>162517.88</v>
      </c>
      <c r="I11" s="189">
        <f t="shared" si="0"/>
        <v>6210512.74</v>
      </c>
      <c r="J11" s="70">
        <f t="shared" si="0"/>
        <v>164423.1</v>
      </c>
      <c r="K11" s="71">
        <f t="shared" si="0"/>
        <v>21952.41</v>
      </c>
      <c r="L11" s="130">
        <f t="shared" si="0"/>
        <v>6396888.25</v>
      </c>
      <c r="M11" s="238">
        <f t="shared" si="0"/>
        <v>35046.38</v>
      </c>
      <c r="N11" s="216">
        <f t="shared" si="0"/>
        <v>21051.2</v>
      </c>
      <c r="O11" s="189">
        <f t="shared" si="0"/>
        <v>6452985.83</v>
      </c>
      <c r="P11" s="308">
        <f t="shared" si="0"/>
        <v>0</v>
      </c>
      <c r="Q11" s="272">
        <f t="shared" si="0"/>
        <v>6452985.83</v>
      </c>
    </row>
    <row r="12" spans="1:17" ht="12.75">
      <c r="A12" s="14" t="s">
        <v>18</v>
      </c>
      <c r="B12" s="49"/>
      <c r="C12" s="110"/>
      <c r="D12" s="91"/>
      <c r="E12" s="71"/>
      <c r="F12" s="171"/>
      <c r="G12" s="70"/>
      <c r="H12" s="216"/>
      <c r="I12" s="189"/>
      <c r="J12" s="10"/>
      <c r="K12" s="6"/>
      <c r="L12" s="11"/>
      <c r="M12" s="238"/>
      <c r="N12" s="216"/>
      <c r="O12" s="189"/>
      <c r="P12" s="276"/>
      <c r="Q12" s="273"/>
    </row>
    <row r="13" spans="1:17" ht="12.75">
      <c r="A13" s="57" t="s">
        <v>203</v>
      </c>
      <c r="B13" s="49"/>
      <c r="C13" s="111">
        <v>5316580</v>
      </c>
      <c r="D13" s="101"/>
      <c r="E13" s="71"/>
      <c r="F13" s="172">
        <f>C13+D13+E13</f>
        <v>5316580</v>
      </c>
      <c r="G13" s="73">
        <f>4605.41+14274+3000+700+8000+1500+400+28581+3515.1+300000+1600+7280.19+4000+8000+2500+35000+17500+49000+8000+20000+5000+7000+123500</f>
        <v>652955.7</v>
      </c>
      <c r="H13" s="217">
        <f>61000+4321+60000+15000+11190+6550+4456.88</f>
        <v>162517.88</v>
      </c>
      <c r="I13" s="190">
        <f>F13+G13+H13</f>
        <v>6132053.58</v>
      </c>
      <c r="J13" s="239">
        <f>3600+2328.9+1644.2+2400+45000+47000+7000+30450+25000</f>
        <v>164423.1</v>
      </c>
      <c r="K13" s="217">
        <f>988+2959.21+14071.76+3933.44</f>
        <v>21952.41</v>
      </c>
      <c r="L13" s="190">
        <f>I13+J13+K13</f>
        <v>6318429.09</v>
      </c>
      <c r="M13" s="242">
        <f>7300+3248.5+3685+2200+12000+5129.2+1425.68</f>
        <v>34988.38</v>
      </c>
      <c r="N13" s="217">
        <f>11106+3670+2430.18+250+2480+1115.02</f>
        <v>21051.2</v>
      </c>
      <c r="O13" s="190">
        <f>L13+M13+N13</f>
        <v>6374468.67</v>
      </c>
      <c r="P13" s="276"/>
      <c r="Q13" s="273">
        <f aca="true" t="shared" si="1" ref="Q13:Q77">O13+P13</f>
        <v>6374468.67</v>
      </c>
    </row>
    <row r="14" spans="1:17" ht="12.75">
      <c r="A14" s="15" t="s">
        <v>19</v>
      </c>
      <c r="B14" s="50"/>
      <c r="C14" s="111"/>
      <c r="D14" s="141">
        <f>45003.16</f>
        <v>45003.16</v>
      </c>
      <c r="E14" s="72"/>
      <c r="F14" s="172">
        <f>C14+D14+E14</f>
        <v>45003.16</v>
      </c>
      <c r="G14" s="73"/>
      <c r="H14" s="216"/>
      <c r="I14" s="190">
        <f>F14+G14+H14</f>
        <v>45003.16</v>
      </c>
      <c r="J14" s="239"/>
      <c r="K14" s="216"/>
      <c r="L14" s="190">
        <f>I14+J14+K14</f>
        <v>45003.16</v>
      </c>
      <c r="M14" s="239"/>
      <c r="N14" s="216"/>
      <c r="O14" s="190">
        <f>L14+M14+N14</f>
        <v>45003.16</v>
      </c>
      <c r="P14" s="276"/>
      <c r="Q14" s="273">
        <f t="shared" si="1"/>
        <v>45003.16</v>
      </c>
    </row>
    <row r="15" spans="1:17" ht="12.75">
      <c r="A15" s="57" t="s">
        <v>204</v>
      </c>
      <c r="B15" s="50"/>
      <c r="C15" s="111">
        <v>3420</v>
      </c>
      <c r="D15" s="141"/>
      <c r="E15" s="72"/>
      <c r="F15" s="172">
        <f>C15+D15+E15</f>
        <v>3420</v>
      </c>
      <c r="G15" s="73">
        <f>36</f>
        <v>36</v>
      </c>
      <c r="H15" s="216"/>
      <c r="I15" s="190">
        <f>F15+G15+H15</f>
        <v>3456</v>
      </c>
      <c r="J15" s="239"/>
      <c r="K15" s="216"/>
      <c r="L15" s="190">
        <f>I15+J15+K15</f>
        <v>3456</v>
      </c>
      <c r="M15" s="239">
        <f>58</f>
        <v>58</v>
      </c>
      <c r="N15" s="216"/>
      <c r="O15" s="190">
        <f>L15+M15+N15</f>
        <v>3514</v>
      </c>
      <c r="P15" s="276"/>
      <c r="Q15" s="273">
        <f t="shared" si="1"/>
        <v>3514</v>
      </c>
    </row>
    <row r="16" spans="1:17" ht="12.75">
      <c r="A16" s="57" t="s">
        <v>257</v>
      </c>
      <c r="B16" s="50"/>
      <c r="C16" s="111">
        <v>30000</v>
      </c>
      <c r="D16" s="141"/>
      <c r="E16" s="72"/>
      <c r="F16" s="172">
        <f>C16+D16+E16</f>
        <v>30000</v>
      </c>
      <c r="G16" s="73"/>
      <c r="H16" s="216"/>
      <c r="I16" s="190">
        <f>F16+G16+H16</f>
        <v>30000</v>
      </c>
      <c r="J16" s="239"/>
      <c r="K16" s="216"/>
      <c r="L16" s="190">
        <f>I16+J16+K16</f>
        <v>30000</v>
      </c>
      <c r="M16" s="239"/>
      <c r="N16" s="216"/>
      <c r="O16" s="190">
        <f>L16+M16+N16</f>
        <v>30000</v>
      </c>
      <c r="P16" s="276"/>
      <c r="Q16" s="273">
        <f t="shared" si="1"/>
        <v>30000</v>
      </c>
    </row>
    <row r="17" spans="1:17" ht="12.75">
      <c r="A17" s="13" t="s">
        <v>197</v>
      </c>
      <c r="B17" s="48"/>
      <c r="C17" s="110">
        <f aca="true" t="shared" si="2" ref="C17:Q17">SUM(C19:C23)+C30</f>
        <v>266948.12</v>
      </c>
      <c r="D17" s="91">
        <f t="shared" si="2"/>
        <v>31733.940000000002</v>
      </c>
      <c r="E17" s="71">
        <f t="shared" si="2"/>
        <v>0</v>
      </c>
      <c r="F17" s="171">
        <f t="shared" si="2"/>
        <v>298682.05999999994</v>
      </c>
      <c r="G17" s="70">
        <f t="shared" si="2"/>
        <v>68174.93</v>
      </c>
      <c r="H17" s="216">
        <f t="shared" si="2"/>
        <v>4610.66</v>
      </c>
      <c r="I17" s="189">
        <f t="shared" si="2"/>
        <v>371467.64999999997</v>
      </c>
      <c r="J17" s="238">
        <f t="shared" si="2"/>
        <v>99024.05</v>
      </c>
      <c r="K17" s="216">
        <f t="shared" si="2"/>
        <v>13641.18</v>
      </c>
      <c r="L17" s="189">
        <f t="shared" si="2"/>
        <v>484132.87999999995</v>
      </c>
      <c r="M17" s="238">
        <f t="shared" si="2"/>
        <v>45502.009999999995</v>
      </c>
      <c r="N17" s="216">
        <f t="shared" si="2"/>
        <v>20780.43</v>
      </c>
      <c r="O17" s="189">
        <f t="shared" si="2"/>
        <v>550415.3200000001</v>
      </c>
      <c r="P17" s="308">
        <f t="shared" si="2"/>
        <v>14078.44</v>
      </c>
      <c r="Q17" s="272">
        <f t="shared" si="2"/>
        <v>564493.76</v>
      </c>
    </row>
    <row r="18" spans="1:17" ht="10.5" customHeight="1">
      <c r="A18" s="14" t="s">
        <v>20</v>
      </c>
      <c r="B18" s="49"/>
      <c r="C18" s="110"/>
      <c r="D18" s="91"/>
      <c r="E18" s="71"/>
      <c r="F18" s="171"/>
      <c r="G18" s="70"/>
      <c r="H18" s="216"/>
      <c r="I18" s="189"/>
      <c r="J18" s="238"/>
      <c r="K18" s="216"/>
      <c r="L18" s="189"/>
      <c r="M18" s="238"/>
      <c r="N18" s="216"/>
      <c r="O18" s="189"/>
      <c r="P18" s="276"/>
      <c r="Q18" s="273"/>
    </row>
    <row r="19" spans="1:17" ht="12.75">
      <c r="A19" s="15" t="s">
        <v>21</v>
      </c>
      <c r="B19" s="50"/>
      <c r="C19" s="111">
        <v>10000</v>
      </c>
      <c r="D19" s="101"/>
      <c r="E19" s="72"/>
      <c r="F19" s="172">
        <f>C19+D19+E19</f>
        <v>10000</v>
      </c>
      <c r="G19" s="73">
        <f>86.04+1249.9</f>
        <v>1335.94</v>
      </c>
      <c r="H19" s="217"/>
      <c r="I19" s="190">
        <f>F19+G19+H19</f>
        <v>11335.94</v>
      </c>
      <c r="J19" s="239">
        <f>961.26+523.73</f>
        <v>1484.99</v>
      </c>
      <c r="K19" s="217"/>
      <c r="L19" s="190">
        <f>I19+J19+K19</f>
        <v>12820.93</v>
      </c>
      <c r="M19" s="239">
        <f>17.36+4.48+246.27+112.84</f>
        <v>380.95000000000005</v>
      </c>
      <c r="N19" s="217"/>
      <c r="O19" s="190">
        <f>L19+M19+N19</f>
        <v>13201.880000000001</v>
      </c>
      <c r="P19" s="276"/>
      <c r="Q19" s="273">
        <f t="shared" si="1"/>
        <v>13201.880000000001</v>
      </c>
    </row>
    <row r="20" spans="1:17" ht="12.75">
      <c r="A20" s="57" t="s">
        <v>232</v>
      </c>
      <c r="B20" s="50"/>
      <c r="C20" s="111"/>
      <c r="D20" s="101">
        <f>3000</f>
        <v>3000</v>
      </c>
      <c r="E20" s="72"/>
      <c r="F20" s="172">
        <f aca="true" t="shared" si="3" ref="F20:F30">C20+D20+E20</f>
        <v>3000</v>
      </c>
      <c r="G20" s="73">
        <f>750+550+1127.46-3000+822.03+1600.68+1337.82+1344.4</f>
        <v>4532.389999999999</v>
      </c>
      <c r="H20" s="217">
        <f>4610.66</f>
        <v>4610.66</v>
      </c>
      <c r="I20" s="190">
        <f>F20+G20+H20</f>
        <v>12143.05</v>
      </c>
      <c r="J20" s="239">
        <f>47365.51+90.64+13.38+1052.12+457.69+28729.18</f>
        <v>77708.52</v>
      </c>
      <c r="K20" s="217">
        <f>13641.18</f>
        <v>13641.18</v>
      </c>
      <c r="L20" s="190">
        <f>I20+J20+K20</f>
        <v>103492.75</v>
      </c>
      <c r="M20" s="239">
        <f>200+26850.97+116.9+49.01+6313.95+85.3+1220.82</f>
        <v>34836.950000000004</v>
      </c>
      <c r="N20" s="217">
        <f>3474.4+16850.73</f>
        <v>20325.13</v>
      </c>
      <c r="O20" s="190">
        <f>L20+M20+N20</f>
        <v>158654.83000000002</v>
      </c>
      <c r="P20" s="276">
        <f>2442.66+4998+3080.93+941.54+1160+981</f>
        <v>13604.130000000001</v>
      </c>
      <c r="Q20" s="273">
        <f t="shared" si="1"/>
        <v>172258.96000000002</v>
      </c>
    </row>
    <row r="21" spans="1:17" ht="12.75">
      <c r="A21" s="16" t="s">
        <v>233</v>
      </c>
      <c r="B21" s="51"/>
      <c r="C21" s="111">
        <v>130895.91</v>
      </c>
      <c r="D21" s="101">
        <f>534.21</f>
        <v>534.21</v>
      </c>
      <c r="E21" s="72"/>
      <c r="F21" s="172">
        <f t="shared" si="3"/>
        <v>131430.12</v>
      </c>
      <c r="G21" s="73"/>
      <c r="H21" s="217"/>
      <c r="I21" s="190">
        <f>F21+G21+H21</f>
        <v>131430.12</v>
      </c>
      <c r="J21" s="239"/>
      <c r="K21" s="217"/>
      <c r="L21" s="190">
        <f>I21+J21+K21</f>
        <v>131430.12</v>
      </c>
      <c r="M21" s="239"/>
      <c r="N21" s="217"/>
      <c r="O21" s="190">
        <f>L21+M21+N21</f>
        <v>131430.12</v>
      </c>
      <c r="P21" s="276"/>
      <c r="Q21" s="273">
        <f t="shared" si="1"/>
        <v>131430.12</v>
      </c>
    </row>
    <row r="22" spans="1:17" ht="12.75" hidden="1">
      <c r="A22" s="16" t="s">
        <v>234</v>
      </c>
      <c r="B22" s="51"/>
      <c r="C22" s="111"/>
      <c r="D22" s="101"/>
      <c r="E22" s="72"/>
      <c r="F22" s="172">
        <f t="shared" si="3"/>
        <v>0</v>
      </c>
      <c r="G22" s="73"/>
      <c r="H22" s="217"/>
      <c r="I22" s="190">
        <f>F22+G22+H22</f>
        <v>0</v>
      </c>
      <c r="J22" s="239"/>
      <c r="K22" s="217"/>
      <c r="L22" s="190">
        <f>I22+J22+K22</f>
        <v>0</v>
      </c>
      <c r="M22" s="239"/>
      <c r="N22" s="217"/>
      <c r="O22" s="190">
        <f>L22+M22+N22</f>
        <v>0</v>
      </c>
      <c r="P22" s="276"/>
      <c r="Q22" s="273">
        <f t="shared" si="1"/>
        <v>0</v>
      </c>
    </row>
    <row r="23" spans="1:17" ht="12.75">
      <c r="A23" s="15" t="s">
        <v>22</v>
      </c>
      <c r="B23" s="50"/>
      <c r="C23" s="111">
        <f>SUM(C24:C29)</f>
        <v>126052.21</v>
      </c>
      <c r="D23" s="101">
        <f>SUM(D24:D29)</f>
        <v>1713.01</v>
      </c>
      <c r="E23" s="72">
        <f aca="true" t="shared" si="4" ref="E23:Q23">SUM(E24:E29)</f>
        <v>0</v>
      </c>
      <c r="F23" s="172">
        <f t="shared" si="4"/>
        <v>127765.22</v>
      </c>
      <c r="G23" s="73">
        <f t="shared" si="4"/>
        <v>5174.01</v>
      </c>
      <c r="H23" s="217">
        <f t="shared" si="4"/>
        <v>0</v>
      </c>
      <c r="I23" s="190">
        <f t="shared" si="4"/>
        <v>132939.22999999998</v>
      </c>
      <c r="J23" s="239">
        <f t="shared" si="4"/>
        <v>11184.06</v>
      </c>
      <c r="K23" s="217">
        <f t="shared" si="4"/>
        <v>0</v>
      </c>
      <c r="L23" s="190">
        <f t="shared" si="4"/>
        <v>144123.28999999998</v>
      </c>
      <c r="M23" s="239">
        <f t="shared" si="4"/>
        <v>1671.59</v>
      </c>
      <c r="N23" s="217">
        <f t="shared" si="4"/>
        <v>455.3</v>
      </c>
      <c r="O23" s="190">
        <f t="shared" si="4"/>
        <v>146250.18</v>
      </c>
      <c r="P23" s="281">
        <f t="shared" si="4"/>
        <v>154.35</v>
      </c>
      <c r="Q23" s="274">
        <f t="shared" si="4"/>
        <v>146404.52999999997</v>
      </c>
    </row>
    <row r="24" spans="1:17" ht="12.75">
      <c r="A24" s="15" t="s">
        <v>23</v>
      </c>
      <c r="B24" s="50"/>
      <c r="C24" s="111">
        <v>52501.31</v>
      </c>
      <c r="D24" s="101">
        <f>1713.01</f>
        <v>1713.01</v>
      </c>
      <c r="E24" s="72"/>
      <c r="F24" s="172">
        <f t="shared" si="3"/>
        <v>54214.32</v>
      </c>
      <c r="G24" s="73">
        <f>54.38</f>
        <v>54.38</v>
      </c>
      <c r="H24" s="217"/>
      <c r="I24" s="190">
        <f aca="true" t="shared" si="5" ref="I24:I30">F24+G24+H24</f>
        <v>54268.7</v>
      </c>
      <c r="J24" s="239">
        <f>392.56</f>
        <v>392.56</v>
      </c>
      <c r="K24" s="217"/>
      <c r="L24" s="190">
        <f aca="true" t="shared" si="6" ref="L24:L30">I24+J24+K24</f>
        <v>54661.259999999995</v>
      </c>
      <c r="M24" s="239">
        <f>239.25+1528.34</f>
        <v>1767.59</v>
      </c>
      <c r="N24" s="217"/>
      <c r="O24" s="190">
        <f aca="true" t="shared" si="7" ref="O24:O30">L24+M24+N24</f>
        <v>56428.84999999999</v>
      </c>
      <c r="P24" s="276">
        <f>154.35</f>
        <v>154.35</v>
      </c>
      <c r="Q24" s="273">
        <f t="shared" si="1"/>
        <v>56583.19999999999</v>
      </c>
    </row>
    <row r="25" spans="1:17" ht="12.75">
      <c r="A25" s="16" t="s">
        <v>134</v>
      </c>
      <c r="B25" s="51"/>
      <c r="C25" s="111">
        <v>880.6</v>
      </c>
      <c r="D25" s="101"/>
      <c r="E25" s="72"/>
      <c r="F25" s="172">
        <f t="shared" si="3"/>
        <v>880.6</v>
      </c>
      <c r="G25" s="73">
        <f>3004.53</f>
        <v>3004.53</v>
      </c>
      <c r="H25" s="217"/>
      <c r="I25" s="190">
        <f t="shared" si="5"/>
        <v>3885.13</v>
      </c>
      <c r="J25" s="239"/>
      <c r="K25" s="217"/>
      <c r="L25" s="190">
        <f t="shared" si="6"/>
        <v>3885.13</v>
      </c>
      <c r="M25" s="239"/>
      <c r="N25" s="217"/>
      <c r="O25" s="190">
        <f t="shared" si="7"/>
        <v>3885.13</v>
      </c>
      <c r="P25" s="276"/>
      <c r="Q25" s="273">
        <f t="shared" si="1"/>
        <v>3885.13</v>
      </c>
    </row>
    <row r="26" spans="1:17" ht="12.75">
      <c r="A26" s="15" t="s">
        <v>24</v>
      </c>
      <c r="B26" s="50"/>
      <c r="C26" s="111">
        <v>29804.7</v>
      </c>
      <c r="D26" s="101"/>
      <c r="E26" s="72"/>
      <c r="F26" s="172">
        <f t="shared" si="3"/>
        <v>29804.7</v>
      </c>
      <c r="G26" s="73">
        <f>1300+500</f>
        <v>1800</v>
      </c>
      <c r="H26" s="217"/>
      <c r="I26" s="190">
        <f t="shared" si="5"/>
        <v>31604.7</v>
      </c>
      <c r="J26" s="239">
        <f>10791.5</f>
        <v>10791.5</v>
      </c>
      <c r="K26" s="217"/>
      <c r="L26" s="190">
        <f t="shared" si="6"/>
        <v>42396.2</v>
      </c>
      <c r="M26" s="239"/>
      <c r="N26" s="217"/>
      <c r="O26" s="190">
        <f t="shared" si="7"/>
        <v>42396.2</v>
      </c>
      <c r="P26" s="276"/>
      <c r="Q26" s="273">
        <f t="shared" si="1"/>
        <v>42396.2</v>
      </c>
    </row>
    <row r="27" spans="1:17" ht="12.75">
      <c r="A27" s="16" t="s">
        <v>135</v>
      </c>
      <c r="B27" s="51"/>
      <c r="C27" s="111">
        <v>12585.8</v>
      </c>
      <c r="D27" s="101"/>
      <c r="E27" s="72"/>
      <c r="F27" s="172">
        <f t="shared" si="3"/>
        <v>12585.8</v>
      </c>
      <c r="G27" s="73">
        <f>315.1</f>
        <v>315.1</v>
      </c>
      <c r="H27" s="217"/>
      <c r="I27" s="190">
        <f t="shared" si="5"/>
        <v>12900.9</v>
      </c>
      <c r="J27" s="239"/>
      <c r="K27" s="217"/>
      <c r="L27" s="190">
        <f t="shared" si="6"/>
        <v>12900.9</v>
      </c>
      <c r="M27" s="239"/>
      <c r="N27" s="217">
        <f>455.3</f>
        <v>455.3</v>
      </c>
      <c r="O27" s="190">
        <f t="shared" si="7"/>
        <v>13356.199999999999</v>
      </c>
      <c r="P27" s="276"/>
      <c r="Q27" s="273">
        <f t="shared" si="1"/>
        <v>13356.199999999999</v>
      </c>
    </row>
    <row r="28" spans="1:17" ht="12.75">
      <c r="A28" s="16" t="s">
        <v>219</v>
      </c>
      <c r="B28" s="51"/>
      <c r="C28" s="111">
        <v>340.8</v>
      </c>
      <c r="D28" s="101"/>
      <c r="E28" s="72"/>
      <c r="F28" s="172">
        <f t="shared" si="3"/>
        <v>340.8</v>
      </c>
      <c r="G28" s="73"/>
      <c r="H28" s="217"/>
      <c r="I28" s="190">
        <f t="shared" si="5"/>
        <v>340.8</v>
      </c>
      <c r="J28" s="239"/>
      <c r="K28" s="217"/>
      <c r="L28" s="190">
        <f t="shared" si="6"/>
        <v>340.8</v>
      </c>
      <c r="M28" s="239">
        <f>-96</f>
        <v>-96</v>
      </c>
      <c r="N28" s="217"/>
      <c r="O28" s="190">
        <f t="shared" si="7"/>
        <v>244.8</v>
      </c>
      <c r="P28" s="276"/>
      <c r="Q28" s="273">
        <f t="shared" si="1"/>
        <v>244.8</v>
      </c>
    </row>
    <row r="29" spans="1:17" ht="12.75">
      <c r="A29" s="16" t="s">
        <v>136</v>
      </c>
      <c r="B29" s="51"/>
      <c r="C29" s="111">
        <v>29939</v>
      </c>
      <c r="D29" s="101"/>
      <c r="E29" s="72"/>
      <c r="F29" s="172">
        <f t="shared" si="3"/>
        <v>29939</v>
      </c>
      <c r="G29" s="73"/>
      <c r="H29" s="217"/>
      <c r="I29" s="190">
        <f t="shared" si="5"/>
        <v>29939</v>
      </c>
      <c r="J29" s="239"/>
      <c r="K29" s="217"/>
      <c r="L29" s="190">
        <f t="shared" si="6"/>
        <v>29939</v>
      </c>
      <c r="M29" s="239"/>
      <c r="N29" s="217"/>
      <c r="O29" s="190">
        <f t="shared" si="7"/>
        <v>29939</v>
      </c>
      <c r="P29" s="276"/>
      <c r="Q29" s="273">
        <f>O29+P29</f>
        <v>29939</v>
      </c>
    </row>
    <row r="30" spans="1:17" ht="12.75">
      <c r="A30" s="16" t="s">
        <v>285</v>
      </c>
      <c r="B30" s="51"/>
      <c r="C30" s="111"/>
      <c r="D30" s="153">
        <f>2421+1769.02+100+968.95+492.63+100+1177.09+9000+27.05+478.8+8512.54+36.94+155.2+247.5+1000</f>
        <v>26486.72</v>
      </c>
      <c r="E30" s="72"/>
      <c r="F30" s="172">
        <f t="shared" si="3"/>
        <v>26486.72</v>
      </c>
      <c r="G30" s="207">
        <f>3000+478+380.76+169.89+87.12+547.3+2467.47+13.4+27550.46+102.99+548.52+409.66+7175.11+189.46+48.5+2173.09+1186.41+2530.06+247.5+6435.39+1391.5</f>
        <v>57132.59</v>
      </c>
      <c r="H30" s="218"/>
      <c r="I30" s="190">
        <f t="shared" si="5"/>
        <v>83619.31</v>
      </c>
      <c r="J30" s="240">
        <f>-2173.09+8209+11.34+379.46+239.19+650.82+127.5+249.3+2847.56-447.75-2479.35+32.5+1000</f>
        <v>8646.48</v>
      </c>
      <c r="K30" s="218"/>
      <c r="L30" s="190">
        <f t="shared" si="6"/>
        <v>92265.79</v>
      </c>
      <c r="M30" s="240">
        <f>950.98+87.98+1123.17+1026.68+165+135.39+910.19+1396.13+2817</f>
        <v>8612.52</v>
      </c>
      <c r="N30" s="218"/>
      <c r="O30" s="190">
        <f t="shared" si="7"/>
        <v>100878.31</v>
      </c>
      <c r="P30" s="276">
        <f>319.96</f>
        <v>319.96</v>
      </c>
      <c r="Q30" s="273">
        <f>O30+P30</f>
        <v>101198.27</v>
      </c>
    </row>
    <row r="31" spans="1:17" ht="12.75">
      <c r="A31" s="17" t="s">
        <v>198</v>
      </c>
      <c r="B31" s="52"/>
      <c r="C31" s="112">
        <f>SUM(C33:C37)</f>
        <v>5000</v>
      </c>
      <c r="D31" s="102">
        <f aca="true" t="shared" si="8" ref="D31:Q31">SUM(D33:D37)</f>
        <v>0</v>
      </c>
      <c r="E31" s="75">
        <f t="shared" si="8"/>
        <v>0</v>
      </c>
      <c r="F31" s="173">
        <f t="shared" si="8"/>
        <v>5000</v>
      </c>
      <c r="G31" s="74">
        <f t="shared" si="8"/>
        <v>0</v>
      </c>
      <c r="H31" s="219">
        <f t="shared" si="8"/>
        <v>0</v>
      </c>
      <c r="I31" s="191">
        <f t="shared" si="8"/>
        <v>5000</v>
      </c>
      <c r="J31" s="241">
        <f t="shared" si="8"/>
        <v>2868.9700000000003</v>
      </c>
      <c r="K31" s="219">
        <f t="shared" si="8"/>
        <v>0</v>
      </c>
      <c r="L31" s="191">
        <f t="shared" si="8"/>
        <v>7868.97</v>
      </c>
      <c r="M31" s="241">
        <f t="shared" si="8"/>
        <v>28892.53</v>
      </c>
      <c r="N31" s="219">
        <f t="shared" si="8"/>
        <v>0</v>
      </c>
      <c r="O31" s="191">
        <f t="shared" si="8"/>
        <v>36761.49999999999</v>
      </c>
      <c r="P31" s="309">
        <f t="shared" si="8"/>
        <v>-2925.49</v>
      </c>
      <c r="Q31" s="275">
        <f t="shared" si="8"/>
        <v>33836.009999999995</v>
      </c>
    </row>
    <row r="32" spans="1:17" ht="11.25" customHeight="1">
      <c r="A32" s="14" t="s">
        <v>20</v>
      </c>
      <c r="B32" s="49"/>
      <c r="C32" s="111"/>
      <c r="D32" s="101"/>
      <c r="E32" s="72"/>
      <c r="F32" s="172"/>
      <c r="G32" s="73"/>
      <c r="H32" s="217"/>
      <c r="I32" s="190"/>
      <c r="J32" s="239"/>
      <c r="K32" s="217"/>
      <c r="L32" s="190"/>
      <c r="M32" s="239"/>
      <c r="N32" s="217"/>
      <c r="O32" s="190"/>
      <c r="P32" s="276"/>
      <c r="Q32" s="273"/>
    </row>
    <row r="33" spans="1:17" ht="12.75">
      <c r="A33" s="57" t="s">
        <v>99</v>
      </c>
      <c r="B33" s="50"/>
      <c r="C33" s="111"/>
      <c r="D33" s="101"/>
      <c r="E33" s="72"/>
      <c r="F33" s="172">
        <f>C33+D33+E33</f>
        <v>0</v>
      </c>
      <c r="G33" s="73"/>
      <c r="H33" s="217"/>
      <c r="I33" s="190">
        <f>F33+G33+H33</f>
        <v>0</v>
      </c>
      <c r="J33" s="239">
        <f>695.88</f>
        <v>695.88</v>
      </c>
      <c r="K33" s="217"/>
      <c r="L33" s="190">
        <f>I33+J33+K33</f>
        <v>695.88</v>
      </c>
      <c r="M33" s="239"/>
      <c r="N33" s="217"/>
      <c r="O33" s="190">
        <f>L33+M33+N33</f>
        <v>695.88</v>
      </c>
      <c r="P33" s="276"/>
      <c r="Q33" s="273">
        <f t="shared" si="1"/>
        <v>695.88</v>
      </c>
    </row>
    <row r="34" spans="1:17" ht="12.75" hidden="1">
      <c r="A34" s="16" t="s">
        <v>94</v>
      </c>
      <c r="B34" s="51"/>
      <c r="C34" s="111"/>
      <c r="D34" s="101"/>
      <c r="E34" s="72"/>
      <c r="F34" s="172">
        <f>C34+D34+E34</f>
        <v>0</v>
      </c>
      <c r="G34" s="73"/>
      <c r="H34" s="217"/>
      <c r="I34" s="190">
        <f>F34+G34+H34</f>
        <v>0</v>
      </c>
      <c r="J34" s="242"/>
      <c r="K34" s="217"/>
      <c r="L34" s="190">
        <f>I34+J34+K34</f>
        <v>0</v>
      </c>
      <c r="M34" s="242"/>
      <c r="N34" s="217"/>
      <c r="O34" s="190">
        <f>L34+M34+N34</f>
        <v>0</v>
      </c>
      <c r="P34" s="276"/>
      <c r="Q34" s="273">
        <f t="shared" si="1"/>
        <v>0</v>
      </c>
    </row>
    <row r="35" spans="1:17" ht="12.75" hidden="1">
      <c r="A35" s="16" t="s">
        <v>97</v>
      </c>
      <c r="B35" s="51"/>
      <c r="C35" s="111"/>
      <c r="D35" s="101"/>
      <c r="E35" s="72"/>
      <c r="F35" s="172">
        <f>C35+D35+E35</f>
        <v>0</v>
      </c>
      <c r="G35" s="73"/>
      <c r="H35" s="217"/>
      <c r="I35" s="190">
        <f>F35+G35+H35</f>
        <v>0</v>
      </c>
      <c r="J35" s="242"/>
      <c r="K35" s="217"/>
      <c r="L35" s="190">
        <f>I35+J35+K35</f>
        <v>0</v>
      </c>
      <c r="M35" s="242"/>
      <c r="N35" s="217"/>
      <c r="O35" s="190">
        <f>L35+M35+N35</f>
        <v>0</v>
      </c>
      <c r="P35" s="276"/>
      <c r="Q35" s="273">
        <f t="shared" si="1"/>
        <v>0</v>
      </c>
    </row>
    <row r="36" spans="1:17" ht="12.75" hidden="1">
      <c r="A36" s="16" t="s">
        <v>104</v>
      </c>
      <c r="B36" s="51"/>
      <c r="C36" s="111"/>
      <c r="D36" s="101"/>
      <c r="E36" s="72"/>
      <c r="F36" s="172">
        <f>C36+D36+E36</f>
        <v>0</v>
      </c>
      <c r="G36" s="73"/>
      <c r="H36" s="217"/>
      <c r="I36" s="190">
        <f>F36+G36+H36</f>
        <v>0</v>
      </c>
      <c r="J36" s="242"/>
      <c r="K36" s="217"/>
      <c r="L36" s="190">
        <f>I36+J36+K36</f>
        <v>0</v>
      </c>
      <c r="M36" s="242"/>
      <c r="N36" s="217"/>
      <c r="O36" s="190">
        <f>L36+M36+N36</f>
        <v>0</v>
      </c>
      <c r="P36" s="276"/>
      <c r="Q36" s="273">
        <f t="shared" si="1"/>
        <v>0</v>
      </c>
    </row>
    <row r="37" spans="1:17" ht="12.75">
      <c r="A37" s="57" t="s">
        <v>220</v>
      </c>
      <c r="B37" s="50"/>
      <c r="C37" s="111">
        <v>5000</v>
      </c>
      <c r="D37" s="101"/>
      <c r="E37" s="72"/>
      <c r="F37" s="172">
        <f>C37+D37+E37</f>
        <v>5000</v>
      </c>
      <c r="G37" s="73"/>
      <c r="H37" s="217"/>
      <c r="I37" s="190">
        <f>F37+G37+H37</f>
        <v>5000</v>
      </c>
      <c r="J37" s="239">
        <f>2173.09</f>
        <v>2173.09</v>
      </c>
      <c r="K37" s="217"/>
      <c r="L37" s="190">
        <f>I37+J37+K37</f>
        <v>7173.09</v>
      </c>
      <c r="M37" s="239">
        <f>16118.74+3175.81+11771.07-2173.09</f>
        <v>28892.53</v>
      </c>
      <c r="N37" s="217"/>
      <c r="O37" s="190">
        <f>L37+M37+N37</f>
        <v>36065.619999999995</v>
      </c>
      <c r="P37" s="276">
        <f>-3357+431.51</f>
        <v>-2925.49</v>
      </c>
      <c r="Q37" s="273">
        <f t="shared" si="1"/>
        <v>33140.13</v>
      </c>
    </row>
    <row r="38" spans="1:17" ht="12.75">
      <c r="A38" s="17" t="s">
        <v>199</v>
      </c>
      <c r="B38" s="50"/>
      <c r="C38" s="111"/>
      <c r="D38" s="101"/>
      <c r="E38" s="72"/>
      <c r="F38" s="172"/>
      <c r="G38" s="73"/>
      <c r="H38" s="217"/>
      <c r="I38" s="190"/>
      <c r="J38" s="239"/>
      <c r="K38" s="217"/>
      <c r="L38" s="190"/>
      <c r="M38" s="239"/>
      <c r="N38" s="217"/>
      <c r="O38" s="190"/>
      <c r="P38" s="276"/>
      <c r="Q38" s="273"/>
    </row>
    <row r="39" spans="1:19" ht="12.75">
      <c r="A39" s="13" t="s">
        <v>25</v>
      </c>
      <c r="B39" s="48"/>
      <c r="C39" s="110">
        <f aca="true" t="shared" si="9" ref="C39:Q39">SUM(C41:C61)</f>
        <v>129756.6</v>
      </c>
      <c r="D39" s="91">
        <f t="shared" si="9"/>
        <v>11594528.180000003</v>
      </c>
      <c r="E39" s="71">
        <f t="shared" si="9"/>
        <v>0</v>
      </c>
      <c r="F39" s="171">
        <f t="shared" si="9"/>
        <v>11724284.780000003</v>
      </c>
      <c r="G39" s="70">
        <f t="shared" si="9"/>
        <v>510561.9400000001</v>
      </c>
      <c r="H39" s="216">
        <f t="shared" si="9"/>
        <v>0</v>
      </c>
      <c r="I39" s="189">
        <f t="shared" si="9"/>
        <v>12234846.72</v>
      </c>
      <c r="J39" s="238">
        <f t="shared" si="9"/>
        <v>589371.54</v>
      </c>
      <c r="K39" s="216">
        <f t="shared" si="9"/>
        <v>0</v>
      </c>
      <c r="L39" s="189">
        <f t="shared" si="9"/>
        <v>12824218.260000004</v>
      </c>
      <c r="M39" s="238">
        <f t="shared" si="9"/>
        <v>328495.63000000006</v>
      </c>
      <c r="N39" s="216">
        <f t="shared" si="9"/>
        <v>0</v>
      </c>
      <c r="O39" s="189">
        <f t="shared" si="9"/>
        <v>13152713.890000002</v>
      </c>
      <c r="P39" s="308">
        <f t="shared" si="9"/>
        <v>5257.76999999999</v>
      </c>
      <c r="Q39" s="272">
        <f t="shared" si="9"/>
        <v>13157971.660000002</v>
      </c>
      <c r="S39" s="326"/>
    </row>
    <row r="40" spans="1:17" ht="10.5" customHeight="1">
      <c r="A40" s="18" t="s">
        <v>26</v>
      </c>
      <c r="B40" s="53"/>
      <c r="C40" s="111"/>
      <c r="D40" s="101"/>
      <c r="E40" s="72"/>
      <c r="F40" s="172"/>
      <c r="G40" s="73"/>
      <c r="H40" s="217"/>
      <c r="I40" s="190"/>
      <c r="J40" s="239"/>
      <c r="K40" s="217"/>
      <c r="L40" s="190"/>
      <c r="M40" s="239"/>
      <c r="N40" s="217"/>
      <c r="O40" s="190"/>
      <c r="P40" s="276"/>
      <c r="Q40" s="273"/>
    </row>
    <row r="41" spans="1:17" ht="12.75">
      <c r="A41" s="16" t="s">
        <v>27</v>
      </c>
      <c r="B41" s="51"/>
      <c r="C41" s="111">
        <v>129506.6</v>
      </c>
      <c r="D41" s="101"/>
      <c r="E41" s="72"/>
      <c r="F41" s="172">
        <f aca="true" t="shared" si="10" ref="F41:F61">C41+D41+E41</f>
        <v>129506.6</v>
      </c>
      <c r="G41" s="73"/>
      <c r="H41" s="217"/>
      <c r="I41" s="190">
        <f>F41+G41+H41</f>
        <v>129506.6</v>
      </c>
      <c r="J41" s="239"/>
      <c r="K41" s="217"/>
      <c r="L41" s="190">
        <f>I41+J41+K41</f>
        <v>129506.6</v>
      </c>
      <c r="M41" s="239"/>
      <c r="N41" s="217"/>
      <c r="O41" s="190">
        <f>L41+M41+N41</f>
        <v>129506.6</v>
      </c>
      <c r="P41" s="276"/>
      <c r="Q41" s="273">
        <f t="shared" si="1"/>
        <v>129506.6</v>
      </c>
    </row>
    <row r="42" spans="1:17" ht="12.75">
      <c r="A42" s="16" t="s">
        <v>28</v>
      </c>
      <c r="B42" s="51"/>
      <c r="C42" s="111"/>
      <c r="D42" s="101">
        <f>800+15+32053.4</f>
        <v>32868.4</v>
      </c>
      <c r="E42" s="72"/>
      <c r="F42" s="172">
        <f t="shared" si="10"/>
        <v>32868.4</v>
      </c>
      <c r="G42" s="73">
        <f>15+96383.35+32659</f>
        <v>129057.35</v>
      </c>
      <c r="H42" s="217"/>
      <c r="I42" s="190">
        <f aca="true" t="shared" si="11" ref="I42:I61">F42+G42+H42</f>
        <v>161925.75</v>
      </c>
      <c r="J42" s="239">
        <f>34781.35+31636.6+29110.35</f>
        <v>95528.29999999999</v>
      </c>
      <c r="K42" s="217"/>
      <c r="L42" s="190">
        <f aca="true" t="shared" si="12" ref="L42:L61">I42+J42+K42</f>
        <v>257454.05</v>
      </c>
      <c r="M42" s="239">
        <f>11845.75+8886.25</f>
        <v>20732</v>
      </c>
      <c r="N42" s="217"/>
      <c r="O42" s="190">
        <f aca="true" t="shared" si="13" ref="O42:O61">L42+M42+N42</f>
        <v>278186.05</v>
      </c>
      <c r="P42" s="276">
        <f>21301.85</f>
        <v>21301.85</v>
      </c>
      <c r="Q42" s="273">
        <f t="shared" si="1"/>
        <v>299487.89999999997</v>
      </c>
    </row>
    <row r="43" spans="1:17" ht="12.75">
      <c r="A43" s="16" t="s">
        <v>304</v>
      </c>
      <c r="B43" s="51">
        <v>12002</v>
      </c>
      <c r="C43" s="111"/>
      <c r="D43" s="101">
        <f>9.74</f>
        <v>9.74</v>
      </c>
      <c r="E43" s="72"/>
      <c r="F43" s="172">
        <f t="shared" si="10"/>
        <v>9.74</v>
      </c>
      <c r="G43" s="73">
        <f>153.78</f>
        <v>153.78</v>
      </c>
      <c r="H43" s="217"/>
      <c r="I43" s="190">
        <f t="shared" si="11"/>
        <v>163.52</v>
      </c>
      <c r="J43" s="239">
        <f>103.59</f>
        <v>103.59</v>
      </c>
      <c r="K43" s="217"/>
      <c r="L43" s="190">
        <f t="shared" si="12"/>
        <v>267.11</v>
      </c>
      <c r="M43" s="239"/>
      <c r="N43" s="217"/>
      <c r="O43" s="190">
        <f t="shared" si="13"/>
        <v>267.11</v>
      </c>
      <c r="P43" s="276">
        <f>40.45+156.61</f>
        <v>197.06</v>
      </c>
      <c r="Q43" s="273">
        <f t="shared" si="1"/>
        <v>464.17</v>
      </c>
    </row>
    <row r="44" spans="1:17" ht="12.75">
      <c r="A44" s="16" t="s">
        <v>29</v>
      </c>
      <c r="B44" s="51"/>
      <c r="C44" s="111"/>
      <c r="D44" s="101">
        <f>148284.67+12646.55+9933653.38+15000+13643.49</f>
        <v>10123228.090000002</v>
      </c>
      <c r="E44" s="72"/>
      <c r="F44" s="172">
        <f t="shared" si="10"/>
        <v>10123228.090000002</v>
      </c>
      <c r="G44" s="73">
        <f>147279.41+797.04+82194.23+20208+36218+21575+1974.38+12750+28283.24+1663.5+600+150+5134.59+328+110</f>
        <v>359265.39</v>
      </c>
      <c r="H44" s="217"/>
      <c r="I44" s="190">
        <f t="shared" si="11"/>
        <v>10482493.480000002</v>
      </c>
      <c r="J44" s="239">
        <f>147089.43+30476.12+268.27+375+19829.14+363.35</f>
        <v>198401.30999999997</v>
      </c>
      <c r="K44" s="217"/>
      <c r="L44" s="190">
        <f t="shared" si="12"/>
        <v>10680894.790000003</v>
      </c>
      <c r="M44" s="239">
        <f>397.98+5175.12+3799.25+153489.32+1271.05+14811.92+758.58</f>
        <v>179703.22</v>
      </c>
      <c r="N44" s="217"/>
      <c r="O44" s="190">
        <f t="shared" si="13"/>
        <v>10860598.010000004</v>
      </c>
      <c r="P44" s="276">
        <f>-8543.26-297+6773.36-17177.31+50-3016.82-830.05-15120-3558.23-929.9-8.05-0.9</f>
        <v>-42658.16000000001</v>
      </c>
      <c r="Q44" s="273">
        <f t="shared" si="1"/>
        <v>10817939.850000003</v>
      </c>
    </row>
    <row r="45" spans="1:17" ht="12.75">
      <c r="A45" s="16" t="s">
        <v>30</v>
      </c>
      <c r="B45" s="51"/>
      <c r="C45" s="111"/>
      <c r="D45" s="101">
        <f>1355855.4+47237.11+5532.56+13300</f>
        <v>1421925.07</v>
      </c>
      <c r="E45" s="72"/>
      <c r="F45" s="172">
        <f t="shared" si="10"/>
        <v>1421925.07</v>
      </c>
      <c r="G45" s="73">
        <f>976.23+102.41+1667.33+5674.87</f>
        <v>8420.84</v>
      </c>
      <c r="H45" s="217"/>
      <c r="I45" s="190">
        <f t="shared" si="11"/>
        <v>1430345.9100000001</v>
      </c>
      <c r="J45" s="239">
        <f>3212.87+24274.87+45.65+279.4+8898.72+5831.74+3783.25</f>
        <v>46326.5</v>
      </c>
      <c r="K45" s="217"/>
      <c r="L45" s="190">
        <f t="shared" si="12"/>
        <v>1476672.4100000001</v>
      </c>
      <c r="M45" s="239">
        <f>712.02+1000+7727.61+3457.85+795.32+12191.02+2668.34</f>
        <v>28552.16</v>
      </c>
      <c r="N45" s="217"/>
      <c r="O45" s="190">
        <f t="shared" si="13"/>
        <v>1505224.57</v>
      </c>
      <c r="P45" s="276">
        <f>1170+44.37+14539.86+4046.99</f>
        <v>19801.22</v>
      </c>
      <c r="Q45" s="273">
        <f t="shared" si="1"/>
        <v>1525025.79</v>
      </c>
    </row>
    <row r="46" spans="1:17" ht="12.75">
      <c r="A46" s="16" t="s">
        <v>31</v>
      </c>
      <c r="B46" s="51"/>
      <c r="C46" s="111"/>
      <c r="D46" s="101">
        <f>81.23+316.82</f>
        <v>398.05</v>
      </c>
      <c r="E46" s="72"/>
      <c r="F46" s="172">
        <f t="shared" si="10"/>
        <v>398.05</v>
      </c>
      <c r="G46" s="73">
        <f>1127.46+6.89+12.28+3.92+13.41+18.16-81.23</f>
        <v>1100.8900000000003</v>
      </c>
      <c r="H46" s="217"/>
      <c r="I46" s="190">
        <f t="shared" si="11"/>
        <v>1498.9400000000003</v>
      </c>
      <c r="J46" s="239">
        <f>22.33+81.23+36.32</f>
        <v>139.88</v>
      </c>
      <c r="K46" s="217"/>
      <c r="L46" s="190">
        <f t="shared" si="12"/>
        <v>1638.8200000000002</v>
      </c>
      <c r="M46" s="239">
        <f>1220.82+10.18+62.23+21.89+1053.39</f>
        <v>2368.51</v>
      </c>
      <c r="N46" s="217"/>
      <c r="O46" s="190">
        <f t="shared" si="13"/>
        <v>4007.3300000000004</v>
      </c>
      <c r="P46" s="276">
        <f>718.51+31.2+4.12+269.95</f>
        <v>1023.78</v>
      </c>
      <c r="Q46" s="273">
        <f t="shared" si="1"/>
        <v>5031.110000000001</v>
      </c>
    </row>
    <row r="47" spans="1:17" ht="12.75">
      <c r="A47" s="16" t="s">
        <v>32</v>
      </c>
      <c r="B47" s="51"/>
      <c r="C47" s="111"/>
      <c r="D47" s="101">
        <f>451.07</f>
        <v>451.07</v>
      </c>
      <c r="E47" s="72"/>
      <c r="F47" s="172">
        <f t="shared" si="10"/>
        <v>451.07</v>
      </c>
      <c r="G47" s="73">
        <f>43+41+18.12+51+135+54+45+19+45+109+96+55+123+63</f>
        <v>897.12</v>
      </c>
      <c r="H47" s="217"/>
      <c r="I47" s="190">
        <f t="shared" si="11"/>
        <v>1348.19</v>
      </c>
      <c r="J47" s="239">
        <f>117+2120+90+747.36+14+95</f>
        <v>3183.36</v>
      </c>
      <c r="K47" s="217"/>
      <c r="L47" s="190">
        <f t="shared" si="12"/>
        <v>4531.55</v>
      </c>
      <c r="M47" s="239">
        <f>592.55+242+1630+69</f>
        <v>2533.55</v>
      </c>
      <c r="N47" s="217"/>
      <c r="O47" s="190">
        <f t="shared" si="13"/>
        <v>7065.1</v>
      </c>
      <c r="P47" s="276">
        <f>264</f>
        <v>264</v>
      </c>
      <c r="Q47" s="273">
        <f t="shared" si="1"/>
        <v>7329.1</v>
      </c>
    </row>
    <row r="48" spans="1:17" ht="12.75">
      <c r="A48" s="16" t="s">
        <v>41</v>
      </c>
      <c r="B48" s="51"/>
      <c r="C48" s="111"/>
      <c r="D48" s="101"/>
      <c r="E48" s="72"/>
      <c r="F48" s="172">
        <f t="shared" si="10"/>
        <v>0</v>
      </c>
      <c r="G48" s="73">
        <f>301.15</f>
        <v>301.15</v>
      </c>
      <c r="H48" s="217"/>
      <c r="I48" s="190">
        <f t="shared" si="11"/>
        <v>301.15</v>
      </c>
      <c r="J48" s="239">
        <f>3898.25</f>
        <v>3898.25</v>
      </c>
      <c r="K48" s="217"/>
      <c r="L48" s="190">
        <f t="shared" si="12"/>
        <v>4199.4</v>
      </c>
      <c r="M48" s="239">
        <f>206.51</f>
        <v>206.51</v>
      </c>
      <c r="N48" s="217"/>
      <c r="O48" s="190">
        <f t="shared" si="13"/>
        <v>4405.91</v>
      </c>
      <c r="P48" s="276"/>
      <c r="Q48" s="273">
        <f t="shared" si="1"/>
        <v>4405.91</v>
      </c>
    </row>
    <row r="49" spans="1:17" ht="12.75">
      <c r="A49" s="16" t="s">
        <v>33</v>
      </c>
      <c r="B49" s="51"/>
      <c r="C49" s="111"/>
      <c r="D49" s="101">
        <f>1900+1096+224</f>
        <v>3220</v>
      </c>
      <c r="E49" s="72"/>
      <c r="F49" s="172">
        <f t="shared" si="10"/>
        <v>3220</v>
      </c>
      <c r="G49" s="73">
        <f>3525.83</f>
        <v>3525.83</v>
      </c>
      <c r="H49" s="217"/>
      <c r="I49" s="190">
        <f t="shared" si="11"/>
        <v>6745.83</v>
      </c>
      <c r="J49" s="239"/>
      <c r="K49" s="217"/>
      <c r="L49" s="190">
        <f t="shared" si="12"/>
        <v>6745.83</v>
      </c>
      <c r="M49" s="239"/>
      <c r="N49" s="217"/>
      <c r="O49" s="190">
        <f t="shared" si="13"/>
        <v>6745.83</v>
      </c>
      <c r="P49" s="276">
        <f>214</f>
        <v>214</v>
      </c>
      <c r="Q49" s="273">
        <f t="shared" si="1"/>
        <v>6959.83</v>
      </c>
    </row>
    <row r="50" spans="1:17" ht="12.75">
      <c r="A50" s="16" t="s">
        <v>34</v>
      </c>
      <c r="B50" s="51"/>
      <c r="C50" s="111"/>
      <c r="D50" s="101"/>
      <c r="E50" s="72"/>
      <c r="F50" s="172">
        <f t="shared" si="10"/>
        <v>0</v>
      </c>
      <c r="G50" s="73">
        <f>494.63+206.4</f>
        <v>701.03</v>
      </c>
      <c r="H50" s="217"/>
      <c r="I50" s="190">
        <f t="shared" si="11"/>
        <v>701.03</v>
      </c>
      <c r="J50" s="239">
        <f>345.85</f>
        <v>345.85</v>
      </c>
      <c r="K50" s="217"/>
      <c r="L50" s="190">
        <f t="shared" si="12"/>
        <v>1046.88</v>
      </c>
      <c r="M50" s="239"/>
      <c r="N50" s="217"/>
      <c r="O50" s="190">
        <f t="shared" si="13"/>
        <v>1046.88</v>
      </c>
      <c r="P50" s="276"/>
      <c r="Q50" s="273">
        <f t="shared" si="1"/>
        <v>1046.88</v>
      </c>
    </row>
    <row r="51" spans="1:17" ht="12.75">
      <c r="A51" s="16" t="s">
        <v>128</v>
      </c>
      <c r="B51" s="51"/>
      <c r="C51" s="111"/>
      <c r="D51" s="101"/>
      <c r="E51" s="72"/>
      <c r="F51" s="172">
        <f t="shared" si="10"/>
        <v>0</v>
      </c>
      <c r="G51" s="73"/>
      <c r="H51" s="217"/>
      <c r="I51" s="190">
        <f t="shared" si="11"/>
        <v>0</v>
      </c>
      <c r="J51" s="239">
        <f>211109.66</f>
        <v>211109.66</v>
      </c>
      <c r="K51" s="217"/>
      <c r="L51" s="190">
        <f t="shared" si="12"/>
        <v>211109.66</v>
      </c>
      <c r="M51" s="239"/>
      <c r="N51" s="217"/>
      <c r="O51" s="190">
        <f t="shared" si="13"/>
        <v>211109.66</v>
      </c>
      <c r="P51" s="276"/>
      <c r="Q51" s="273">
        <f t="shared" si="1"/>
        <v>211109.66</v>
      </c>
    </row>
    <row r="52" spans="1:17" ht="12.75">
      <c r="A52" s="16" t="s">
        <v>140</v>
      </c>
      <c r="B52" s="51"/>
      <c r="C52" s="111"/>
      <c r="D52" s="101">
        <f>10748.16</f>
        <v>10748.16</v>
      </c>
      <c r="E52" s="72"/>
      <c r="F52" s="172">
        <f t="shared" si="10"/>
        <v>10748.16</v>
      </c>
      <c r="G52" s="73"/>
      <c r="H52" s="217"/>
      <c r="I52" s="190">
        <f t="shared" si="11"/>
        <v>10748.16</v>
      </c>
      <c r="J52" s="239">
        <f>107.5+3909.52</f>
        <v>4017.02</v>
      </c>
      <c r="K52" s="217"/>
      <c r="L52" s="190">
        <f t="shared" si="12"/>
        <v>14765.18</v>
      </c>
      <c r="M52" s="239"/>
      <c r="N52" s="217"/>
      <c r="O52" s="190">
        <f t="shared" si="13"/>
        <v>14765.18</v>
      </c>
      <c r="P52" s="276">
        <f>-741.8</f>
        <v>-741.8</v>
      </c>
      <c r="Q52" s="273">
        <f t="shared" si="1"/>
        <v>14023.380000000001</v>
      </c>
    </row>
    <row r="53" spans="1:17" ht="12.75">
      <c r="A53" s="16" t="s">
        <v>363</v>
      </c>
      <c r="B53" s="51"/>
      <c r="C53" s="111"/>
      <c r="D53" s="101"/>
      <c r="E53" s="72"/>
      <c r="F53" s="172"/>
      <c r="G53" s="73"/>
      <c r="H53" s="217"/>
      <c r="I53" s="190">
        <f t="shared" si="11"/>
        <v>0</v>
      </c>
      <c r="J53" s="239">
        <f>361.67</f>
        <v>361.67</v>
      </c>
      <c r="K53" s="217"/>
      <c r="L53" s="190">
        <f t="shared" si="12"/>
        <v>361.67</v>
      </c>
      <c r="M53" s="239"/>
      <c r="N53" s="217"/>
      <c r="O53" s="190">
        <f t="shared" si="13"/>
        <v>361.67</v>
      </c>
      <c r="P53" s="276"/>
      <c r="Q53" s="273">
        <f t="shared" si="1"/>
        <v>361.67</v>
      </c>
    </row>
    <row r="54" spans="1:17" ht="12.75">
      <c r="A54" s="16" t="s">
        <v>35</v>
      </c>
      <c r="B54" s="51"/>
      <c r="C54" s="111"/>
      <c r="D54" s="101">
        <f>55.21+754.79</f>
        <v>810</v>
      </c>
      <c r="E54" s="72"/>
      <c r="F54" s="172">
        <f t="shared" si="10"/>
        <v>810</v>
      </c>
      <c r="G54" s="73">
        <f>871.4+228+308.77</f>
        <v>1408.17</v>
      </c>
      <c r="H54" s="217"/>
      <c r="I54" s="190">
        <f t="shared" si="11"/>
        <v>2218.17</v>
      </c>
      <c r="J54" s="239">
        <f>587.03+1002.11</f>
        <v>1589.1399999999999</v>
      </c>
      <c r="K54" s="217"/>
      <c r="L54" s="190">
        <f t="shared" si="12"/>
        <v>3807.31</v>
      </c>
      <c r="M54" s="239">
        <f>173.07</f>
        <v>173.07</v>
      </c>
      <c r="N54" s="217"/>
      <c r="O54" s="190">
        <f t="shared" si="13"/>
        <v>3980.38</v>
      </c>
      <c r="P54" s="276">
        <f>178.26+887.45</f>
        <v>1065.71</v>
      </c>
      <c r="Q54" s="273">
        <f t="shared" si="1"/>
        <v>5046.09</v>
      </c>
    </row>
    <row r="55" spans="1:17" ht="12.75">
      <c r="A55" s="16" t="s">
        <v>36</v>
      </c>
      <c r="B55" s="51"/>
      <c r="C55" s="111"/>
      <c r="D55" s="101"/>
      <c r="E55" s="72"/>
      <c r="F55" s="172">
        <f t="shared" si="10"/>
        <v>0</v>
      </c>
      <c r="G55" s="73">
        <f>565+510+500</f>
        <v>1575</v>
      </c>
      <c r="H55" s="217"/>
      <c r="I55" s="190">
        <f t="shared" si="11"/>
        <v>1575</v>
      </c>
      <c r="J55" s="242"/>
      <c r="K55" s="217"/>
      <c r="L55" s="190">
        <f t="shared" si="12"/>
        <v>1575</v>
      </c>
      <c r="M55" s="239"/>
      <c r="N55" s="217"/>
      <c r="O55" s="190">
        <f t="shared" si="13"/>
        <v>1575</v>
      </c>
      <c r="P55" s="276"/>
      <c r="Q55" s="273">
        <f t="shared" si="1"/>
        <v>1575</v>
      </c>
    </row>
    <row r="56" spans="1:17" ht="12.75" hidden="1">
      <c r="A56" s="16" t="s">
        <v>181</v>
      </c>
      <c r="B56" s="51"/>
      <c r="C56" s="111"/>
      <c r="D56" s="101"/>
      <c r="E56" s="72"/>
      <c r="F56" s="172">
        <f t="shared" si="10"/>
        <v>0</v>
      </c>
      <c r="G56" s="73"/>
      <c r="H56" s="217"/>
      <c r="I56" s="190">
        <f t="shared" si="11"/>
        <v>0</v>
      </c>
      <c r="J56" s="242"/>
      <c r="K56" s="217"/>
      <c r="L56" s="190">
        <f t="shared" si="12"/>
        <v>0</v>
      </c>
      <c r="M56" s="239"/>
      <c r="N56" s="217"/>
      <c r="O56" s="190">
        <f t="shared" si="13"/>
        <v>0</v>
      </c>
      <c r="P56" s="276"/>
      <c r="Q56" s="273">
        <f t="shared" si="1"/>
        <v>0</v>
      </c>
    </row>
    <row r="57" spans="1:17" ht="12.75">
      <c r="A57" s="16" t="s">
        <v>141</v>
      </c>
      <c r="B57" s="51"/>
      <c r="C57" s="111"/>
      <c r="D57" s="101"/>
      <c r="E57" s="72"/>
      <c r="F57" s="172">
        <f t="shared" si="10"/>
        <v>0</v>
      </c>
      <c r="G57" s="73">
        <f>393.86</f>
        <v>393.86</v>
      </c>
      <c r="H57" s="217"/>
      <c r="I57" s="190">
        <f t="shared" si="11"/>
        <v>393.86</v>
      </c>
      <c r="J57" s="242"/>
      <c r="K57" s="217"/>
      <c r="L57" s="190">
        <f t="shared" si="12"/>
        <v>393.86</v>
      </c>
      <c r="M57" s="239"/>
      <c r="N57" s="217"/>
      <c r="O57" s="190">
        <f t="shared" si="13"/>
        <v>393.86</v>
      </c>
      <c r="P57" s="276"/>
      <c r="Q57" s="273">
        <f t="shared" si="1"/>
        <v>393.86</v>
      </c>
    </row>
    <row r="58" spans="1:17" ht="12.75">
      <c r="A58" s="16" t="s">
        <v>37</v>
      </c>
      <c r="B58" s="51"/>
      <c r="C58" s="111"/>
      <c r="D58" s="101"/>
      <c r="E58" s="72"/>
      <c r="F58" s="172">
        <f t="shared" si="10"/>
        <v>0</v>
      </c>
      <c r="G58" s="73"/>
      <c r="H58" s="217"/>
      <c r="I58" s="190">
        <f t="shared" si="11"/>
        <v>0</v>
      </c>
      <c r="J58" s="239"/>
      <c r="K58" s="217"/>
      <c r="L58" s="190">
        <f t="shared" si="12"/>
        <v>0</v>
      </c>
      <c r="M58" s="239">
        <f>82000+12172.08</f>
        <v>94172.08</v>
      </c>
      <c r="N58" s="217"/>
      <c r="O58" s="190">
        <f t="shared" si="13"/>
        <v>94172.08</v>
      </c>
      <c r="P58" s="276"/>
      <c r="Q58" s="273">
        <f t="shared" si="1"/>
        <v>94172.08</v>
      </c>
    </row>
    <row r="59" spans="1:17" ht="12.75">
      <c r="A59" s="16" t="s">
        <v>38</v>
      </c>
      <c r="B59" s="51"/>
      <c r="C59" s="111"/>
      <c r="D59" s="101"/>
      <c r="E59" s="72"/>
      <c r="F59" s="172">
        <f t="shared" si="10"/>
        <v>0</v>
      </c>
      <c r="G59" s="73"/>
      <c r="H59" s="217"/>
      <c r="I59" s="190">
        <f t="shared" si="11"/>
        <v>0</v>
      </c>
      <c r="J59" s="239">
        <f>2529.29</f>
        <v>2529.29</v>
      </c>
      <c r="K59" s="217"/>
      <c r="L59" s="190">
        <f t="shared" si="12"/>
        <v>2529.29</v>
      </c>
      <c r="M59" s="239"/>
      <c r="N59" s="217"/>
      <c r="O59" s="190">
        <f t="shared" si="13"/>
        <v>2529.29</v>
      </c>
      <c r="P59" s="276">
        <f>5.07</f>
        <v>5.07</v>
      </c>
      <c r="Q59" s="273">
        <f t="shared" si="1"/>
        <v>2534.36</v>
      </c>
    </row>
    <row r="60" spans="1:17" ht="12.75">
      <c r="A60" s="16" t="s">
        <v>39</v>
      </c>
      <c r="B60" s="51"/>
      <c r="C60" s="111">
        <v>250</v>
      </c>
      <c r="D60" s="101">
        <f>5.96+863.64</f>
        <v>869.6</v>
      </c>
      <c r="E60" s="72"/>
      <c r="F60" s="172">
        <f t="shared" si="10"/>
        <v>1119.6</v>
      </c>
      <c r="G60" s="73">
        <f>2092.34+6.68+1437.81+224.7</f>
        <v>3761.5299999999997</v>
      </c>
      <c r="H60" s="217"/>
      <c r="I60" s="190">
        <f t="shared" si="11"/>
        <v>4881.129999999999</v>
      </c>
      <c r="J60" s="239">
        <f>8.66+344.06</f>
        <v>352.72</v>
      </c>
      <c r="K60" s="217"/>
      <c r="L60" s="190">
        <f t="shared" si="12"/>
        <v>5233.849999999999</v>
      </c>
      <c r="M60" s="239">
        <f>10.19</f>
        <v>10.19</v>
      </c>
      <c r="N60" s="217"/>
      <c r="O60" s="190">
        <f t="shared" si="13"/>
        <v>5244.039999999999</v>
      </c>
      <c r="P60" s="276"/>
      <c r="Q60" s="273">
        <f t="shared" si="1"/>
        <v>5244.039999999999</v>
      </c>
    </row>
    <row r="61" spans="1:17" ht="12.75">
      <c r="A61" s="16" t="s">
        <v>144</v>
      </c>
      <c r="B61" s="51"/>
      <c r="C61" s="111"/>
      <c r="D61" s="101"/>
      <c r="E61" s="72"/>
      <c r="F61" s="172">
        <f t="shared" si="10"/>
        <v>0</v>
      </c>
      <c r="G61" s="73"/>
      <c r="H61" s="217"/>
      <c r="I61" s="190">
        <f t="shared" si="11"/>
        <v>0</v>
      </c>
      <c r="J61" s="239">
        <f>9911.39+11573.61</f>
        <v>21485</v>
      </c>
      <c r="K61" s="217"/>
      <c r="L61" s="190">
        <f t="shared" si="12"/>
        <v>21485</v>
      </c>
      <c r="M61" s="239">
        <f>44.34</f>
        <v>44.34</v>
      </c>
      <c r="N61" s="217"/>
      <c r="O61" s="190">
        <f t="shared" si="13"/>
        <v>21529.34</v>
      </c>
      <c r="P61" s="276">
        <f>4785.04</f>
        <v>4785.04</v>
      </c>
      <c r="Q61" s="273">
        <f t="shared" si="1"/>
        <v>26314.38</v>
      </c>
    </row>
    <row r="62" spans="1:17" ht="12.75">
      <c r="A62" s="13" t="s">
        <v>40</v>
      </c>
      <c r="B62" s="48"/>
      <c r="C62" s="110">
        <f aca="true" t="shared" si="14" ref="C62:Q62">SUM(C64:C77)</f>
        <v>0</v>
      </c>
      <c r="D62" s="91">
        <f t="shared" si="14"/>
        <v>506339.23</v>
      </c>
      <c r="E62" s="71">
        <f t="shared" si="14"/>
        <v>0</v>
      </c>
      <c r="F62" s="171">
        <f t="shared" si="14"/>
        <v>506339.23</v>
      </c>
      <c r="G62" s="70">
        <f t="shared" si="14"/>
        <v>512615.96</v>
      </c>
      <c r="H62" s="216">
        <f t="shared" si="14"/>
        <v>0</v>
      </c>
      <c r="I62" s="189">
        <f t="shared" si="14"/>
        <v>1018955.1900000001</v>
      </c>
      <c r="J62" s="238">
        <f t="shared" si="14"/>
        <v>238621.34999999998</v>
      </c>
      <c r="K62" s="216">
        <f t="shared" si="14"/>
        <v>0</v>
      </c>
      <c r="L62" s="189">
        <f t="shared" si="14"/>
        <v>1257576.54</v>
      </c>
      <c r="M62" s="238">
        <f t="shared" si="14"/>
        <v>210392.40999999997</v>
      </c>
      <c r="N62" s="216">
        <f t="shared" si="14"/>
        <v>0</v>
      </c>
      <c r="O62" s="189">
        <f t="shared" si="14"/>
        <v>1467968.9500000002</v>
      </c>
      <c r="P62" s="308">
        <f t="shared" si="14"/>
        <v>-252684.78999999998</v>
      </c>
      <c r="Q62" s="272">
        <f t="shared" si="14"/>
        <v>1215284.1600000001</v>
      </c>
    </row>
    <row r="63" spans="1:17" ht="12.75">
      <c r="A63" s="18" t="s">
        <v>26</v>
      </c>
      <c r="B63" s="53"/>
      <c r="C63" s="111"/>
      <c r="D63" s="101"/>
      <c r="E63" s="72"/>
      <c r="F63" s="172"/>
      <c r="G63" s="73"/>
      <c r="H63" s="217"/>
      <c r="I63" s="190"/>
      <c r="J63" s="239"/>
      <c r="K63" s="217"/>
      <c r="L63" s="190"/>
      <c r="M63" s="239"/>
      <c r="N63" s="217"/>
      <c r="O63" s="190"/>
      <c r="P63" s="276"/>
      <c r="Q63" s="273"/>
    </row>
    <row r="64" spans="1:17" ht="12" customHeight="1">
      <c r="A64" s="16" t="s">
        <v>29</v>
      </c>
      <c r="B64" s="51"/>
      <c r="C64" s="111"/>
      <c r="D64" s="101"/>
      <c r="E64" s="72"/>
      <c r="F64" s="172">
        <f aca="true" t="shared" si="15" ref="F64:F77">C64+D64+E64</f>
        <v>0</v>
      </c>
      <c r="G64" s="73">
        <f>216.76</f>
        <v>216.76</v>
      </c>
      <c r="H64" s="217"/>
      <c r="I64" s="190">
        <f>F64+G64+H64</f>
        <v>216.76</v>
      </c>
      <c r="J64" s="239"/>
      <c r="K64" s="217"/>
      <c r="L64" s="190">
        <f>I64+J64+K64</f>
        <v>216.76</v>
      </c>
      <c r="M64" s="239"/>
      <c r="N64" s="217"/>
      <c r="O64" s="190">
        <f>L64+M64+N64</f>
        <v>216.76</v>
      </c>
      <c r="P64" s="276"/>
      <c r="Q64" s="273">
        <f t="shared" si="1"/>
        <v>216.76</v>
      </c>
    </row>
    <row r="65" spans="1:17" ht="12.75">
      <c r="A65" s="20" t="s">
        <v>30</v>
      </c>
      <c r="B65" s="54"/>
      <c r="C65" s="111"/>
      <c r="D65" s="101"/>
      <c r="E65" s="72"/>
      <c r="F65" s="172">
        <f t="shared" si="15"/>
        <v>0</v>
      </c>
      <c r="G65" s="73">
        <f>222.33+636.11+185.45+179.45</f>
        <v>1223.3400000000001</v>
      </c>
      <c r="H65" s="217"/>
      <c r="I65" s="190">
        <f aca="true" t="shared" si="16" ref="I65:I77">F65+G65+H65</f>
        <v>1223.3400000000001</v>
      </c>
      <c r="J65" s="239">
        <f>55.18</f>
        <v>55.18</v>
      </c>
      <c r="K65" s="217"/>
      <c r="L65" s="190">
        <f aca="true" t="shared" si="17" ref="L65:L77">I65+J65+K65</f>
        <v>1278.5200000000002</v>
      </c>
      <c r="M65" s="239"/>
      <c r="N65" s="217"/>
      <c r="O65" s="190">
        <f aca="true" t="shared" si="18" ref="O65:O77">L65+M65+N65</f>
        <v>1278.5200000000002</v>
      </c>
      <c r="P65" s="276">
        <f>3687.12</f>
        <v>3687.12</v>
      </c>
      <c r="Q65" s="273">
        <f t="shared" si="1"/>
        <v>4965.64</v>
      </c>
    </row>
    <row r="66" spans="1:17" ht="12.75">
      <c r="A66" s="20" t="s">
        <v>28</v>
      </c>
      <c r="B66" s="54"/>
      <c r="C66" s="111"/>
      <c r="D66" s="101"/>
      <c r="E66" s="72"/>
      <c r="F66" s="172">
        <f t="shared" si="15"/>
        <v>0</v>
      </c>
      <c r="G66" s="73"/>
      <c r="H66" s="217"/>
      <c r="I66" s="190">
        <f t="shared" si="16"/>
        <v>0</v>
      </c>
      <c r="J66" s="239"/>
      <c r="K66" s="217"/>
      <c r="L66" s="190">
        <f t="shared" si="17"/>
        <v>0</v>
      </c>
      <c r="M66" s="239"/>
      <c r="N66" s="217"/>
      <c r="O66" s="190">
        <f t="shared" si="18"/>
        <v>0</v>
      </c>
      <c r="P66" s="276">
        <f>1902.82</f>
        <v>1902.82</v>
      </c>
      <c r="Q66" s="273">
        <f t="shared" si="1"/>
        <v>1902.82</v>
      </c>
    </row>
    <row r="67" spans="1:17" ht="12.75">
      <c r="A67" s="20" t="s">
        <v>32</v>
      </c>
      <c r="B67" s="54"/>
      <c r="C67" s="111"/>
      <c r="D67" s="101"/>
      <c r="E67" s="72"/>
      <c r="F67" s="172">
        <f t="shared" si="15"/>
        <v>0</v>
      </c>
      <c r="G67" s="73">
        <f>45+63</f>
        <v>108</v>
      </c>
      <c r="H67" s="217"/>
      <c r="I67" s="190">
        <f t="shared" si="16"/>
        <v>108</v>
      </c>
      <c r="J67" s="239">
        <f>14331.83</f>
        <v>14331.83</v>
      </c>
      <c r="K67" s="217"/>
      <c r="L67" s="190">
        <f t="shared" si="17"/>
        <v>14439.83</v>
      </c>
      <c r="M67" s="239"/>
      <c r="N67" s="217"/>
      <c r="O67" s="190">
        <f t="shared" si="18"/>
        <v>14439.83</v>
      </c>
      <c r="P67" s="276">
        <f>373+2219.08</f>
        <v>2592.08</v>
      </c>
      <c r="Q67" s="273">
        <f t="shared" si="1"/>
        <v>17031.91</v>
      </c>
    </row>
    <row r="68" spans="1:17" ht="12.75">
      <c r="A68" s="20" t="s">
        <v>41</v>
      </c>
      <c r="B68" s="54"/>
      <c r="C68" s="111"/>
      <c r="D68" s="101"/>
      <c r="E68" s="72"/>
      <c r="F68" s="172">
        <f t="shared" si="15"/>
        <v>0</v>
      </c>
      <c r="G68" s="73">
        <f>13412.83</f>
        <v>13412.83</v>
      </c>
      <c r="H68" s="217"/>
      <c r="I68" s="190">
        <f t="shared" si="16"/>
        <v>13412.83</v>
      </c>
      <c r="J68" s="239"/>
      <c r="K68" s="217"/>
      <c r="L68" s="190">
        <f t="shared" si="17"/>
        <v>13412.83</v>
      </c>
      <c r="M68" s="239">
        <f>171088.75</f>
        <v>171088.75</v>
      </c>
      <c r="N68" s="217"/>
      <c r="O68" s="190">
        <f t="shared" si="18"/>
        <v>184501.58</v>
      </c>
      <c r="P68" s="276"/>
      <c r="Q68" s="273">
        <f t="shared" si="1"/>
        <v>184501.58</v>
      </c>
    </row>
    <row r="69" spans="1:17" ht="12.75">
      <c r="A69" s="16" t="s">
        <v>31</v>
      </c>
      <c r="B69" s="51"/>
      <c r="C69" s="111"/>
      <c r="D69" s="101">
        <f>1620.82+1409.62</f>
        <v>3030.4399999999996</v>
      </c>
      <c r="E69" s="72"/>
      <c r="F69" s="172">
        <f t="shared" si="15"/>
        <v>3030.4399999999996</v>
      </c>
      <c r="G69" s="73">
        <f>18707.82+56521.93+1337.82-1409.62</f>
        <v>75157.95000000001</v>
      </c>
      <c r="H69" s="217"/>
      <c r="I69" s="190">
        <f t="shared" si="16"/>
        <v>78188.39000000001</v>
      </c>
      <c r="J69" s="239">
        <f>19982.75+19379.21+35904.66+71.8+1052.12+200000+47365.51</f>
        <v>323756.05</v>
      </c>
      <c r="K69" s="217"/>
      <c r="L69" s="190">
        <f t="shared" si="17"/>
        <v>401944.44</v>
      </c>
      <c r="M69" s="239">
        <f>2100+932.64+121639.93+111.02</f>
        <v>124783.59</v>
      </c>
      <c r="N69" s="217"/>
      <c r="O69" s="190">
        <f t="shared" si="18"/>
        <v>526728.03</v>
      </c>
      <c r="P69" s="276">
        <f>2362.42+15309.43+13910.71-139888.18</f>
        <v>-108305.62</v>
      </c>
      <c r="Q69" s="273">
        <f t="shared" si="1"/>
        <v>418422.41000000003</v>
      </c>
    </row>
    <row r="70" spans="1:17" ht="12.75">
      <c r="A70" s="16" t="s">
        <v>363</v>
      </c>
      <c r="B70" s="51"/>
      <c r="C70" s="111"/>
      <c r="D70" s="101"/>
      <c r="E70" s="72"/>
      <c r="F70" s="172"/>
      <c r="G70" s="73"/>
      <c r="H70" s="217"/>
      <c r="I70" s="190"/>
      <c r="J70" s="239"/>
      <c r="K70" s="217"/>
      <c r="L70" s="190">
        <f t="shared" si="17"/>
        <v>0</v>
      </c>
      <c r="M70" s="239"/>
      <c r="N70" s="217"/>
      <c r="O70" s="190">
        <f t="shared" si="18"/>
        <v>0</v>
      </c>
      <c r="P70" s="276">
        <f>6500.83+270.84</f>
        <v>6771.67</v>
      </c>
      <c r="Q70" s="273">
        <f t="shared" si="1"/>
        <v>6771.67</v>
      </c>
    </row>
    <row r="71" spans="1:17" ht="12.75" hidden="1">
      <c r="A71" s="16" t="s">
        <v>191</v>
      </c>
      <c r="B71" s="51"/>
      <c r="C71" s="111"/>
      <c r="D71" s="101"/>
      <c r="E71" s="72"/>
      <c r="F71" s="172">
        <f t="shared" si="15"/>
        <v>0</v>
      </c>
      <c r="G71" s="73"/>
      <c r="H71" s="217"/>
      <c r="I71" s="190">
        <f t="shared" si="16"/>
        <v>0</v>
      </c>
      <c r="J71" s="239"/>
      <c r="K71" s="217"/>
      <c r="L71" s="190">
        <f t="shared" si="17"/>
        <v>0</v>
      </c>
      <c r="M71" s="239"/>
      <c r="N71" s="217"/>
      <c r="O71" s="190">
        <f t="shared" si="18"/>
        <v>0</v>
      </c>
      <c r="P71" s="276"/>
      <c r="Q71" s="273">
        <f t="shared" si="1"/>
        <v>0</v>
      </c>
    </row>
    <row r="72" spans="1:17" ht="12.75">
      <c r="A72" s="16" t="s">
        <v>140</v>
      </c>
      <c r="B72" s="51"/>
      <c r="C72" s="111"/>
      <c r="D72" s="101">
        <f>143308.79</f>
        <v>143308.79</v>
      </c>
      <c r="E72" s="72"/>
      <c r="F72" s="172">
        <f t="shared" si="15"/>
        <v>143308.79</v>
      </c>
      <c r="G72" s="73"/>
      <c r="H72" s="217"/>
      <c r="I72" s="190">
        <f t="shared" si="16"/>
        <v>143308.79</v>
      </c>
      <c r="J72" s="239">
        <f>2695+52126.88+4156.41</f>
        <v>58978.28999999999</v>
      </c>
      <c r="K72" s="217"/>
      <c r="L72" s="190">
        <f t="shared" si="17"/>
        <v>202287.08000000002</v>
      </c>
      <c r="M72" s="239">
        <f>6029.18+2662.97</f>
        <v>8692.15</v>
      </c>
      <c r="N72" s="217"/>
      <c r="O72" s="190">
        <f t="shared" si="18"/>
        <v>210979.23</v>
      </c>
      <c r="P72" s="276">
        <f>-9890.71</f>
        <v>-9890.71</v>
      </c>
      <c r="Q72" s="273">
        <f t="shared" si="1"/>
        <v>201088.52000000002</v>
      </c>
    </row>
    <row r="73" spans="1:17" ht="12.75" hidden="1">
      <c r="A73" s="16" t="s">
        <v>141</v>
      </c>
      <c r="B73" s="51"/>
      <c r="C73" s="111"/>
      <c r="D73" s="101"/>
      <c r="E73" s="72"/>
      <c r="F73" s="172">
        <f t="shared" si="15"/>
        <v>0</v>
      </c>
      <c r="G73" s="73"/>
      <c r="H73" s="217"/>
      <c r="I73" s="190">
        <f t="shared" si="16"/>
        <v>0</v>
      </c>
      <c r="J73" s="239"/>
      <c r="K73" s="217"/>
      <c r="L73" s="190">
        <f t="shared" si="17"/>
        <v>0</v>
      </c>
      <c r="M73" s="239"/>
      <c r="N73" s="217"/>
      <c r="O73" s="190">
        <f t="shared" si="18"/>
        <v>0</v>
      </c>
      <c r="P73" s="276"/>
      <c r="Q73" s="273">
        <f t="shared" si="1"/>
        <v>0</v>
      </c>
    </row>
    <row r="74" spans="1:17" ht="12.75">
      <c r="A74" s="16" t="s">
        <v>42</v>
      </c>
      <c r="B74" s="51"/>
      <c r="C74" s="111"/>
      <c r="D74" s="101">
        <f>360000</f>
        <v>360000</v>
      </c>
      <c r="E74" s="72"/>
      <c r="F74" s="172">
        <f t="shared" si="15"/>
        <v>360000</v>
      </c>
      <c r="G74" s="73">
        <f>19500+12172.08+390825</f>
        <v>422497.08</v>
      </c>
      <c r="H74" s="217"/>
      <c r="I74" s="190">
        <f t="shared" si="16"/>
        <v>782497.0800000001</v>
      </c>
      <c r="J74" s="239">
        <f>-158500</f>
        <v>-158500</v>
      </c>
      <c r="K74" s="217"/>
      <c r="L74" s="190">
        <f t="shared" si="17"/>
        <v>623997.0800000001</v>
      </c>
      <c r="M74" s="239">
        <f>-82000-12172.08</f>
        <v>-94172.08</v>
      </c>
      <c r="N74" s="217"/>
      <c r="O74" s="190">
        <f t="shared" si="18"/>
        <v>529825.0000000001</v>
      </c>
      <c r="P74" s="276">
        <f>-90000-59493.11</f>
        <v>-149493.11</v>
      </c>
      <c r="Q74" s="273">
        <f t="shared" si="1"/>
        <v>380331.89000000013</v>
      </c>
    </row>
    <row r="75" spans="1:17" ht="12.75">
      <c r="A75" s="16" t="s">
        <v>35</v>
      </c>
      <c r="B75" s="51"/>
      <c r="C75" s="111"/>
      <c r="D75" s="101"/>
      <c r="E75" s="72"/>
      <c r="F75" s="172">
        <f t="shared" si="15"/>
        <v>0</v>
      </c>
      <c r="G75" s="73"/>
      <c r="H75" s="217"/>
      <c r="I75" s="190">
        <f t="shared" si="16"/>
        <v>0</v>
      </c>
      <c r="J75" s="239"/>
      <c r="K75" s="217"/>
      <c r="L75" s="190">
        <f t="shared" si="17"/>
        <v>0</v>
      </c>
      <c r="M75" s="239"/>
      <c r="N75" s="217"/>
      <c r="O75" s="190">
        <f t="shared" si="18"/>
        <v>0</v>
      </c>
      <c r="P75" s="276">
        <f>50.96</f>
        <v>50.96</v>
      </c>
      <c r="Q75" s="273">
        <f t="shared" si="1"/>
        <v>50.96</v>
      </c>
    </row>
    <row r="76" spans="1:17" ht="12.75" hidden="1">
      <c r="A76" s="16" t="s">
        <v>38</v>
      </c>
      <c r="B76" s="51"/>
      <c r="C76" s="111"/>
      <c r="D76" s="101"/>
      <c r="E76" s="72"/>
      <c r="F76" s="172">
        <f t="shared" si="15"/>
        <v>0</v>
      </c>
      <c r="G76" s="73"/>
      <c r="H76" s="217"/>
      <c r="I76" s="190">
        <f t="shared" si="16"/>
        <v>0</v>
      </c>
      <c r="J76" s="239"/>
      <c r="K76" s="217"/>
      <c r="L76" s="190">
        <f t="shared" si="17"/>
        <v>0</v>
      </c>
      <c r="M76" s="239"/>
      <c r="N76" s="217"/>
      <c r="O76" s="190">
        <f t="shared" si="18"/>
        <v>0</v>
      </c>
      <c r="P76" s="276"/>
      <c r="Q76" s="273">
        <f t="shared" si="1"/>
        <v>0</v>
      </c>
    </row>
    <row r="77" spans="1:17" ht="12.75" hidden="1">
      <c r="A77" s="16" t="s">
        <v>144</v>
      </c>
      <c r="B77" s="51"/>
      <c r="C77" s="111"/>
      <c r="D77" s="101"/>
      <c r="E77" s="72"/>
      <c r="F77" s="172">
        <f t="shared" si="15"/>
        <v>0</v>
      </c>
      <c r="G77" s="73"/>
      <c r="H77" s="217"/>
      <c r="I77" s="190">
        <f t="shared" si="16"/>
        <v>0</v>
      </c>
      <c r="J77" s="239"/>
      <c r="K77" s="217"/>
      <c r="L77" s="190">
        <f t="shared" si="17"/>
        <v>0</v>
      </c>
      <c r="M77" s="239"/>
      <c r="N77" s="217"/>
      <c r="O77" s="190">
        <f t="shared" si="18"/>
        <v>0</v>
      </c>
      <c r="P77" s="276"/>
      <c r="Q77" s="273">
        <f t="shared" si="1"/>
        <v>0</v>
      </c>
    </row>
    <row r="78" spans="1:17" ht="16.5" thickBot="1">
      <c r="A78" s="21" t="s">
        <v>43</v>
      </c>
      <c r="B78" s="55"/>
      <c r="C78" s="113">
        <f aca="true" t="shared" si="19" ref="C78:Q78">C11+C17+C39+C62+C31</f>
        <v>5751704.72</v>
      </c>
      <c r="D78" s="103">
        <f t="shared" si="19"/>
        <v>12177604.510000004</v>
      </c>
      <c r="E78" s="77">
        <f t="shared" si="19"/>
        <v>0</v>
      </c>
      <c r="F78" s="174">
        <f t="shared" si="19"/>
        <v>17929309.230000004</v>
      </c>
      <c r="G78" s="76">
        <f t="shared" si="19"/>
        <v>1744344.53</v>
      </c>
      <c r="H78" s="220">
        <f t="shared" si="19"/>
        <v>167128.54</v>
      </c>
      <c r="I78" s="192">
        <f t="shared" si="19"/>
        <v>19840782.3</v>
      </c>
      <c r="J78" s="243">
        <f t="shared" si="19"/>
        <v>1094309.01</v>
      </c>
      <c r="K78" s="220">
        <f t="shared" si="19"/>
        <v>35593.59</v>
      </c>
      <c r="L78" s="192">
        <f t="shared" si="19"/>
        <v>20970684.900000002</v>
      </c>
      <c r="M78" s="243">
        <f t="shared" si="19"/>
        <v>648328.96</v>
      </c>
      <c r="N78" s="220">
        <f t="shared" si="19"/>
        <v>41831.630000000005</v>
      </c>
      <c r="O78" s="192">
        <f t="shared" si="19"/>
        <v>21660845.490000002</v>
      </c>
      <c r="P78" s="310">
        <f t="shared" si="19"/>
        <v>-236274.06999999998</v>
      </c>
      <c r="Q78" s="277">
        <f t="shared" si="19"/>
        <v>21424571.42</v>
      </c>
    </row>
    <row r="79" spans="1:17" ht="12.75">
      <c r="A79" s="13" t="s">
        <v>44</v>
      </c>
      <c r="B79" s="48"/>
      <c r="C79" s="110"/>
      <c r="D79" s="101"/>
      <c r="E79" s="72"/>
      <c r="F79" s="172"/>
      <c r="G79" s="73"/>
      <c r="H79" s="217"/>
      <c r="I79" s="190"/>
      <c r="J79" s="239"/>
      <c r="K79" s="217"/>
      <c r="L79" s="190"/>
      <c r="M79" s="239"/>
      <c r="N79" s="217"/>
      <c r="O79" s="190"/>
      <c r="P79" s="276"/>
      <c r="Q79" s="273"/>
    </row>
    <row r="80" spans="1:17" ht="12.75">
      <c r="A80" s="13" t="s">
        <v>58</v>
      </c>
      <c r="B80" s="60"/>
      <c r="C80" s="110">
        <f aca="true" t="shared" si="20" ref="C80:Q80">C81+C89</f>
        <v>112277</v>
      </c>
      <c r="D80" s="91">
        <f t="shared" si="20"/>
        <v>46800.56</v>
      </c>
      <c r="E80" s="71">
        <f t="shared" si="20"/>
        <v>0</v>
      </c>
      <c r="F80" s="171">
        <f t="shared" si="20"/>
        <v>159077.56</v>
      </c>
      <c r="G80" s="70">
        <f t="shared" si="20"/>
        <v>9854.32</v>
      </c>
      <c r="H80" s="216">
        <f t="shared" si="20"/>
        <v>28805.33</v>
      </c>
      <c r="I80" s="189">
        <f t="shared" si="20"/>
        <v>197737.21</v>
      </c>
      <c r="J80" s="238">
        <f t="shared" si="20"/>
        <v>8570.67</v>
      </c>
      <c r="K80" s="216">
        <f t="shared" si="20"/>
        <v>0</v>
      </c>
      <c r="L80" s="189">
        <f t="shared" si="20"/>
        <v>206307.88</v>
      </c>
      <c r="M80" s="238">
        <f t="shared" si="20"/>
        <v>16.5</v>
      </c>
      <c r="N80" s="216">
        <f t="shared" si="20"/>
        <v>0</v>
      </c>
      <c r="O80" s="189">
        <f t="shared" si="20"/>
        <v>206324.38</v>
      </c>
      <c r="P80" s="308">
        <f t="shared" si="20"/>
        <v>0</v>
      </c>
      <c r="Q80" s="272">
        <f t="shared" si="20"/>
        <v>206324.38</v>
      </c>
    </row>
    <row r="81" spans="1:17" ht="12.75">
      <c r="A81" s="22" t="s">
        <v>46</v>
      </c>
      <c r="B81" s="60"/>
      <c r="C81" s="114">
        <f>SUM(C83:C88)</f>
        <v>69277</v>
      </c>
      <c r="D81" s="104">
        <f aca="true" t="shared" si="21" ref="D81:Q81">SUM(D83:D88)</f>
        <v>2652.21</v>
      </c>
      <c r="E81" s="79">
        <f t="shared" si="21"/>
        <v>0</v>
      </c>
      <c r="F81" s="175">
        <f t="shared" si="21"/>
        <v>71929.21</v>
      </c>
      <c r="G81" s="78">
        <f t="shared" si="21"/>
        <v>393.86</v>
      </c>
      <c r="H81" s="221">
        <f t="shared" si="21"/>
        <v>5000</v>
      </c>
      <c r="I81" s="193">
        <f t="shared" si="21"/>
        <v>77323.07</v>
      </c>
      <c r="J81" s="244">
        <f t="shared" si="21"/>
        <v>361.67</v>
      </c>
      <c r="K81" s="221">
        <f t="shared" si="21"/>
        <v>0</v>
      </c>
      <c r="L81" s="193">
        <f t="shared" si="21"/>
        <v>77684.74</v>
      </c>
      <c r="M81" s="244">
        <f t="shared" si="21"/>
        <v>16.5</v>
      </c>
      <c r="N81" s="221">
        <f t="shared" si="21"/>
        <v>0</v>
      </c>
      <c r="O81" s="193">
        <f t="shared" si="21"/>
        <v>77701.24</v>
      </c>
      <c r="P81" s="311">
        <f t="shared" si="21"/>
        <v>0</v>
      </c>
      <c r="Q81" s="278">
        <f t="shared" si="21"/>
        <v>77701.24</v>
      </c>
    </row>
    <row r="82" spans="1:17" ht="12.75">
      <c r="A82" s="18" t="s">
        <v>26</v>
      </c>
      <c r="B82" s="56"/>
      <c r="C82" s="111"/>
      <c r="D82" s="101"/>
      <c r="E82" s="72"/>
      <c r="F82" s="171"/>
      <c r="G82" s="73"/>
      <c r="H82" s="217"/>
      <c r="I82" s="189"/>
      <c r="J82" s="239"/>
      <c r="K82" s="217"/>
      <c r="L82" s="189"/>
      <c r="M82" s="239"/>
      <c r="N82" s="217"/>
      <c r="O82" s="189"/>
      <c r="P82" s="276"/>
      <c r="Q82" s="273"/>
    </row>
    <row r="83" spans="1:17" ht="12.75">
      <c r="A83" s="16" t="s">
        <v>48</v>
      </c>
      <c r="B83" s="56"/>
      <c r="C83" s="111">
        <v>7889</v>
      </c>
      <c r="D83" s="101"/>
      <c r="E83" s="72"/>
      <c r="F83" s="172">
        <f aca="true" t="shared" si="22" ref="F83:F88">C83+D83+E83</f>
        <v>7889</v>
      </c>
      <c r="G83" s="132">
        <f>393.86</f>
        <v>393.86</v>
      </c>
      <c r="H83" s="217"/>
      <c r="I83" s="190">
        <f aca="true" t="shared" si="23" ref="I83:I88">F83+G83+H83</f>
        <v>8282.86</v>
      </c>
      <c r="J83" s="239"/>
      <c r="K83" s="217"/>
      <c r="L83" s="190">
        <f aca="true" t="shared" si="24" ref="L83:L88">I83+J83+K83</f>
        <v>8282.86</v>
      </c>
      <c r="M83" s="239">
        <f>76.5-60</f>
        <v>16.5</v>
      </c>
      <c r="N83" s="217"/>
      <c r="O83" s="190">
        <f aca="true" t="shared" si="25" ref="O83:O88">L83+M83+N83</f>
        <v>8299.36</v>
      </c>
      <c r="P83" s="276">
        <f>361.67</f>
        <v>361.67</v>
      </c>
      <c r="Q83" s="273">
        <f aca="true" t="shared" si="26" ref="Q83:Q88">O83+P83</f>
        <v>8661.03</v>
      </c>
    </row>
    <row r="84" spans="1:17" ht="12.75" hidden="1">
      <c r="A84" s="16" t="s">
        <v>60</v>
      </c>
      <c r="B84" s="56"/>
      <c r="C84" s="111"/>
      <c r="D84" s="101"/>
      <c r="E84" s="72"/>
      <c r="F84" s="172">
        <f t="shared" si="22"/>
        <v>0</v>
      </c>
      <c r="G84" s="73"/>
      <c r="H84" s="217"/>
      <c r="I84" s="190">
        <f t="shared" si="23"/>
        <v>0</v>
      </c>
      <c r="J84" s="239"/>
      <c r="K84" s="217"/>
      <c r="L84" s="190">
        <f t="shared" si="24"/>
        <v>0</v>
      </c>
      <c r="M84" s="239"/>
      <c r="N84" s="217"/>
      <c r="O84" s="190">
        <f t="shared" si="25"/>
        <v>0</v>
      </c>
      <c r="P84" s="276"/>
      <c r="Q84" s="273">
        <f t="shared" si="26"/>
        <v>0</v>
      </c>
    </row>
    <row r="85" spans="1:17" ht="12.75">
      <c r="A85" s="20" t="s">
        <v>186</v>
      </c>
      <c r="B85" s="56"/>
      <c r="C85" s="111">
        <v>61388</v>
      </c>
      <c r="D85" s="101"/>
      <c r="E85" s="72"/>
      <c r="F85" s="172">
        <f t="shared" si="22"/>
        <v>61388</v>
      </c>
      <c r="G85" s="73"/>
      <c r="H85" s="217"/>
      <c r="I85" s="190">
        <f t="shared" si="23"/>
        <v>61388</v>
      </c>
      <c r="J85" s="239"/>
      <c r="K85" s="217"/>
      <c r="L85" s="190">
        <f t="shared" si="24"/>
        <v>61388</v>
      </c>
      <c r="M85" s="239"/>
      <c r="N85" s="217"/>
      <c r="O85" s="190">
        <f t="shared" si="25"/>
        <v>61388</v>
      </c>
      <c r="P85" s="276"/>
      <c r="Q85" s="273">
        <f t="shared" si="26"/>
        <v>61388</v>
      </c>
    </row>
    <row r="86" spans="1:17" ht="12.75">
      <c r="A86" s="95" t="s">
        <v>345</v>
      </c>
      <c r="B86" s="56">
        <v>90002</v>
      </c>
      <c r="C86" s="111"/>
      <c r="D86" s="101"/>
      <c r="E86" s="72"/>
      <c r="F86" s="172">
        <f t="shared" si="22"/>
        <v>0</v>
      </c>
      <c r="G86" s="73"/>
      <c r="H86" s="217"/>
      <c r="I86" s="190">
        <f t="shared" si="23"/>
        <v>0</v>
      </c>
      <c r="J86" s="239">
        <f>361.67</f>
        <v>361.67</v>
      </c>
      <c r="K86" s="217"/>
      <c r="L86" s="190">
        <f t="shared" si="24"/>
        <v>361.67</v>
      </c>
      <c r="M86" s="239"/>
      <c r="N86" s="217"/>
      <c r="O86" s="190">
        <f t="shared" si="25"/>
        <v>361.67</v>
      </c>
      <c r="P86" s="276">
        <f>-361.67</f>
        <v>-361.67</v>
      </c>
      <c r="Q86" s="273">
        <f t="shared" si="26"/>
        <v>0</v>
      </c>
    </row>
    <row r="87" spans="1:17" ht="12.75" hidden="1">
      <c r="A87" s="16" t="s">
        <v>69</v>
      </c>
      <c r="B87" s="56"/>
      <c r="C87" s="111"/>
      <c r="D87" s="101"/>
      <c r="E87" s="72"/>
      <c r="F87" s="172">
        <f t="shared" si="22"/>
        <v>0</v>
      </c>
      <c r="G87" s="73"/>
      <c r="H87" s="217"/>
      <c r="I87" s="190">
        <f t="shared" si="23"/>
        <v>0</v>
      </c>
      <c r="J87" s="239"/>
      <c r="K87" s="217"/>
      <c r="L87" s="190">
        <f t="shared" si="24"/>
        <v>0</v>
      </c>
      <c r="M87" s="239"/>
      <c r="N87" s="217"/>
      <c r="O87" s="190">
        <f t="shared" si="25"/>
        <v>0</v>
      </c>
      <c r="P87" s="276"/>
      <c r="Q87" s="273">
        <f t="shared" si="26"/>
        <v>0</v>
      </c>
    </row>
    <row r="88" spans="1:17" ht="13.5" thickBot="1">
      <c r="A88" s="290" t="s">
        <v>61</v>
      </c>
      <c r="B88" s="291"/>
      <c r="C88" s="292"/>
      <c r="D88" s="293">
        <f>2652.21</f>
        <v>2652.21</v>
      </c>
      <c r="E88" s="294"/>
      <c r="F88" s="295">
        <f t="shared" si="22"/>
        <v>2652.21</v>
      </c>
      <c r="G88" s="296"/>
      <c r="H88" s="297">
        <f>5000</f>
        <v>5000</v>
      </c>
      <c r="I88" s="298">
        <f t="shared" si="23"/>
        <v>7652.21</v>
      </c>
      <c r="J88" s="299"/>
      <c r="K88" s="297"/>
      <c r="L88" s="298">
        <f t="shared" si="24"/>
        <v>7652.21</v>
      </c>
      <c r="M88" s="299"/>
      <c r="N88" s="297"/>
      <c r="O88" s="298">
        <f t="shared" si="25"/>
        <v>7652.21</v>
      </c>
      <c r="P88" s="312"/>
      <c r="Q88" s="289">
        <f t="shared" si="26"/>
        <v>7652.21</v>
      </c>
    </row>
    <row r="89" spans="1:17" ht="12.75">
      <c r="A89" s="23" t="s">
        <v>50</v>
      </c>
      <c r="B89" s="60"/>
      <c r="C89" s="115">
        <f>SUM(C91:C97)</f>
        <v>43000</v>
      </c>
      <c r="D89" s="105">
        <f aca="true" t="shared" si="27" ref="D89:Q89">SUM(D91:D97)</f>
        <v>44148.35</v>
      </c>
      <c r="E89" s="82">
        <f t="shared" si="27"/>
        <v>0</v>
      </c>
      <c r="F89" s="176">
        <f t="shared" si="27"/>
        <v>87148.35</v>
      </c>
      <c r="G89" s="81">
        <f t="shared" si="27"/>
        <v>9460.46</v>
      </c>
      <c r="H89" s="222">
        <f t="shared" si="27"/>
        <v>23805.33</v>
      </c>
      <c r="I89" s="194">
        <f t="shared" si="27"/>
        <v>120414.13999999998</v>
      </c>
      <c r="J89" s="245">
        <f t="shared" si="27"/>
        <v>8209</v>
      </c>
      <c r="K89" s="222">
        <f t="shared" si="27"/>
        <v>0</v>
      </c>
      <c r="L89" s="194">
        <f t="shared" si="27"/>
        <v>128623.13999999998</v>
      </c>
      <c r="M89" s="245">
        <f t="shared" si="27"/>
        <v>0</v>
      </c>
      <c r="N89" s="222">
        <f t="shared" si="27"/>
        <v>0</v>
      </c>
      <c r="O89" s="194">
        <f t="shared" si="27"/>
        <v>128623.13999999998</v>
      </c>
      <c r="P89" s="313">
        <f t="shared" si="27"/>
        <v>0</v>
      </c>
      <c r="Q89" s="279">
        <f t="shared" si="27"/>
        <v>128623.13999999998</v>
      </c>
    </row>
    <row r="90" spans="1:17" ht="12.75">
      <c r="A90" s="14" t="s">
        <v>26</v>
      </c>
      <c r="B90" s="56"/>
      <c r="C90" s="112"/>
      <c r="D90" s="102"/>
      <c r="E90" s="75"/>
      <c r="F90" s="173"/>
      <c r="G90" s="74"/>
      <c r="H90" s="219"/>
      <c r="I90" s="191"/>
      <c r="J90" s="241"/>
      <c r="K90" s="219"/>
      <c r="L90" s="191"/>
      <c r="M90" s="241"/>
      <c r="N90" s="219"/>
      <c r="O90" s="191"/>
      <c r="P90" s="276"/>
      <c r="Q90" s="273"/>
    </row>
    <row r="91" spans="1:17" ht="12.75">
      <c r="A91" s="57" t="s">
        <v>258</v>
      </c>
      <c r="B91" s="56"/>
      <c r="C91" s="111"/>
      <c r="D91" s="101">
        <f>1838.82</f>
        <v>1838.82</v>
      </c>
      <c r="E91" s="72"/>
      <c r="F91" s="131">
        <f aca="true" t="shared" si="28" ref="F91:F97">C91+D91+E91</f>
        <v>1838.82</v>
      </c>
      <c r="G91" s="73">
        <f>9460.46</f>
        <v>9460.46</v>
      </c>
      <c r="H91" s="217">
        <f>10751.43</f>
        <v>10751.43</v>
      </c>
      <c r="I91" s="190">
        <f>F91+G91+H91</f>
        <v>22050.71</v>
      </c>
      <c r="J91" s="239">
        <f>8209</f>
        <v>8209</v>
      </c>
      <c r="K91" s="217"/>
      <c r="L91" s="190">
        <f aca="true" t="shared" si="29" ref="L91:L97">I91+J91+K91</f>
        <v>30259.71</v>
      </c>
      <c r="M91" s="239"/>
      <c r="N91" s="217"/>
      <c r="O91" s="190">
        <f>L91+M91+N91</f>
        <v>30259.71</v>
      </c>
      <c r="P91" s="276"/>
      <c r="Q91" s="273">
        <f aca="true" t="shared" si="30" ref="Q91:Q97">O91+P91</f>
        <v>30259.71</v>
      </c>
    </row>
    <row r="92" spans="1:17" ht="12.75">
      <c r="A92" s="20" t="s">
        <v>216</v>
      </c>
      <c r="B92" s="56"/>
      <c r="C92" s="111">
        <v>10000</v>
      </c>
      <c r="D92" s="101">
        <f>19000</f>
        <v>19000</v>
      </c>
      <c r="E92" s="72"/>
      <c r="F92" s="172">
        <f t="shared" si="28"/>
        <v>29000</v>
      </c>
      <c r="G92" s="73"/>
      <c r="H92" s="217"/>
      <c r="I92" s="190">
        <f aca="true" t="shared" si="31" ref="I92:I97">F92+G92+H92</f>
        <v>29000</v>
      </c>
      <c r="J92" s="239"/>
      <c r="K92" s="217"/>
      <c r="L92" s="190">
        <f t="shared" si="29"/>
        <v>29000</v>
      </c>
      <c r="M92" s="239"/>
      <c r="N92" s="217"/>
      <c r="O92" s="190">
        <f aca="true" t="shared" si="32" ref="O92:O97">L92+M92+N92</f>
        <v>29000</v>
      </c>
      <c r="P92" s="276"/>
      <c r="Q92" s="273">
        <f t="shared" si="30"/>
        <v>29000</v>
      </c>
    </row>
    <row r="93" spans="1:17" ht="12.75" hidden="1">
      <c r="A93" s="15" t="s">
        <v>51</v>
      </c>
      <c r="B93" s="56"/>
      <c r="C93" s="111"/>
      <c r="D93" s="101"/>
      <c r="E93" s="72"/>
      <c r="F93" s="172">
        <f t="shared" si="28"/>
        <v>0</v>
      </c>
      <c r="G93" s="73"/>
      <c r="H93" s="217"/>
      <c r="I93" s="190">
        <f t="shared" si="31"/>
        <v>0</v>
      </c>
      <c r="J93" s="239"/>
      <c r="K93" s="217"/>
      <c r="L93" s="190">
        <f t="shared" si="29"/>
        <v>0</v>
      </c>
      <c r="M93" s="239"/>
      <c r="N93" s="217"/>
      <c r="O93" s="190">
        <f t="shared" si="32"/>
        <v>0</v>
      </c>
      <c r="P93" s="276"/>
      <c r="Q93" s="273">
        <f t="shared" si="30"/>
        <v>0</v>
      </c>
    </row>
    <row r="94" spans="1:17" ht="12.75" hidden="1">
      <c r="A94" s="16" t="s">
        <v>185</v>
      </c>
      <c r="B94" s="56"/>
      <c r="C94" s="111"/>
      <c r="D94" s="101"/>
      <c r="E94" s="72"/>
      <c r="F94" s="172">
        <f t="shared" si="28"/>
        <v>0</v>
      </c>
      <c r="G94" s="73"/>
      <c r="H94" s="217"/>
      <c r="I94" s="190">
        <f t="shared" si="31"/>
        <v>0</v>
      </c>
      <c r="J94" s="239"/>
      <c r="K94" s="217"/>
      <c r="L94" s="190">
        <f t="shared" si="29"/>
        <v>0</v>
      </c>
      <c r="M94" s="239"/>
      <c r="N94" s="217"/>
      <c r="O94" s="190">
        <f t="shared" si="32"/>
        <v>0</v>
      </c>
      <c r="P94" s="276"/>
      <c r="Q94" s="273">
        <f t="shared" si="30"/>
        <v>0</v>
      </c>
    </row>
    <row r="95" spans="1:17" ht="12.75" hidden="1">
      <c r="A95" s="16" t="s">
        <v>69</v>
      </c>
      <c r="B95" s="56"/>
      <c r="C95" s="111"/>
      <c r="D95" s="101"/>
      <c r="E95" s="72"/>
      <c r="F95" s="172">
        <f t="shared" si="28"/>
        <v>0</v>
      </c>
      <c r="G95" s="73"/>
      <c r="H95" s="217"/>
      <c r="I95" s="190">
        <f t="shared" si="31"/>
        <v>0</v>
      </c>
      <c r="J95" s="239"/>
      <c r="K95" s="217"/>
      <c r="L95" s="190">
        <f t="shared" si="29"/>
        <v>0</v>
      </c>
      <c r="M95" s="239"/>
      <c r="N95" s="217"/>
      <c r="O95" s="190">
        <f t="shared" si="32"/>
        <v>0</v>
      </c>
      <c r="P95" s="276"/>
      <c r="Q95" s="273">
        <f t="shared" si="30"/>
        <v>0</v>
      </c>
    </row>
    <row r="96" spans="1:17" ht="12.75">
      <c r="A96" s="16" t="s">
        <v>221</v>
      </c>
      <c r="B96" s="56"/>
      <c r="C96" s="111">
        <v>3000</v>
      </c>
      <c r="D96" s="101"/>
      <c r="E96" s="72"/>
      <c r="F96" s="172">
        <f t="shared" si="28"/>
        <v>3000</v>
      </c>
      <c r="G96" s="73"/>
      <c r="H96" s="217"/>
      <c r="I96" s="190">
        <f t="shared" si="31"/>
        <v>3000</v>
      </c>
      <c r="J96" s="239"/>
      <c r="K96" s="217"/>
      <c r="L96" s="190">
        <f t="shared" si="29"/>
        <v>3000</v>
      </c>
      <c r="M96" s="239"/>
      <c r="N96" s="217"/>
      <c r="O96" s="190">
        <f t="shared" si="32"/>
        <v>3000</v>
      </c>
      <c r="P96" s="276"/>
      <c r="Q96" s="273">
        <f t="shared" si="30"/>
        <v>3000</v>
      </c>
    </row>
    <row r="97" spans="1:17" ht="12.75">
      <c r="A97" s="24" t="s">
        <v>61</v>
      </c>
      <c r="B97" s="59"/>
      <c r="C97" s="163">
        <v>30000</v>
      </c>
      <c r="D97" s="154">
        <f>23309.53</f>
        <v>23309.53</v>
      </c>
      <c r="E97" s="80"/>
      <c r="F97" s="177">
        <f t="shared" si="28"/>
        <v>53309.53</v>
      </c>
      <c r="G97" s="208"/>
      <c r="H97" s="223">
        <f>18053.9-5000</f>
        <v>13053.900000000001</v>
      </c>
      <c r="I97" s="195">
        <f t="shared" si="31"/>
        <v>66363.43</v>
      </c>
      <c r="J97" s="246"/>
      <c r="K97" s="223"/>
      <c r="L97" s="195">
        <f t="shared" si="29"/>
        <v>66363.43</v>
      </c>
      <c r="M97" s="246"/>
      <c r="N97" s="223"/>
      <c r="O97" s="195">
        <f t="shared" si="32"/>
        <v>66363.43</v>
      </c>
      <c r="P97" s="314"/>
      <c r="Q97" s="280">
        <f t="shared" si="30"/>
        <v>66363.43</v>
      </c>
    </row>
    <row r="98" spans="1:17" ht="12.75">
      <c r="A98" s="13" t="s">
        <v>282</v>
      </c>
      <c r="B98" s="60"/>
      <c r="C98" s="110">
        <f>C99+C103</f>
        <v>29374.5</v>
      </c>
      <c r="D98" s="91">
        <f aca="true" t="shared" si="33" ref="D98:Q98">D99+D103</f>
        <v>31250.47</v>
      </c>
      <c r="E98" s="71">
        <f t="shared" si="33"/>
        <v>0</v>
      </c>
      <c r="F98" s="171">
        <f t="shared" si="33"/>
        <v>60624.97</v>
      </c>
      <c r="G98" s="70">
        <f t="shared" si="33"/>
        <v>98553.74</v>
      </c>
      <c r="H98" s="216">
        <f t="shared" si="33"/>
        <v>0</v>
      </c>
      <c r="I98" s="189">
        <f t="shared" si="33"/>
        <v>159178.71000000002</v>
      </c>
      <c r="J98" s="238">
        <f t="shared" si="33"/>
        <v>103486.62</v>
      </c>
      <c r="K98" s="216">
        <f t="shared" si="33"/>
        <v>0</v>
      </c>
      <c r="L98" s="189">
        <f t="shared" si="33"/>
        <v>262665.32999999996</v>
      </c>
      <c r="M98" s="238">
        <f t="shared" si="33"/>
        <v>0</v>
      </c>
      <c r="N98" s="216">
        <f t="shared" si="33"/>
        <v>0</v>
      </c>
      <c r="O98" s="189">
        <f t="shared" si="33"/>
        <v>262665.32999999996</v>
      </c>
      <c r="P98" s="308">
        <f t="shared" si="33"/>
        <v>0</v>
      </c>
      <c r="Q98" s="272">
        <f t="shared" si="33"/>
        <v>262665.32999999996</v>
      </c>
    </row>
    <row r="99" spans="1:17" ht="12.75">
      <c r="A99" s="22" t="s">
        <v>46</v>
      </c>
      <c r="B99" s="60"/>
      <c r="C99" s="114">
        <f>SUM(C101:C102)</f>
        <v>29374.5</v>
      </c>
      <c r="D99" s="104">
        <f>SUM(D101:D102)</f>
        <v>10212.91</v>
      </c>
      <c r="E99" s="79">
        <f>SUM(E101:E101)</f>
        <v>0</v>
      </c>
      <c r="F99" s="175">
        <f aca="true" t="shared" si="34" ref="F99:L99">SUM(F101:F102)</f>
        <v>39587.41</v>
      </c>
      <c r="G99" s="78">
        <f t="shared" si="34"/>
        <v>0</v>
      </c>
      <c r="H99" s="221">
        <f t="shared" si="34"/>
        <v>0</v>
      </c>
      <c r="I99" s="193">
        <f t="shared" si="34"/>
        <v>39587.41</v>
      </c>
      <c r="J99" s="244">
        <f t="shared" si="34"/>
        <v>54.5</v>
      </c>
      <c r="K99" s="221">
        <f t="shared" si="34"/>
        <v>0</v>
      </c>
      <c r="L99" s="236">
        <f t="shared" si="34"/>
        <v>39641.91</v>
      </c>
      <c r="M99" s="244">
        <f>SUM(M101:M102)</f>
        <v>0</v>
      </c>
      <c r="N99" s="221">
        <f>SUM(N101:N102)</f>
        <v>0</v>
      </c>
      <c r="O99" s="193">
        <f>SUM(O101:O102)</f>
        <v>39641.91</v>
      </c>
      <c r="P99" s="311">
        <f>SUM(P101:P102)</f>
        <v>0</v>
      </c>
      <c r="Q99" s="278">
        <f>SUM(Q101:Q102)</f>
        <v>39641.91</v>
      </c>
    </row>
    <row r="100" spans="1:17" ht="12.75">
      <c r="A100" s="18" t="s">
        <v>26</v>
      </c>
      <c r="B100" s="56"/>
      <c r="C100" s="111"/>
      <c r="D100" s="101"/>
      <c r="E100" s="72"/>
      <c r="F100" s="172"/>
      <c r="G100" s="73"/>
      <c r="H100" s="217"/>
      <c r="I100" s="190"/>
      <c r="J100" s="239"/>
      <c r="K100" s="217"/>
      <c r="L100" s="190"/>
      <c r="M100" s="239"/>
      <c r="N100" s="217"/>
      <c r="O100" s="190"/>
      <c r="P100" s="276"/>
      <c r="Q100" s="273"/>
    </row>
    <row r="101" spans="1:17" ht="12.75">
      <c r="A101" s="16" t="s">
        <v>48</v>
      </c>
      <c r="B101" s="56"/>
      <c r="C101" s="111">
        <v>29374.5</v>
      </c>
      <c r="D101" s="101">
        <f>9662.37</f>
        <v>9662.37</v>
      </c>
      <c r="E101" s="72"/>
      <c r="F101" s="172">
        <f>C101+D101+E101</f>
        <v>39036.87</v>
      </c>
      <c r="G101" s="73"/>
      <c r="H101" s="217"/>
      <c r="I101" s="190">
        <f>F101+G101+H101</f>
        <v>39036.87</v>
      </c>
      <c r="J101" s="239"/>
      <c r="K101" s="217"/>
      <c r="L101" s="190">
        <f>I101+J101+K101</f>
        <v>39036.87</v>
      </c>
      <c r="M101" s="239"/>
      <c r="N101" s="217"/>
      <c r="O101" s="190">
        <f>L101+M101+N101</f>
        <v>39036.87</v>
      </c>
      <c r="P101" s="276"/>
      <c r="Q101" s="273">
        <f>O101+P101</f>
        <v>39036.87</v>
      </c>
    </row>
    <row r="102" spans="1:17" ht="12.75">
      <c r="A102" s="16" t="s">
        <v>69</v>
      </c>
      <c r="B102" s="56"/>
      <c r="C102" s="111"/>
      <c r="D102" s="101">
        <f>307.63+242.91</f>
        <v>550.54</v>
      </c>
      <c r="E102" s="72"/>
      <c r="F102" s="172">
        <f>C102+D102+E102</f>
        <v>550.54</v>
      </c>
      <c r="G102" s="73"/>
      <c r="H102" s="217"/>
      <c r="I102" s="190">
        <f>F102+G102+H102</f>
        <v>550.54</v>
      </c>
      <c r="J102" s="239">
        <f>54.5</f>
        <v>54.5</v>
      </c>
      <c r="K102" s="217"/>
      <c r="L102" s="190">
        <f>I102+J102+K102</f>
        <v>605.04</v>
      </c>
      <c r="M102" s="239"/>
      <c r="N102" s="217"/>
      <c r="O102" s="190">
        <f>L102+M102+N102</f>
        <v>605.04</v>
      </c>
      <c r="P102" s="276"/>
      <c r="Q102" s="273">
        <f>O102+P102</f>
        <v>605.04</v>
      </c>
    </row>
    <row r="103" spans="1:17" ht="12.75">
      <c r="A103" s="22" t="s">
        <v>50</v>
      </c>
      <c r="B103" s="60"/>
      <c r="C103" s="114">
        <f>C105+C106</f>
        <v>0</v>
      </c>
      <c r="D103" s="104">
        <f>D105+D106</f>
        <v>21037.56</v>
      </c>
      <c r="E103" s="79">
        <f aca="true" t="shared" si="35" ref="E103:Q103">E106</f>
        <v>0</v>
      </c>
      <c r="F103" s="175">
        <f>F105+F106</f>
        <v>21037.56</v>
      </c>
      <c r="G103" s="78">
        <f t="shared" si="35"/>
        <v>98553.74</v>
      </c>
      <c r="H103" s="221">
        <f t="shared" si="35"/>
        <v>0</v>
      </c>
      <c r="I103" s="193">
        <f t="shared" si="35"/>
        <v>119591.3</v>
      </c>
      <c r="J103" s="244">
        <f t="shared" si="35"/>
        <v>103432.12</v>
      </c>
      <c r="K103" s="221">
        <f t="shared" si="35"/>
        <v>0</v>
      </c>
      <c r="L103" s="193">
        <f t="shared" si="35"/>
        <v>223023.41999999998</v>
      </c>
      <c r="M103" s="244">
        <f t="shared" si="35"/>
        <v>0</v>
      </c>
      <c r="N103" s="221">
        <f t="shared" si="35"/>
        <v>0</v>
      </c>
      <c r="O103" s="193">
        <f t="shared" si="35"/>
        <v>223023.41999999998</v>
      </c>
      <c r="P103" s="311">
        <f t="shared" si="35"/>
        <v>0</v>
      </c>
      <c r="Q103" s="278">
        <f t="shared" si="35"/>
        <v>223023.41999999998</v>
      </c>
    </row>
    <row r="104" spans="1:17" ht="12.75">
      <c r="A104" s="18" t="s">
        <v>26</v>
      </c>
      <c r="B104" s="56"/>
      <c r="C104" s="111"/>
      <c r="D104" s="101"/>
      <c r="E104" s="72"/>
      <c r="F104" s="172"/>
      <c r="G104" s="73"/>
      <c r="H104" s="217"/>
      <c r="I104" s="190"/>
      <c r="J104" s="239"/>
      <c r="K104" s="217"/>
      <c r="L104" s="190"/>
      <c r="M104" s="239"/>
      <c r="N104" s="217"/>
      <c r="O104" s="190"/>
      <c r="P104" s="276"/>
      <c r="Q104" s="273"/>
    </row>
    <row r="105" spans="1:17" ht="12.75" hidden="1">
      <c r="A105" s="54" t="s">
        <v>51</v>
      </c>
      <c r="B105" s="56"/>
      <c r="C105" s="111"/>
      <c r="D105" s="101"/>
      <c r="E105" s="72"/>
      <c r="F105" s="172">
        <f>C105+D105+E105</f>
        <v>0</v>
      </c>
      <c r="G105" s="73"/>
      <c r="H105" s="217"/>
      <c r="I105" s="190"/>
      <c r="J105" s="239"/>
      <c r="K105" s="217"/>
      <c r="L105" s="190"/>
      <c r="M105" s="239"/>
      <c r="N105" s="217"/>
      <c r="O105" s="190"/>
      <c r="P105" s="276"/>
      <c r="Q105" s="273"/>
    </row>
    <row r="106" spans="1:17" ht="12.75">
      <c r="A106" s="109" t="s">
        <v>70</v>
      </c>
      <c r="B106" s="59"/>
      <c r="C106" s="163"/>
      <c r="D106" s="154">
        <f>17763.45+3274.11</f>
        <v>21037.56</v>
      </c>
      <c r="E106" s="80"/>
      <c r="F106" s="177">
        <f>C106+D106+E106</f>
        <v>21037.56</v>
      </c>
      <c r="G106" s="208">
        <f>354.05+97499.58+700.11</f>
        <v>98553.74</v>
      </c>
      <c r="H106" s="223"/>
      <c r="I106" s="195">
        <f>F106+G106+H106</f>
        <v>119591.3</v>
      </c>
      <c r="J106" s="246">
        <f>4911.16+706.76+89628.93+8185.27</f>
        <v>103432.12</v>
      </c>
      <c r="K106" s="223"/>
      <c r="L106" s="195">
        <f>I106+J106+K106</f>
        <v>223023.41999999998</v>
      </c>
      <c r="M106" s="246"/>
      <c r="N106" s="223"/>
      <c r="O106" s="195">
        <f>L106+M106+N106</f>
        <v>223023.41999999998</v>
      </c>
      <c r="P106" s="314"/>
      <c r="Q106" s="280">
        <f>O106+P106</f>
        <v>223023.41999999998</v>
      </c>
    </row>
    <row r="107" spans="1:17" ht="12.75">
      <c r="A107" s="17" t="s">
        <v>63</v>
      </c>
      <c r="B107" s="60"/>
      <c r="C107" s="112">
        <f aca="true" t="shared" si="36" ref="C107:Q107">C108+C114</f>
        <v>10901.86</v>
      </c>
      <c r="D107" s="102">
        <f t="shared" si="36"/>
        <v>3798</v>
      </c>
      <c r="E107" s="75">
        <f t="shared" si="36"/>
        <v>0</v>
      </c>
      <c r="F107" s="173">
        <f t="shared" si="36"/>
        <v>14699.86</v>
      </c>
      <c r="G107" s="74">
        <f t="shared" si="36"/>
        <v>797.04</v>
      </c>
      <c r="H107" s="219">
        <f t="shared" si="36"/>
        <v>0</v>
      </c>
      <c r="I107" s="191">
        <f t="shared" si="36"/>
        <v>15496.900000000001</v>
      </c>
      <c r="J107" s="241">
        <f t="shared" si="36"/>
        <v>-109.5</v>
      </c>
      <c r="K107" s="219">
        <f t="shared" si="36"/>
        <v>0</v>
      </c>
      <c r="L107" s="191">
        <f t="shared" si="36"/>
        <v>15387.400000000001</v>
      </c>
      <c r="M107" s="241">
        <f t="shared" si="36"/>
        <v>0</v>
      </c>
      <c r="N107" s="219">
        <f t="shared" si="36"/>
        <v>0</v>
      </c>
      <c r="O107" s="191">
        <f t="shared" si="36"/>
        <v>15387.400000000001</v>
      </c>
      <c r="P107" s="309">
        <f t="shared" si="36"/>
        <v>0</v>
      </c>
      <c r="Q107" s="275">
        <f t="shared" si="36"/>
        <v>15387.400000000001</v>
      </c>
    </row>
    <row r="108" spans="1:17" ht="12.75">
      <c r="A108" s="22" t="s">
        <v>46</v>
      </c>
      <c r="B108" s="60"/>
      <c r="C108" s="114">
        <f aca="true" t="shared" si="37" ref="C108:Q108">SUM(C110:C113)</f>
        <v>10901.86</v>
      </c>
      <c r="D108" s="104">
        <f t="shared" si="37"/>
        <v>3798</v>
      </c>
      <c r="E108" s="79">
        <f t="shared" si="37"/>
        <v>0</v>
      </c>
      <c r="F108" s="175">
        <f t="shared" si="37"/>
        <v>14699.86</v>
      </c>
      <c r="G108" s="78">
        <f t="shared" si="37"/>
        <v>797.04</v>
      </c>
      <c r="H108" s="221">
        <f t="shared" si="37"/>
        <v>0</v>
      </c>
      <c r="I108" s="193">
        <f t="shared" si="37"/>
        <v>15496.900000000001</v>
      </c>
      <c r="J108" s="244">
        <f t="shared" si="37"/>
        <v>-109.5</v>
      </c>
      <c r="K108" s="221">
        <f t="shared" si="37"/>
        <v>0</v>
      </c>
      <c r="L108" s="193">
        <f t="shared" si="37"/>
        <v>15387.400000000001</v>
      </c>
      <c r="M108" s="244">
        <f t="shared" si="37"/>
        <v>0</v>
      </c>
      <c r="N108" s="221">
        <f t="shared" si="37"/>
        <v>0</v>
      </c>
      <c r="O108" s="193">
        <f t="shared" si="37"/>
        <v>15387.400000000001</v>
      </c>
      <c r="P108" s="311">
        <f t="shared" si="37"/>
        <v>0</v>
      </c>
      <c r="Q108" s="278">
        <f t="shared" si="37"/>
        <v>15387.400000000001</v>
      </c>
    </row>
    <row r="109" spans="1:17" ht="12.75">
      <c r="A109" s="18" t="s">
        <v>26</v>
      </c>
      <c r="B109" s="56"/>
      <c r="C109" s="111"/>
      <c r="D109" s="101"/>
      <c r="E109" s="72"/>
      <c r="F109" s="171"/>
      <c r="G109" s="73"/>
      <c r="H109" s="217"/>
      <c r="I109" s="189"/>
      <c r="J109" s="239"/>
      <c r="K109" s="217"/>
      <c r="L109" s="189"/>
      <c r="M109" s="239"/>
      <c r="N109" s="217"/>
      <c r="O109" s="189"/>
      <c r="P109" s="276"/>
      <c r="Q109" s="273"/>
    </row>
    <row r="110" spans="1:17" ht="12.75">
      <c r="A110" s="16" t="s">
        <v>48</v>
      </c>
      <c r="B110" s="56"/>
      <c r="C110" s="111">
        <v>10901.86</v>
      </c>
      <c r="D110" s="101">
        <f>-348+4146</f>
        <v>3798</v>
      </c>
      <c r="E110" s="72"/>
      <c r="F110" s="172">
        <f>C110+D110+E110</f>
        <v>14699.86</v>
      </c>
      <c r="G110" s="73"/>
      <c r="H110" s="217"/>
      <c r="I110" s="190">
        <f>SUM(F110:H110)</f>
        <v>14699.86</v>
      </c>
      <c r="J110" s="239">
        <f>-109.5</f>
        <v>-109.5</v>
      </c>
      <c r="K110" s="217"/>
      <c r="L110" s="190">
        <f>I110+J110+K110</f>
        <v>14590.36</v>
      </c>
      <c r="M110" s="239"/>
      <c r="N110" s="217"/>
      <c r="O110" s="190">
        <f>L110+M110+N110</f>
        <v>14590.36</v>
      </c>
      <c r="P110" s="276"/>
      <c r="Q110" s="273">
        <f>O110+P110</f>
        <v>14590.36</v>
      </c>
    </row>
    <row r="111" spans="1:17" ht="12.75">
      <c r="A111" s="26" t="s">
        <v>64</v>
      </c>
      <c r="B111" s="59">
        <v>33166</v>
      </c>
      <c r="C111" s="163"/>
      <c r="D111" s="154"/>
      <c r="E111" s="80"/>
      <c r="F111" s="177">
        <f>C111+D111+E111</f>
        <v>0</v>
      </c>
      <c r="G111" s="208">
        <f>797.04</f>
        <v>797.04</v>
      </c>
      <c r="H111" s="223"/>
      <c r="I111" s="195">
        <f>SUM(F111:H111)</f>
        <v>797.04</v>
      </c>
      <c r="J111" s="246"/>
      <c r="K111" s="223"/>
      <c r="L111" s="195">
        <f>I111+J111+K111</f>
        <v>797.04</v>
      </c>
      <c r="M111" s="246"/>
      <c r="N111" s="223"/>
      <c r="O111" s="195">
        <f>L111+M111+N111</f>
        <v>797.04</v>
      </c>
      <c r="P111" s="315"/>
      <c r="Q111" s="280">
        <f>O111+P111</f>
        <v>797.04</v>
      </c>
    </row>
    <row r="112" spans="1:17" ht="12.75" hidden="1">
      <c r="A112" s="20" t="s">
        <v>247</v>
      </c>
      <c r="B112" s="56">
        <v>33064</v>
      </c>
      <c r="C112" s="111"/>
      <c r="D112" s="101"/>
      <c r="E112" s="72"/>
      <c r="F112" s="172">
        <f>C112+D112+E112</f>
        <v>0</v>
      </c>
      <c r="G112" s="73"/>
      <c r="H112" s="217"/>
      <c r="I112" s="190">
        <f>SUM(F112:H112)</f>
        <v>0</v>
      </c>
      <c r="J112" s="239"/>
      <c r="K112" s="217"/>
      <c r="L112" s="190">
        <f>I112+J112+K112</f>
        <v>0</v>
      </c>
      <c r="M112" s="239"/>
      <c r="N112" s="217"/>
      <c r="O112" s="190">
        <f>L112+M112+N112</f>
        <v>0</v>
      </c>
      <c r="P112" s="276"/>
      <c r="Q112" s="273">
        <f>O112+P112</f>
        <v>0</v>
      </c>
    </row>
    <row r="113" spans="1:17" ht="12.75" hidden="1">
      <c r="A113" s="20" t="s">
        <v>60</v>
      </c>
      <c r="B113" s="56"/>
      <c r="C113" s="111"/>
      <c r="D113" s="101"/>
      <c r="E113" s="72"/>
      <c r="F113" s="172">
        <f>C113+D113+E113</f>
        <v>0</v>
      </c>
      <c r="G113" s="73"/>
      <c r="H113" s="217"/>
      <c r="I113" s="190">
        <f>SUM(F113:H113)</f>
        <v>0</v>
      </c>
      <c r="J113" s="239"/>
      <c r="K113" s="217"/>
      <c r="L113" s="190">
        <f>I113+J113+K113</f>
        <v>0</v>
      </c>
      <c r="M113" s="239"/>
      <c r="N113" s="217"/>
      <c r="O113" s="190">
        <f>L113+M113+N113</f>
        <v>0</v>
      </c>
      <c r="P113" s="276"/>
      <c r="Q113" s="273">
        <f>O113+P113</f>
        <v>0</v>
      </c>
    </row>
    <row r="114" spans="1:17" ht="12.75" hidden="1">
      <c r="A114" s="22" t="s">
        <v>50</v>
      </c>
      <c r="B114" s="60"/>
      <c r="C114" s="114">
        <f>C116</f>
        <v>0</v>
      </c>
      <c r="D114" s="104">
        <f aca="true" t="shared" si="38" ref="D114:Q114">D116</f>
        <v>0</v>
      </c>
      <c r="E114" s="79">
        <f t="shared" si="38"/>
        <v>0</v>
      </c>
      <c r="F114" s="175">
        <f t="shared" si="38"/>
        <v>0</v>
      </c>
      <c r="G114" s="78">
        <f t="shared" si="38"/>
        <v>0</v>
      </c>
      <c r="H114" s="221">
        <f t="shared" si="38"/>
        <v>0</v>
      </c>
      <c r="I114" s="193">
        <f t="shared" si="38"/>
        <v>0</v>
      </c>
      <c r="J114" s="244">
        <f t="shared" si="38"/>
        <v>0</v>
      </c>
      <c r="K114" s="221">
        <f t="shared" si="38"/>
        <v>0</v>
      </c>
      <c r="L114" s="193">
        <f t="shared" si="38"/>
        <v>0</v>
      </c>
      <c r="M114" s="244">
        <f t="shared" si="38"/>
        <v>0</v>
      </c>
      <c r="N114" s="221">
        <f t="shared" si="38"/>
        <v>0</v>
      </c>
      <c r="O114" s="193">
        <f t="shared" si="38"/>
        <v>0</v>
      </c>
      <c r="P114" s="311">
        <f t="shared" si="38"/>
        <v>0</v>
      </c>
      <c r="Q114" s="278">
        <f t="shared" si="38"/>
        <v>0</v>
      </c>
    </row>
    <row r="115" spans="1:17" ht="12.75" hidden="1">
      <c r="A115" s="18" t="s">
        <v>26</v>
      </c>
      <c r="B115" s="56"/>
      <c r="C115" s="111"/>
      <c r="D115" s="101"/>
      <c r="E115" s="72"/>
      <c r="F115" s="171"/>
      <c r="G115" s="73"/>
      <c r="H115" s="217"/>
      <c r="I115" s="189"/>
      <c r="J115" s="239"/>
      <c r="K115" s="217"/>
      <c r="L115" s="189"/>
      <c r="M115" s="239"/>
      <c r="N115" s="217"/>
      <c r="O115" s="189"/>
      <c r="P115" s="276"/>
      <c r="Q115" s="273"/>
    </row>
    <row r="116" spans="1:17" ht="12.75" hidden="1">
      <c r="A116" s="19" t="s">
        <v>150</v>
      </c>
      <c r="B116" s="59"/>
      <c r="C116" s="163"/>
      <c r="D116" s="154"/>
      <c r="E116" s="80"/>
      <c r="F116" s="177">
        <f>C116+D116+E116</f>
        <v>0</v>
      </c>
      <c r="G116" s="208"/>
      <c r="H116" s="223"/>
      <c r="I116" s="195">
        <f>SUM(F116:H116)</f>
        <v>0</v>
      </c>
      <c r="J116" s="246"/>
      <c r="K116" s="223"/>
      <c r="L116" s="195">
        <f>I116+J116+K116</f>
        <v>0</v>
      </c>
      <c r="M116" s="246"/>
      <c r="N116" s="223"/>
      <c r="O116" s="195">
        <f>L116+M116+N116</f>
        <v>0</v>
      </c>
      <c r="P116" s="314"/>
      <c r="Q116" s="280">
        <f>O116+P116</f>
        <v>0</v>
      </c>
    </row>
    <row r="117" spans="1:17" ht="12.75">
      <c r="A117" s="13" t="s">
        <v>65</v>
      </c>
      <c r="B117" s="60"/>
      <c r="C117" s="110">
        <f>C118+C130</f>
        <v>1735440</v>
      </c>
      <c r="D117" s="91">
        <f aca="true" t="shared" si="39" ref="D117:Q117">D118+D130</f>
        <v>33583.46</v>
      </c>
      <c r="E117" s="71">
        <f t="shared" si="39"/>
        <v>0</v>
      </c>
      <c r="F117" s="171">
        <f t="shared" si="39"/>
        <v>1769023.46</v>
      </c>
      <c r="G117" s="70">
        <f t="shared" si="39"/>
        <v>337447.68000000005</v>
      </c>
      <c r="H117" s="216">
        <f t="shared" si="39"/>
        <v>0</v>
      </c>
      <c r="I117" s="189">
        <f t="shared" si="39"/>
        <v>2106471.14</v>
      </c>
      <c r="J117" s="238">
        <f t="shared" si="39"/>
        <v>233149.63999999998</v>
      </c>
      <c r="K117" s="216">
        <f t="shared" si="39"/>
        <v>0</v>
      </c>
      <c r="L117" s="189">
        <f t="shared" si="39"/>
        <v>2339620.78</v>
      </c>
      <c r="M117" s="238">
        <f t="shared" si="39"/>
        <v>2504.7700000000004</v>
      </c>
      <c r="N117" s="216">
        <f t="shared" si="39"/>
        <v>0</v>
      </c>
      <c r="O117" s="189">
        <f t="shared" si="39"/>
        <v>2342125.55</v>
      </c>
      <c r="P117" s="308">
        <f t="shared" si="39"/>
        <v>4785.04</v>
      </c>
      <c r="Q117" s="272">
        <f t="shared" si="39"/>
        <v>2346910.59</v>
      </c>
    </row>
    <row r="118" spans="1:17" ht="12.75">
      <c r="A118" s="22" t="s">
        <v>46</v>
      </c>
      <c r="B118" s="60"/>
      <c r="C118" s="114">
        <f>SUM(C121:C129)</f>
        <v>1725440</v>
      </c>
      <c r="D118" s="104">
        <f aca="true" t="shared" si="40" ref="D118:Q118">SUM(D121:D129)</f>
        <v>41583.46</v>
      </c>
      <c r="E118" s="79">
        <f t="shared" si="40"/>
        <v>0</v>
      </c>
      <c r="F118" s="175">
        <f t="shared" si="40"/>
        <v>1767023.46</v>
      </c>
      <c r="G118" s="78">
        <f t="shared" si="40"/>
        <v>337447.68000000005</v>
      </c>
      <c r="H118" s="221">
        <f t="shared" si="40"/>
        <v>0</v>
      </c>
      <c r="I118" s="193">
        <f t="shared" si="40"/>
        <v>2104471.14</v>
      </c>
      <c r="J118" s="244">
        <f t="shared" si="40"/>
        <v>233149.63999999998</v>
      </c>
      <c r="K118" s="221">
        <f t="shared" si="40"/>
        <v>0</v>
      </c>
      <c r="L118" s="193">
        <f t="shared" si="40"/>
        <v>2337620.78</v>
      </c>
      <c r="M118" s="244">
        <f t="shared" si="40"/>
        <v>2504.7700000000004</v>
      </c>
      <c r="N118" s="221">
        <f t="shared" si="40"/>
        <v>0</v>
      </c>
      <c r="O118" s="193">
        <f t="shared" si="40"/>
        <v>2340125.55</v>
      </c>
      <c r="P118" s="311">
        <f t="shared" si="40"/>
        <v>4785.04</v>
      </c>
      <c r="Q118" s="278">
        <f t="shared" si="40"/>
        <v>2344910.59</v>
      </c>
    </row>
    <row r="119" spans="1:17" ht="12.75">
      <c r="A119" s="18" t="s">
        <v>26</v>
      </c>
      <c r="B119" s="56"/>
      <c r="C119" s="111"/>
      <c r="D119" s="101"/>
      <c r="E119" s="72"/>
      <c r="F119" s="171"/>
      <c r="G119" s="73"/>
      <c r="H119" s="217"/>
      <c r="I119" s="189"/>
      <c r="J119" s="239"/>
      <c r="K119" s="217"/>
      <c r="L119" s="189"/>
      <c r="M119" s="239"/>
      <c r="N119" s="217"/>
      <c r="O119" s="189"/>
      <c r="P119" s="276"/>
      <c r="Q119" s="273"/>
    </row>
    <row r="120" spans="1:17" ht="12.75">
      <c r="A120" s="20" t="s">
        <v>266</v>
      </c>
      <c r="B120" s="56"/>
      <c r="C120" s="111">
        <f>C121+C122</f>
        <v>1127000</v>
      </c>
      <c r="D120" s="101">
        <f aca="true" t="shared" si="41" ref="D120:Q120">D121+D122</f>
        <v>29104.66</v>
      </c>
      <c r="E120" s="72">
        <f t="shared" si="41"/>
        <v>0</v>
      </c>
      <c r="F120" s="172">
        <f t="shared" si="41"/>
        <v>1156104.66</v>
      </c>
      <c r="G120" s="73">
        <f t="shared" si="41"/>
        <v>30843.400000000005</v>
      </c>
      <c r="H120" s="217">
        <f t="shared" si="41"/>
        <v>0</v>
      </c>
      <c r="I120" s="190">
        <f t="shared" si="41"/>
        <v>1186948.06</v>
      </c>
      <c r="J120" s="239">
        <f t="shared" si="41"/>
        <v>6236.93</v>
      </c>
      <c r="K120" s="217">
        <f t="shared" si="41"/>
        <v>0</v>
      </c>
      <c r="L120" s="190">
        <f t="shared" si="41"/>
        <v>1193184.9899999998</v>
      </c>
      <c r="M120" s="239">
        <f t="shared" si="41"/>
        <v>1381.6000000000001</v>
      </c>
      <c r="N120" s="217">
        <f t="shared" si="41"/>
        <v>0</v>
      </c>
      <c r="O120" s="190">
        <f t="shared" si="41"/>
        <v>1194566.5899999999</v>
      </c>
      <c r="P120" s="281">
        <f t="shared" si="41"/>
        <v>4785.04</v>
      </c>
      <c r="Q120" s="274">
        <f t="shared" si="41"/>
        <v>1199351.63</v>
      </c>
    </row>
    <row r="121" spans="1:17" ht="12.75">
      <c r="A121" s="20" t="s">
        <v>267</v>
      </c>
      <c r="B121" s="56"/>
      <c r="C121" s="111">
        <v>566000</v>
      </c>
      <c r="D121" s="141">
        <f>22080.22+36.94+5.96+155.2+863.64-4000</f>
        <v>19141.96</v>
      </c>
      <c r="E121" s="72"/>
      <c r="F121" s="172">
        <f aca="true" t="shared" si="42" ref="F121:F129">C121+D121+E121</f>
        <v>585141.96</v>
      </c>
      <c r="G121" s="73">
        <f>-3052.45+13.4+2092.34+6.68</f>
        <v>-940.0299999999996</v>
      </c>
      <c r="H121" s="224"/>
      <c r="I121" s="190">
        <f aca="true" t="shared" si="43" ref="I121:I129">F121+G121+H121</f>
        <v>584201.9299999999</v>
      </c>
      <c r="J121" s="239">
        <f>8.66+344.06-16000-10500+31</f>
        <v>-26116.28</v>
      </c>
      <c r="K121" s="217"/>
      <c r="L121" s="190">
        <f aca="true" t="shared" si="44" ref="L121:L129">I121+J121+K121</f>
        <v>558085.6499999999</v>
      </c>
      <c r="M121" s="239">
        <f>10.19+165+44.34</f>
        <v>219.53</v>
      </c>
      <c r="N121" s="217"/>
      <c r="O121" s="190">
        <f aca="true" t="shared" si="45" ref="O121:O129">L121+M121+N121</f>
        <v>558305.1799999999</v>
      </c>
      <c r="P121" s="276"/>
      <c r="Q121" s="273">
        <f aca="true" t="shared" si="46" ref="Q121:Q129">O121+P121</f>
        <v>558305.1799999999</v>
      </c>
    </row>
    <row r="122" spans="1:17" ht="12.75">
      <c r="A122" s="16" t="s">
        <v>268</v>
      </c>
      <c r="B122" s="56"/>
      <c r="C122" s="111">
        <v>561000</v>
      </c>
      <c r="D122" s="101">
        <f>1450.16+8512.54</f>
        <v>9962.7</v>
      </c>
      <c r="E122" s="72"/>
      <c r="F122" s="172">
        <f t="shared" si="42"/>
        <v>570962.7</v>
      </c>
      <c r="G122" s="73">
        <f>2467.47+27550.46+1437.81+102.99+224.7</f>
        <v>31783.430000000004</v>
      </c>
      <c r="H122" s="224"/>
      <c r="I122" s="190">
        <f t="shared" si="43"/>
        <v>602746.13</v>
      </c>
      <c r="J122" s="239">
        <f>2847.56-2479.35+9911.39+11573.61+10500</f>
        <v>32353.21</v>
      </c>
      <c r="K122" s="217"/>
      <c r="L122" s="190">
        <f t="shared" si="44"/>
        <v>635099.34</v>
      </c>
      <c r="M122" s="239">
        <f>1026.68+135.39</f>
        <v>1162.0700000000002</v>
      </c>
      <c r="N122" s="217"/>
      <c r="O122" s="190">
        <f t="shared" si="45"/>
        <v>636261.4099999999</v>
      </c>
      <c r="P122" s="276">
        <f>4785.04</f>
        <v>4785.04</v>
      </c>
      <c r="Q122" s="273">
        <f t="shared" si="46"/>
        <v>641046.45</v>
      </c>
    </row>
    <row r="123" spans="1:17" ht="12.75">
      <c r="A123" s="20" t="s">
        <v>66</v>
      </c>
      <c r="B123" s="56"/>
      <c r="C123" s="111">
        <v>28840</v>
      </c>
      <c r="D123" s="101"/>
      <c r="E123" s="72"/>
      <c r="F123" s="172">
        <f t="shared" si="42"/>
        <v>28840</v>
      </c>
      <c r="G123" s="73">
        <f>3000</f>
        <v>3000</v>
      </c>
      <c r="H123" s="217"/>
      <c r="I123" s="190">
        <f t="shared" si="43"/>
        <v>31840</v>
      </c>
      <c r="J123" s="239"/>
      <c r="K123" s="217"/>
      <c r="L123" s="190">
        <f t="shared" si="44"/>
        <v>31840</v>
      </c>
      <c r="M123" s="239">
        <f>-5000</f>
        <v>-5000</v>
      </c>
      <c r="N123" s="217"/>
      <c r="O123" s="190">
        <f t="shared" si="45"/>
        <v>26840</v>
      </c>
      <c r="P123" s="276"/>
      <c r="Q123" s="273">
        <f t="shared" si="46"/>
        <v>26840</v>
      </c>
    </row>
    <row r="124" spans="1:17" ht="12.75" hidden="1">
      <c r="A124" s="16" t="s">
        <v>67</v>
      </c>
      <c r="B124" s="56"/>
      <c r="C124" s="111"/>
      <c r="D124" s="101"/>
      <c r="E124" s="72"/>
      <c r="F124" s="172">
        <f t="shared" si="42"/>
        <v>0</v>
      </c>
      <c r="G124" s="73"/>
      <c r="H124" s="217"/>
      <c r="I124" s="190">
        <f t="shared" si="43"/>
        <v>0</v>
      </c>
      <c r="J124" s="239"/>
      <c r="K124" s="217"/>
      <c r="L124" s="190">
        <f t="shared" si="44"/>
        <v>0</v>
      </c>
      <c r="M124" s="239"/>
      <c r="N124" s="217"/>
      <c r="O124" s="190">
        <f t="shared" si="45"/>
        <v>0</v>
      </c>
      <c r="P124" s="276"/>
      <c r="Q124" s="273">
        <f t="shared" si="46"/>
        <v>0</v>
      </c>
    </row>
    <row r="125" spans="1:17" ht="12.75">
      <c r="A125" s="16" t="s">
        <v>60</v>
      </c>
      <c r="B125" s="56"/>
      <c r="C125" s="111"/>
      <c r="D125" s="101"/>
      <c r="E125" s="72"/>
      <c r="F125" s="172">
        <f t="shared" si="42"/>
        <v>0</v>
      </c>
      <c r="G125" s="73">
        <f>3052.45</f>
        <v>3052.45</v>
      </c>
      <c r="H125" s="217"/>
      <c r="I125" s="190">
        <f t="shared" si="43"/>
        <v>3052.45</v>
      </c>
      <c r="J125" s="239"/>
      <c r="K125" s="217"/>
      <c r="L125" s="190">
        <f t="shared" si="44"/>
        <v>3052.45</v>
      </c>
      <c r="M125" s="239"/>
      <c r="N125" s="217"/>
      <c r="O125" s="190">
        <f t="shared" si="45"/>
        <v>3052.45</v>
      </c>
      <c r="P125" s="276"/>
      <c r="Q125" s="273">
        <f t="shared" si="46"/>
        <v>3052.45</v>
      </c>
    </row>
    <row r="126" spans="1:17" ht="12.75" hidden="1">
      <c r="A126" s="16" t="s">
        <v>68</v>
      </c>
      <c r="B126" s="56">
        <v>91252</v>
      </c>
      <c r="C126" s="111"/>
      <c r="D126" s="101"/>
      <c r="E126" s="72"/>
      <c r="F126" s="172">
        <f t="shared" si="42"/>
        <v>0</v>
      </c>
      <c r="G126" s="73"/>
      <c r="H126" s="217"/>
      <c r="I126" s="190">
        <f t="shared" si="43"/>
        <v>0</v>
      </c>
      <c r="J126" s="239"/>
      <c r="K126" s="217"/>
      <c r="L126" s="190">
        <f t="shared" si="44"/>
        <v>0</v>
      </c>
      <c r="M126" s="239"/>
      <c r="N126" s="217"/>
      <c r="O126" s="190">
        <f t="shared" si="45"/>
        <v>0</v>
      </c>
      <c r="P126" s="276"/>
      <c r="Q126" s="273">
        <f t="shared" si="46"/>
        <v>0</v>
      </c>
    </row>
    <row r="127" spans="1:17" ht="12.75">
      <c r="A127" s="16" t="s">
        <v>129</v>
      </c>
      <c r="B127" s="56">
        <v>27355</v>
      </c>
      <c r="C127" s="111"/>
      <c r="D127" s="101"/>
      <c r="E127" s="72"/>
      <c r="F127" s="172">
        <f t="shared" si="42"/>
        <v>0</v>
      </c>
      <c r="G127" s="73"/>
      <c r="H127" s="217"/>
      <c r="I127" s="190">
        <f t="shared" si="43"/>
        <v>0</v>
      </c>
      <c r="J127" s="239">
        <f>211109.66</f>
        <v>211109.66</v>
      </c>
      <c r="K127" s="217"/>
      <c r="L127" s="190">
        <f t="shared" si="44"/>
        <v>211109.66</v>
      </c>
      <c r="M127" s="239"/>
      <c r="N127" s="217"/>
      <c r="O127" s="190">
        <f t="shared" si="45"/>
        <v>211109.66</v>
      </c>
      <c r="P127" s="276"/>
      <c r="Q127" s="273">
        <f t="shared" si="46"/>
        <v>211109.66</v>
      </c>
    </row>
    <row r="128" spans="1:17" ht="12.75">
      <c r="A128" s="16" t="s">
        <v>48</v>
      </c>
      <c r="B128" s="56"/>
      <c r="C128" s="111">
        <v>569600</v>
      </c>
      <c r="D128" s="101">
        <f>478.8+8000+4000</f>
        <v>12478.8</v>
      </c>
      <c r="E128" s="72"/>
      <c r="F128" s="172">
        <f t="shared" si="42"/>
        <v>582078.8</v>
      </c>
      <c r="G128" s="73">
        <f>300000+547.3+4.53</f>
        <v>300551.83</v>
      </c>
      <c r="H128" s="217"/>
      <c r="I128" s="190">
        <f t="shared" si="43"/>
        <v>882630.6300000001</v>
      </c>
      <c r="J128" s="239">
        <f>249.3+1.5+16000-447.75</f>
        <v>15803.05</v>
      </c>
      <c r="K128" s="217"/>
      <c r="L128" s="190">
        <f t="shared" si="44"/>
        <v>898433.6800000002</v>
      </c>
      <c r="M128" s="239">
        <f>1123.17+5000</f>
        <v>6123.17</v>
      </c>
      <c r="N128" s="217"/>
      <c r="O128" s="190">
        <f t="shared" si="45"/>
        <v>904556.8500000002</v>
      </c>
      <c r="P128" s="276"/>
      <c r="Q128" s="273">
        <f t="shared" si="46"/>
        <v>904556.8500000002</v>
      </c>
    </row>
    <row r="129" spans="1:17" ht="12" customHeight="1" hidden="1">
      <c r="A129" s="16" t="s">
        <v>69</v>
      </c>
      <c r="B129" s="56"/>
      <c r="C129" s="111"/>
      <c r="D129" s="101"/>
      <c r="E129" s="72"/>
      <c r="F129" s="172">
        <f t="shared" si="42"/>
        <v>0</v>
      </c>
      <c r="G129" s="73"/>
      <c r="H129" s="217"/>
      <c r="I129" s="190">
        <f t="shared" si="43"/>
        <v>0</v>
      </c>
      <c r="J129" s="239"/>
      <c r="K129" s="217"/>
      <c r="L129" s="190">
        <f t="shared" si="44"/>
        <v>0</v>
      </c>
      <c r="M129" s="239"/>
      <c r="N129" s="217"/>
      <c r="O129" s="190">
        <f t="shared" si="45"/>
        <v>0</v>
      </c>
      <c r="P129" s="276"/>
      <c r="Q129" s="273">
        <f t="shared" si="46"/>
        <v>0</v>
      </c>
    </row>
    <row r="130" spans="1:17" ht="12.75">
      <c r="A130" s="23" t="s">
        <v>50</v>
      </c>
      <c r="B130" s="60"/>
      <c r="C130" s="115">
        <f>SUM(C132:C134)</f>
        <v>10000</v>
      </c>
      <c r="D130" s="105">
        <f aca="true" t="shared" si="47" ref="D130:Q130">SUM(D132:D134)</f>
        <v>-8000</v>
      </c>
      <c r="E130" s="82">
        <f t="shared" si="47"/>
        <v>0</v>
      </c>
      <c r="F130" s="176">
        <f t="shared" si="47"/>
        <v>2000</v>
      </c>
      <c r="G130" s="81">
        <f t="shared" si="47"/>
        <v>0</v>
      </c>
      <c r="H130" s="222">
        <f t="shared" si="47"/>
        <v>0</v>
      </c>
      <c r="I130" s="194">
        <f t="shared" si="47"/>
        <v>2000</v>
      </c>
      <c r="J130" s="245">
        <f t="shared" si="47"/>
        <v>0</v>
      </c>
      <c r="K130" s="222">
        <f t="shared" si="47"/>
        <v>0</v>
      </c>
      <c r="L130" s="194">
        <f t="shared" si="47"/>
        <v>2000</v>
      </c>
      <c r="M130" s="245">
        <f t="shared" si="47"/>
        <v>0</v>
      </c>
      <c r="N130" s="222">
        <f t="shared" si="47"/>
        <v>0</v>
      </c>
      <c r="O130" s="194">
        <f t="shared" si="47"/>
        <v>2000</v>
      </c>
      <c r="P130" s="313">
        <f t="shared" si="47"/>
        <v>0</v>
      </c>
      <c r="Q130" s="279">
        <f t="shared" si="47"/>
        <v>2000</v>
      </c>
    </row>
    <row r="131" spans="1:17" ht="12.75">
      <c r="A131" s="14" t="s">
        <v>26</v>
      </c>
      <c r="B131" s="56"/>
      <c r="C131" s="112"/>
      <c r="D131" s="102"/>
      <c r="E131" s="75"/>
      <c r="F131" s="173"/>
      <c r="G131" s="74"/>
      <c r="H131" s="219"/>
      <c r="I131" s="191"/>
      <c r="J131" s="241"/>
      <c r="K131" s="219"/>
      <c r="L131" s="191"/>
      <c r="M131" s="241"/>
      <c r="N131" s="219"/>
      <c r="O131" s="191"/>
      <c r="P131" s="276"/>
      <c r="Q131" s="273"/>
    </row>
    <row r="132" spans="1:17" ht="12.75" hidden="1">
      <c r="A132" s="15" t="s">
        <v>51</v>
      </c>
      <c r="B132" s="56"/>
      <c r="C132" s="111"/>
      <c r="D132" s="101"/>
      <c r="E132" s="72"/>
      <c r="F132" s="172">
        <f>C132+D132+E132</f>
        <v>0</v>
      </c>
      <c r="G132" s="73"/>
      <c r="H132" s="217"/>
      <c r="I132" s="190">
        <f>F132+G132+H132</f>
        <v>0</v>
      </c>
      <c r="J132" s="239"/>
      <c r="K132" s="217"/>
      <c r="L132" s="190">
        <f>I132+J132+K132</f>
        <v>0</v>
      </c>
      <c r="M132" s="239"/>
      <c r="N132" s="217"/>
      <c r="O132" s="190">
        <f>L132+M132+N132</f>
        <v>0</v>
      </c>
      <c r="P132" s="276"/>
      <c r="Q132" s="273">
        <f>O132+P132</f>
        <v>0</v>
      </c>
    </row>
    <row r="133" spans="1:17" ht="12.75">
      <c r="A133" s="19" t="s">
        <v>77</v>
      </c>
      <c r="B133" s="59"/>
      <c r="C133" s="163">
        <v>10000</v>
      </c>
      <c r="D133" s="154">
        <f>-8000</f>
        <v>-8000</v>
      </c>
      <c r="E133" s="80"/>
      <c r="F133" s="177">
        <f>C133+D133+E133</f>
        <v>2000</v>
      </c>
      <c r="G133" s="208"/>
      <c r="H133" s="223"/>
      <c r="I133" s="195">
        <f>F133+G133+H133</f>
        <v>2000</v>
      </c>
      <c r="J133" s="246"/>
      <c r="K133" s="223"/>
      <c r="L133" s="195">
        <f>I133+J133+K133</f>
        <v>2000</v>
      </c>
      <c r="M133" s="246"/>
      <c r="N133" s="223"/>
      <c r="O133" s="195">
        <f>L133+M133+N133</f>
        <v>2000</v>
      </c>
      <c r="P133" s="315"/>
      <c r="Q133" s="280">
        <f>O133+P133</f>
        <v>2000</v>
      </c>
    </row>
    <row r="134" spans="1:17" ht="12.75" hidden="1">
      <c r="A134" s="19" t="s">
        <v>70</v>
      </c>
      <c r="B134" s="59"/>
      <c r="C134" s="163"/>
      <c r="D134" s="154"/>
      <c r="E134" s="80"/>
      <c r="F134" s="177">
        <f>C134+D134+E134</f>
        <v>0</v>
      </c>
      <c r="G134" s="208"/>
      <c r="H134" s="223"/>
      <c r="I134" s="195">
        <f>F134+G134+H134</f>
        <v>0</v>
      </c>
      <c r="J134" s="246"/>
      <c r="K134" s="223"/>
      <c r="L134" s="195">
        <f>I134+J134+K134</f>
        <v>0</v>
      </c>
      <c r="M134" s="246"/>
      <c r="N134" s="223"/>
      <c r="O134" s="195">
        <f>L134+M134+N134</f>
        <v>0</v>
      </c>
      <c r="P134" s="314"/>
      <c r="Q134" s="280">
        <f>O134+P134</f>
        <v>0</v>
      </c>
    </row>
    <row r="135" spans="1:17" ht="12.75">
      <c r="A135" s="17" t="s">
        <v>71</v>
      </c>
      <c r="B135" s="60"/>
      <c r="C135" s="112">
        <f>C136+C141</f>
        <v>73560</v>
      </c>
      <c r="D135" s="102">
        <f aca="true" t="shared" si="48" ref="D135:Q135">D136+D141</f>
        <v>22334.679999999997</v>
      </c>
      <c r="E135" s="75">
        <f t="shared" si="48"/>
        <v>0</v>
      </c>
      <c r="F135" s="173">
        <f t="shared" si="48"/>
        <v>95894.68000000001</v>
      </c>
      <c r="G135" s="74">
        <f t="shared" si="48"/>
        <v>16854.59</v>
      </c>
      <c r="H135" s="219">
        <f t="shared" si="48"/>
        <v>0</v>
      </c>
      <c r="I135" s="191">
        <f t="shared" si="48"/>
        <v>112749.27</v>
      </c>
      <c r="J135" s="241">
        <f t="shared" si="48"/>
        <v>3600</v>
      </c>
      <c r="K135" s="219">
        <f t="shared" si="48"/>
        <v>0</v>
      </c>
      <c r="L135" s="191">
        <f t="shared" si="48"/>
        <v>116349.27</v>
      </c>
      <c r="M135" s="241">
        <f t="shared" si="48"/>
        <v>1425.68</v>
      </c>
      <c r="N135" s="219">
        <f t="shared" si="48"/>
        <v>0</v>
      </c>
      <c r="O135" s="191">
        <f t="shared" si="48"/>
        <v>117774.95</v>
      </c>
      <c r="P135" s="309">
        <f t="shared" si="48"/>
        <v>1902.82</v>
      </c>
      <c r="Q135" s="275">
        <f t="shared" si="48"/>
        <v>119677.76999999999</v>
      </c>
    </row>
    <row r="136" spans="1:17" ht="12.75">
      <c r="A136" s="22" t="s">
        <v>46</v>
      </c>
      <c r="B136" s="60"/>
      <c r="C136" s="114">
        <f>SUM(C138:C140)</f>
        <v>55060</v>
      </c>
      <c r="D136" s="104">
        <f aca="true" t="shared" si="49" ref="D136:Q136">SUM(D138:D140)</f>
        <v>13812.289999999997</v>
      </c>
      <c r="E136" s="79">
        <f t="shared" si="49"/>
        <v>0</v>
      </c>
      <c r="F136" s="175">
        <f t="shared" si="49"/>
        <v>68872.29000000001</v>
      </c>
      <c r="G136" s="78">
        <f t="shared" si="49"/>
        <v>1180</v>
      </c>
      <c r="H136" s="221">
        <f t="shared" si="49"/>
        <v>0</v>
      </c>
      <c r="I136" s="193">
        <f t="shared" si="49"/>
        <v>70052.29000000001</v>
      </c>
      <c r="J136" s="244">
        <f t="shared" si="49"/>
        <v>0</v>
      </c>
      <c r="K136" s="221">
        <f t="shared" si="49"/>
        <v>0</v>
      </c>
      <c r="L136" s="193">
        <f t="shared" si="49"/>
        <v>70052.29000000001</v>
      </c>
      <c r="M136" s="244">
        <f t="shared" si="49"/>
        <v>1425.68</v>
      </c>
      <c r="N136" s="221">
        <f t="shared" si="49"/>
        <v>0</v>
      </c>
      <c r="O136" s="193">
        <f t="shared" si="49"/>
        <v>71477.97</v>
      </c>
      <c r="P136" s="311">
        <f t="shared" si="49"/>
        <v>0</v>
      </c>
      <c r="Q136" s="278">
        <f t="shared" si="49"/>
        <v>71477.97</v>
      </c>
    </row>
    <row r="137" spans="1:17" ht="12.75">
      <c r="A137" s="18" t="s">
        <v>26</v>
      </c>
      <c r="B137" s="56"/>
      <c r="C137" s="111"/>
      <c r="D137" s="101"/>
      <c r="E137" s="72"/>
      <c r="F137" s="171"/>
      <c r="G137" s="73"/>
      <c r="H137" s="217"/>
      <c r="I137" s="189"/>
      <c r="J137" s="239"/>
      <c r="K137" s="217"/>
      <c r="L137" s="189"/>
      <c r="M137" s="239"/>
      <c r="N137" s="217"/>
      <c r="O137" s="189"/>
      <c r="P137" s="276"/>
      <c r="Q137" s="273"/>
    </row>
    <row r="138" spans="1:17" ht="12.75">
      <c r="A138" s="16" t="s">
        <v>48</v>
      </c>
      <c r="B138" s="56"/>
      <c r="C138" s="111">
        <v>29060</v>
      </c>
      <c r="D138" s="101">
        <f>17353.01-5000+534.21</f>
        <v>12887.219999999998</v>
      </c>
      <c r="E138" s="72"/>
      <c r="F138" s="172">
        <f>C138+D138+E138</f>
        <v>41947.22</v>
      </c>
      <c r="G138" s="73">
        <f>500+680</f>
        <v>1180</v>
      </c>
      <c r="H138" s="217"/>
      <c r="I138" s="190">
        <f>F138+G138+H138</f>
        <v>43127.22</v>
      </c>
      <c r="J138" s="239"/>
      <c r="K138" s="217"/>
      <c r="L138" s="190">
        <f>I138+J138+K138</f>
        <v>43127.22</v>
      </c>
      <c r="M138" s="239"/>
      <c r="N138" s="217"/>
      <c r="O138" s="190">
        <f>L138+M138+N138</f>
        <v>43127.22</v>
      </c>
      <c r="P138" s="276"/>
      <c r="Q138" s="273">
        <f>O138+P138</f>
        <v>43127.22</v>
      </c>
    </row>
    <row r="139" spans="1:17" ht="12.75" hidden="1">
      <c r="A139" s="16" t="s">
        <v>70</v>
      </c>
      <c r="B139" s="56"/>
      <c r="C139" s="111"/>
      <c r="D139" s="101"/>
      <c r="E139" s="72"/>
      <c r="F139" s="172">
        <f>C139+D139+E139</f>
        <v>0</v>
      </c>
      <c r="G139" s="73"/>
      <c r="H139" s="217"/>
      <c r="I139" s="190">
        <f>F139+G139+H139</f>
        <v>0</v>
      </c>
      <c r="J139" s="239"/>
      <c r="K139" s="217"/>
      <c r="L139" s="190">
        <f>I139+J139+K139</f>
        <v>0</v>
      </c>
      <c r="M139" s="239"/>
      <c r="N139" s="217"/>
      <c r="O139" s="190">
        <f>L139+M139+N139</f>
        <v>0</v>
      </c>
      <c r="P139" s="276"/>
      <c r="Q139" s="273">
        <f>O139+P139</f>
        <v>0</v>
      </c>
    </row>
    <row r="140" spans="1:17" ht="12.75">
      <c r="A140" s="16" t="s">
        <v>72</v>
      </c>
      <c r="B140" s="56"/>
      <c r="C140" s="111">
        <v>26000</v>
      </c>
      <c r="D140" s="101">
        <f>925.07</f>
        <v>925.07</v>
      </c>
      <c r="E140" s="72"/>
      <c r="F140" s="172">
        <f>C140+D140+E140</f>
        <v>26925.07</v>
      </c>
      <c r="G140" s="73"/>
      <c r="H140" s="217"/>
      <c r="I140" s="190">
        <f>F140+G140+H140</f>
        <v>26925.07</v>
      </c>
      <c r="J140" s="239"/>
      <c r="K140" s="217"/>
      <c r="L140" s="190">
        <f>I140+J140+K140</f>
        <v>26925.07</v>
      </c>
      <c r="M140" s="239">
        <f>1425.68</f>
        <v>1425.68</v>
      </c>
      <c r="N140" s="217"/>
      <c r="O140" s="190">
        <f>L140+M140+N140</f>
        <v>28350.75</v>
      </c>
      <c r="P140" s="276"/>
      <c r="Q140" s="273">
        <f>O140+P140</f>
        <v>28350.75</v>
      </c>
    </row>
    <row r="141" spans="1:17" ht="12.75">
      <c r="A141" s="23" t="s">
        <v>50</v>
      </c>
      <c r="B141" s="60"/>
      <c r="C141" s="115">
        <f aca="true" t="shared" si="50" ref="C141:Q141">SUM(C143:C146)</f>
        <v>18500</v>
      </c>
      <c r="D141" s="105">
        <f t="shared" si="50"/>
        <v>8522.39</v>
      </c>
      <c r="E141" s="82">
        <f t="shared" si="50"/>
        <v>0</v>
      </c>
      <c r="F141" s="176">
        <f t="shared" si="50"/>
        <v>27022.39</v>
      </c>
      <c r="G141" s="81">
        <f t="shared" si="50"/>
        <v>15674.59</v>
      </c>
      <c r="H141" s="222">
        <f t="shared" si="50"/>
        <v>0</v>
      </c>
      <c r="I141" s="194">
        <f t="shared" si="50"/>
        <v>42696.979999999996</v>
      </c>
      <c r="J141" s="245">
        <f t="shared" si="50"/>
        <v>3600</v>
      </c>
      <c r="K141" s="222">
        <f t="shared" si="50"/>
        <v>0</v>
      </c>
      <c r="L141" s="194">
        <f t="shared" si="50"/>
        <v>46296.979999999996</v>
      </c>
      <c r="M141" s="245">
        <f t="shared" si="50"/>
        <v>0</v>
      </c>
      <c r="N141" s="222">
        <f t="shared" si="50"/>
        <v>0</v>
      </c>
      <c r="O141" s="194">
        <f t="shared" si="50"/>
        <v>46296.979999999996</v>
      </c>
      <c r="P141" s="313">
        <f t="shared" si="50"/>
        <v>1902.82</v>
      </c>
      <c r="Q141" s="279">
        <f t="shared" si="50"/>
        <v>48199.799999999996</v>
      </c>
    </row>
    <row r="142" spans="1:17" ht="12.75">
      <c r="A142" s="14" t="s">
        <v>26</v>
      </c>
      <c r="B142" s="56"/>
      <c r="C142" s="112"/>
      <c r="D142" s="102"/>
      <c r="E142" s="75"/>
      <c r="F142" s="173"/>
      <c r="G142" s="74"/>
      <c r="H142" s="219"/>
      <c r="I142" s="191"/>
      <c r="J142" s="241"/>
      <c r="K142" s="219"/>
      <c r="L142" s="191"/>
      <c r="M142" s="241"/>
      <c r="N142" s="219"/>
      <c r="O142" s="191"/>
      <c r="P142" s="276"/>
      <c r="Q142" s="273"/>
    </row>
    <row r="143" spans="1:17" ht="12.75" hidden="1">
      <c r="A143" s="16" t="s">
        <v>148</v>
      </c>
      <c r="B143" s="56">
        <v>98861</v>
      </c>
      <c r="C143" s="111"/>
      <c r="D143" s="101"/>
      <c r="E143" s="72"/>
      <c r="F143" s="172">
        <f>C143+D143+E143</f>
        <v>0</v>
      </c>
      <c r="G143" s="74"/>
      <c r="H143" s="219"/>
      <c r="I143" s="190">
        <f>F143+G143+H143</f>
        <v>0</v>
      </c>
      <c r="J143" s="241"/>
      <c r="K143" s="219"/>
      <c r="L143" s="190">
        <f>I143+J143+K143</f>
        <v>0</v>
      </c>
      <c r="M143" s="241"/>
      <c r="N143" s="219"/>
      <c r="O143" s="190">
        <f>L143+M143+N143</f>
        <v>0</v>
      </c>
      <c r="P143" s="276"/>
      <c r="Q143" s="273">
        <f>O143+P143</f>
        <v>0</v>
      </c>
    </row>
    <row r="144" spans="1:17" ht="12.75" hidden="1">
      <c r="A144" s="16" t="s">
        <v>192</v>
      </c>
      <c r="B144" s="56">
        <v>7938</v>
      </c>
      <c r="C144" s="111"/>
      <c r="D144" s="101"/>
      <c r="E144" s="72"/>
      <c r="F144" s="172">
        <f>C144+D144+E144</f>
        <v>0</v>
      </c>
      <c r="G144" s="74"/>
      <c r="H144" s="219"/>
      <c r="I144" s="190">
        <f>F144+G144+H144</f>
        <v>0</v>
      </c>
      <c r="J144" s="241"/>
      <c r="K144" s="219"/>
      <c r="L144" s="190">
        <f>I144+J144+K144</f>
        <v>0</v>
      </c>
      <c r="M144" s="241"/>
      <c r="N144" s="219"/>
      <c r="O144" s="190">
        <f>L144+M144+N144</f>
        <v>0</v>
      </c>
      <c r="P144" s="276"/>
      <c r="Q144" s="273">
        <f>O144+P144</f>
        <v>0</v>
      </c>
    </row>
    <row r="145" spans="1:17" ht="12.75">
      <c r="A145" s="16" t="s">
        <v>329</v>
      </c>
      <c r="B145" s="56"/>
      <c r="C145" s="111"/>
      <c r="D145" s="101">
        <f>4084.75</f>
        <v>4084.75</v>
      </c>
      <c r="E145" s="72"/>
      <c r="F145" s="172">
        <f>C145+D145+E145</f>
        <v>4084.75</v>
      </c>
      <c r="G145" s="74"/>
      <c r="H145" s="219"/>
      <c r="I145" s="190">
        <f>F145+G145+H145</f>
        <v>4084.75</v>
      </c>
      <c r="J145" s="241"/>
      <c r="K145" s="219"/>
      <c r="L145" s="190">
        <f>I145+J145+K145</f>
        <v>4084.75</v>
      </c>
      <c r="M145" s="241"/>
      <c r="N145" s="219"/>
      <c r="O145" s="190">
        <f>L145+M145+N145</f>
        <v>4084.75</v>
      </c>
      <c r="P145" s="276"/>
      <c r="Q145" s="273">
        <f>O145+P145</f>
        <v>4084.75</v>
      </c>
    </row>
    <row r="146" spans="1:17" ht="12.75">
      <c r="A146" s="26" t="s">
        <v>51</v>
      </c>
      <c r="B146" s="59"/>
      <c r="C146" s="163">
        <v>18500</v>
      </c>
      <c r="D146" s="154">
        <f>13937.64-9500</f>
        <v>4437.639999999999</v>
      </c>
      <c r="E146" s="80"/>
      <c r="F146" s="177">
        <f>C146+D146+E146</f>
        <v>22937.64</v>
      </c>
      <c r="G146" s="208">
        <f>5200+10474.59</f>
        <v>15674.59</v>
      </c>
      <c r="H146" s="223"/>
      <c r="I146" s="195">
        <f>F146+G146+H146</f>
        <v>38612.229999999996</v>
      </c>
      <c r="J146" s="246">
        <f>3600</f>
        <v>3600</v>
      </c>
      <c r="K146" s="223"/>
      <c r="L146" s="195">
        <f>I146+J146+K146</f>
        <v>42212.229999999996</v>
      </c>
      <c r="M146" s="246"/>
      <c r="N146" s="223"/>
      <c r="O146" s="195">
        <f>L146+M146+N146</f>
        <v>42212.229999999996</v>
      </c>
      <c r="P146" s="314">
        <f>1902.82</f>
        <v>1902.82</v>
      </c>
      <c r="Q146" s="280">
        <f>O146+P146</f>
        <v>44115.049999999996</v>
      </c>
    </row>
    <row r="147" spans="1:17" ht="12.75">
      <c r="A147" s="13" t="s">
        <v>236</v>
      </c>
      <c r="B147" s="60"/>
      <c r="C147" s="110">
        <f aca="true" t="shared" si="51" ref="C147:Q147">C148+C168</f>
        <v>8062.6900000000005</v>
      </c>
      <c r="D147" s="91">
        <f t="shared" si="51"/>
        <v>235701.95</v>
      </c>
      <c r="E147" s="71">
        <f t="shared" si="51"/>
        <v>0</v>
      </c>
      <c r="F147" s="171">
        <f t="shared" si="51"/>
        <v>243764.64</v>
      </c>
      <c r="G147" s="70">
        <f t="shared" si="51"/>
        <v>17001.65</v>
      </c>
      <c r="H147" s="216">
        <f t="shared" si="51"/>
        <v>0</v>
      </c>
      <c r="I147" s="189">
        <f t="shared" si="51"/>
        <v>260766.29</v>
      </c>
      <c r="J147" s="238">
        <f t="shared" si="51"/>
        <v>69793.08</v>
      </c>
      <c r="K147" s="216">
        <f t="shared" si="51"/>
        <v>0</v>
      </c>
      <c r="L147" s="189">
        <f t="shared" si="51"/>
        <v>330559.37</v>
      </c>
      <c r="M147" s="238">
        <f t="shared" si="51"/>
        <v>12003.670000000002</v>
      </c>
      <c r="N147" s="216">
        <f t="shared" si="51"/>
        <v>0</v>
      </c>
      <c r="O147" s="189">
        <f t="shared" si="51"/>
        <v>342563.04000000004</v>
      </c>
      <c r="P147" s="308">
        <f t="shared" si="51"/>
        <v>-8588.14</v>
      </c>
      <c r="Q147" s="272">
        <f t="shared" si="51"/>
        <v>333974.9</v>
      </c>
    </row>
    <row r="148" spans="1:17" ht="12.75">
      <c r="A148" s="22" t="s">
        <v>46</v>
      </c>
      <c r="B148" s="60"/>
      <c r="C148" s="114">
        <f aca="true" t="shared" si="52" ref="C148:Q148">SUM(C150:C167)</f>
        <v>8062.6900000000005</v>
      </c>
      <c r="D148" s="104">
        <f t="shared" si="52"/>
        <v>26719.200000000004</v>
      </c>
      <c r="E148" s="79">
        <f t="shared" si="52"/>
        <v>0</v>
      </c>
      <c r="F148" s="175">
        <f t="shared" si="52"/>
        <v>34781.89</v>
      </c>
      <c r="G148" s="78">
        <f t="shared" si="52"/>
        <v>14554.15</v>
      </c>
      <c r="H148" s="221">
        <f t="shared" si="52"/>
        <v>0</v>
      </c>
      <c r="I148" s="193">
        <f t="shared" si="52"/>
        <v>49336.04</v>
      </c>
      <c r="J148" s="244">
        <f t="shared" si="52"/>
        <v>14843.7</v>
      </c>
      <c r="K148" s="221">
        <f t="shared" si="52"/>
        <v>0</v>
      </c>
      <c r="L148" s="193">
        <f t="shared" si="52"/>
        <v>64179.74</v>
      </c>
      <c r="M148" s="244">
        <f t="shared" si="52"/>
        <v>12003.670000000002</v>
      </c>
      <c r="N148" s="221">
        <f t="shared" si="52"/>
        <v>0</v>
      </c>
      <c r="O148" s="193">
        <f t="shared" si="52"/>
        <v>76183.41</v>
      </c>
      <c r="P148" s="311">
        <f t="shared" si="52"/>
        <v>1302.5700000000002</v>
      </c>
      <c r="Q148" s="278">
        <f t="shared" si="52"/>
        <v>77485.98</v>
      </c>
    </row>
    <row r="149" spans="1:17" ht="12.75">
      <c r="A149" s="14" t="s">
        <v>26</v>
      </c>
      <c r="B149" s="56"/>
      <c r="C149" s="112"/>
      <c r="D149" s="102"/>
      <c r="E149" s="75"/>
      <c r="F149" s="173"/>
      <c r="G149" s="74"/>
      <c r="H149" s="219"/>
      <c r="I149" s="191"/>
      <c r="J149" s="241"/>
      <c r="K149" s="219"/>
      <c r="L149" s="191"/>
      <c r="M149" s="241"/>
      <c r="N149" s="219"/>
      <c r="O149" s="191"/>
      <c r="P149" s="276"/>
      <c r="Q149" s="273"/>
    </row>
    <row r="150" spans="1:17" ht="12.75">
      <c r="A150" s="16" t="s">
        <v>48</v>
      </c>
      <c r="B150" s="56"/>
      <c r="C150" s="111">
        <v>3162.69</v>
      </c>
      <c r="D150" s="141">
        <f>575.3+368.8+500+100</f>
        <v>1544.1</v>
      </c>
      <c r="E150" s="72"/>
      <c r="F150" s="172">
        <f aca="true" t="shared" si="53" ref="F150:F167">C150+D150+E150</f>
        <v>4706.79</v>
      </c>
      <c r="G150" s="73">
        <f>500+300</f>
        <v>800</v>
      </c>
      <c r="H150" s="217"/>
      <c r="I150" s="190">
        <f>F150+G150+H150</f>
        <v>5506.79</v>
      </c>
      <c r="J150" s="242"/>
      <c r="K150" s="217"/>
      <c r="L150" s="190">
        <f>I150+J150+K150</f>
        <v>5506.79</v>
      </c>
      <c r="M150" s="242"/>
      <c r="N150" s="217"/>
      <c r="O150" s="190">
        <f>L150+M150+N150</f>
        <v>5506.79</v>
      </c>
      <c r="P150" s="276"/>
      <c r="Q150" s="273">
        <f>O150+P150</f>
        <v>5506.79</v>
      </c>
    </row>
    <row r="151" spans="1:17" ht="12.75">
      <c r="A151" s="57" t="s">
        <v>312</v>
      </c>
      <c r="B151" s="56">
        <v>2046</v>
      </c>
      <c r="C151" s="111"/>
      <c r="D151" s="101">
        <f>2510.73</f>
        <v>2510.73</v>
      </c>
      <c r="E151" s="72"/>
      <c r="F151" s="172">
        <f t="shared" si="53"/>
        <v>2510.73</v>
      </c>
      <c r="G151" s="73"/>
      <c r="H151" s="217"/>
      <c r="I151" s="190">
        <f aca="true" t="shared" si="54" ref="I151:I167">F151+G151+H151</f>
        <v>2510.73</v>
      </c>
      <c r="J151" s="239"/>
      <c r="K151" s="217"/>
      <c r="L151" s="190">
        <f aca="true" t="shared" si="55" ref="L151:L164">I151+J151+K151</f>
        <v>2510.73</v>
      </c>
      <c r="M151" s="239"/>
      <c r="N151" s="217"/>
      <c r="O151" s="190">
        <f aca="true" t="shared" si="56" ref="O151:O167">L151+M151+N151</f>
        <v>2510.73</v>
      </c>
      <c r="P151" s="276"/>
      <c r="Q151" s="273">
        <f aca="true" t="shared" si="57" ref="Q151:Q167">O151+P151</f>
        <v>2510.73</v>
      </c>
    </row>
    <row r="152" spans="1:17" ht="12.75">
      <c r="A152" s="57" t="s">
        <v>332</v>
      </c>
      <c r="B152" s="56"/>
      <c r="C152" s="111"/>
      <c r="D152" s="101"/>
      <c r="E152" s="72"/>
      <c r="F152" s="172">
        <f t="shared" si="53"/>
        <v>0</v>
      </c>
      <c r="G152" s="73">
        <f>12750</f>
        <v>12750</v>
      </c>
      <c r="H152" s="217"/>
      <c r="I152" s="190">
        <f t="shared" si="54"/>
        <v>12750</v>
      </c>
      <c r="J152" s="239"/>
      <c r="K152" s="217"/>
      <c r="L152" s="190">
        <f t="shared" si="55"/>
        <v>12750</v>
      </c>
      <c r="M152" s="239"/>
      <c r="N152" s="217"/>
      <c r="O152" s="190">
        <f t="shared" si="56"/>
        <v>12750</v>
      </c>
      <c r="P152" s="276"/>
      <c r="Q152" s="273">
        <f t="shared" si="57"/>
        <v>12750</v>
      </c>
    </row>
    <row r="153" spans="1:17" ht="12.75">
      <c r="A153" s="57" t="s">
        <v>313</v>
      </c>
      <c r="B153" s="56">
        <v>2016</v>
      </c>
      <c r="C153" s="111"/>
      <c r="D153" s="101">
        <f>459.09</f>
        <v>459.09</v>
      </c>
      <c r="E153" s="72"/>
      <c r="F153" s="172">
        <f t="shared" si="53"/>
        <v>459.09</v>
      </c>
      <c r="G153" s="73"/>
      <c r="H153" s="217"/>
      <c r="I153" s="190">
        <f t="shared" si="54"/>
        <v>459.09</v>
      </c>
      <c r="J153" s="239">
        <f>5.78-109.92</f>
        <v>-104.14</v>
      </c>
      <c r="K153" s="217"/>
      <c r="L153" s="190">
        <f t="shared" si="55"/>
        <v>354.95</v>
      </c>
      <c r="M153" s="239"/>
      <c r="N153" s="217"/>
      <c r="O153" s="190">
        <f t="shared" si="56"/>
        <v>354.95</v>
      </c>
      <c r="P153" s="276"/>
      <c r="Q153" s="273">
        <f t="shared" si="57"/>
        <v>354.95</v>
      </c>
    </row>
    <row r="154" spans="1:17" ht="12.75" hidden="1">
      <c r="A154" s="57" t="s">
        <v>274</v>
      </c>
      <c r="B154" s="56"/>
      <c r="C154" s="111"/>
      <c r="D154" s="101"/>
      <c r="E154" s="72"/>
      <c r="F154" s="172">
        <f t="shared" si="53"/>
        <v>0</v>
      </c>
      <c r="G154" s="73"/>
      <c r="H154" s="217"/>
      <c r="I154" s="190">
        <f t="shared" si="54"/>
        <v>0</v>
      </c>
      <c r="J154" s="239"/>
      <c r="K154" s="217"/>
      <c r="L154" s="190">
        <f t="shared" si="55"/>
        <v>0</v>
      </c>
      <c r="M154" s="239"/>
      <c r="N154" s="217"/>
      <c r="O154" s="190">
        <f t="shared" si="56"/>
        <v>0</v>
      </c>
      <c r="P154" s="276"/>
      <c r="Q154" s="273">
        <f t="shared" si="57"/>
        <v>0</v>
      </c>
    </row>
    <row r="155" spans="1:17" ht="12.75">
      <c r="A155" s="57" t="s">
        <v>372</v>
      </c>
      <c r="B155" s="56"/>
      <c r="C155" s="111"/>
      <c r="D155" s="101"/>
      <c r="E155" s="72"/>
      <c r="F155" s="172"/>
      <c r="G155" s="73"/>
      <c r="H155" s="217"/>
      <c r="I155" s="190"/>
      <c r="J155" s="239"/>
      <c r="K155" s="217"/>
      <c r="L155" s="190">
        <f t="shared" si="55"/>
        <v>0</v>
      </c>
      <c r="M155" s="239">
        <f>2668.34</f>
        <v>2668.34</v>
      </c>
      <c r="N155" s="217"/>
      <c r="O155" s="190">
        <f t="shared" si="56"/>
        <v>2668.34</v>
      </c>
      <c r="P155" s="276"/>
      <c r="Q155" s="273">
        <f t="shared" si="57"/>
        <v>2668.34</v>
      </c>
    </row>
    <row r="156" spans="1:17" ht="12.75" hidden="1">
      <c r="A156" s="25" t="s">
        <v>314</v>
      </c>
      <c r="B156" s="56">
        <v>2064</v>
      </c>
      <c r="C156" s="111"/>
      <c r="D156" s="101"/>
      <c r="E156" s="72"/>
      <c r="F156" s="172">
        <f t="shared" si="53"/>
        <v>0</v>
      </c>
      <c r="G156" s="73"/>
      <c r="H156" s="217"/>
      <c r="I156" s="190">
        <f t="shared" si="54"/>
        <v>0</v>
      </c>
      <c r="J156" s="239"/>
      <c r="K156" s="217"/>
      <c r="L156" s="190">
        <f t="shared" si="55"/>
        <v>0</v>
      </c>
      <c r="M156" s="239"/>
      <c r="N156" s="217"/>
      <c r="O156" s="190">
        <f t="shared" si="56"/>
        <v>0</v>
      </c>
      <c r="P156" s="276"/>
      <c r="Q156" s="273">
        <f t="shared" si="57"/>
        <v>0</v>
      </c>
    </row>
    <row r="157" spans="1:17" ht="12.75">
      <c r="A157" s="25" t="s">
        <v>315</v>
      </c>
      <c r="B157" s="56">
        <v>2079</v>
      </c>
      <c r="C157" s="111"/>
      <c r="D157" s="101">
        <f>73.55</f>
        <v>73.55</v>
      </c>
      <c r="E157" s="72"/>
      <c r="F157" s="172">
        <f t="shared" si="53"/>
        <v>73.55</v>
      </c>
      <c r="G157" s="73">
        <f>26.72</f>
        <v>26.72</v>
      </c>
      <c r="H157" s="217"/>
      <c r="I157" s="190">
        <f t="shared" si="54"/>
        <v>100.27</v>
      </c>
      <c r="J157" s="239">
        <f>15.26</f>
        <v>15.26</v>
      </c>
      <c r="K157" s="217"/>
      <c r="L157" s="190">
        <f t="shared" si="55"/>
        <v>115.53</v>
      </c>
      <c r="M157" s="239">
        <f>4.48</f>
        <v>4.48</v>
      </c>
      <c r="N157" s="217"/>
      <c r="O157" s="190">
        <f t="shared" si="56"/>
        <v>120.01</v>
      </c>
      <c r="P157" s="276"/>
      <c r="Q157" s="273">
        <f t="shared" si="57"/>
        <v>120.01</v>
      </c>
    </row>
    <row r="158" spans="1:17" ht="12.75">
      <c r="A158" s="57" t="s">
        <v>262</v>
      </c>
      <c r="B158" s="56">
        <v>2079</v>
      </c>
      <c r="C158" s="111"/>
      <c r="D158" s="101"/>
      <c r="E158" s="72"/>
      <c r="F158" s="172">
        <f t="shared" si="53"/>
        <v>0</v>
      </c>
      <c r="G158" s="73"/>
      <c r="H158" s="217"/>
      <c r="I158" s="190">
        <f t="shared" si="54"/>
        <v>0</v>
      </c>
      <c r="J158" s="239">
        <f>107.5</f>
        <v>107.5</v>
      </c>
      <c r="K158" s="217"/>
      <c r="L158" s="190">
        <f t="shared" si="55"/>
        <v>107.5</v>
      </c>
      <c r="M158" s="239"/>
      <c r="N158" s="217"/>
      <c r="O158" s="190">
        <f t="shared" si="56"/>
        <v>107.5</v>
      </c>
      <c r="P158" s="276"/>
      <c r="Q158" s="273">
        <f t="shared" si="57"/>
        <v>107.5</v>
      </c>
    </row>
    <row r="159" spans="1:17" ht="12.75">
      <c r="A159" s="25" t="s">
        <v>327</v>
      </c>
      <c r="B159" s="56"/>
      <c r="C159" s="111"/>
      <c r="D159" s="101">
        <f>2601.16</f>
        <v>2601.16</v>
      </c>
      <c r="E159" s="72"/>
      <c r="F159" s="172">
        <f t="shared" si="53"/>
        <v>2601.16</v>
      </c>
      <c r="G159" s="73">
        <f>1055.98</f>
        <v>1055.98</v>
      </c>
      <c r="H159" s="217"/>
      <c r="I159" s="190">
        <f t="shared" si="54"/>
        <v>3657.14</v>
      </c>
      <c r="J159" s="239">
        <f>433.66</f>
        <v>433.66</v>
      </c>
      <c r="K159" s="217"/>
      <c r="L159" s="190">
        <f t="shared" si="55"/>
        <v>4090.7999999999997</v>
      </c>
      <c r="M159" s="239">
        <f>246.27</f>
        <v>246.27</v>
      </c>
      <c r="N159" s="217"/>
      <c r="O159" s="190">
        <f t="shared" si="56"/>
        <v>4337.07</v>
      </c>
      <c r="P159" s="276"/>
      <c r="Q159" s="273">
        <f t="shared" si="57"/>
        <v>4337.07</v>
      </c>
    </row>
    <row r="160" spans="1:17" ht="12.75">
      <c r="A160" s="57" t="s">
        <v>303</v>
      </c>
      <c r="B160" s="56"/>
      <c r="C160" s="111"/>
      <c r="D160" s="101">
        <f>10748.16</f>
        <v>10748.16</v>
      </c>
      <c r="E160" s="72"/>
      <c r="F160" s="172">
        <f t="shared" si="53"/>
        <v>10748.16</v>
      </c>
      <c r="G160" s="73"/>
      <c r="H160" s="217"/>
      <c r="I160" s="190">
        <f t="shared" si="54"/>
        <v>10748.16</v>
      </c>
      <c r="J160" s="239">
        <f>3909.52</f>
        <v>3909.52</v>
      </c>
      <c r="K160" s="217"/>
      <c r="L160" s="190">
        <f t="shared" si="55"/>
        <v>14657.68</v>
      </c>
      <c r="M160" s="239">
        <f>-3909.52</f>
        <v>-3909.52</v>
      </c>
      <c r="N160" s="217"/>
      <c r="O160" s="190">
        <f t="shared" si="56"/>
        <v>10748.16</v>
      </c>
      <c r="P160" s="276">
        <f>-741.8</f>
        <v>-741.8</v>
      </c>
      <c r="Q160" s="273">
        <f t="shared" si="57"/>
        <v>10006.36</v>
      </c>
    </row>
    <row r="161" spans="1:17" ht="12.75">
      <c r="A161" s="25" t="s">
        <v>370</v>
      </c>
      <c r="B161" s="56"/>
      <c r="C161" s="111"/>
      <c r="D161" s="101"/>
      <c r="E161" s="72"/>
      <c r="F161" s="172"/>
      <c r="G161" s="73"/>
      <c r="H161" s="217"/>
      <c r="I161" s="190"/>
      <c r="J161" s="239"/>
      <c r="K161" s="217"/>
      <c r="L161" s="190">
        <f t="shared" si="55"/>
        <v>0</v>
      </c>
      <c r="M161" s="239">
        <f>112.84</f>
        <v>112.84</v>
      </c>
      <c r="N161" s="217"/>
      <c r="O161" s="190">
        <f t="shared" si="56"/>
        <v>112.84</v>
      </c>
      <c r="P161" s="276"/>
      <c r="Q161" s="273">
        <f t="shared" si="57"/>
        <v>112.84</v>
      </c>
    </row>
    <row r="162" spans="1:17" ht="12.75">
      <c r="A162" s="57" t="s">
        <v>366</v>
      </c>
      <c r="B162" s="56">
        <v>2067</v>
      </c>
      <c r="C162" s="111"/>
      <c r="D162" s="101"/>
      <c r="E162" s="72"/>
      <c r="F162" s="172">
        <f t="shared" si="53"/>
        <v>0</v>
      </c>
      <c r="G162" s="73"/>
      <c r="H162" s="217"/>
      <c r="I162" s="190">
        <f t="shared" si="54"/>
        <v>0</v>
      </c>
      <c r="J162" s="239"/>
      <c r="K162" s="217"/>
      <c r="L162" s="190">
        <f t="shared" si="55"/>
        <v>0</v>
      </c>
      <c r="M162" s="239">
        <f>3909.52</f>
        <v>3909.52</v>
      </c>
      <c r="N162" s="217"/>
      <c r="O162" s="190">
        <f t="shared" si="56"/>
        <v>3909.52</v>
      </c>
      <c r="P162" s="276"/>
      <c r="Q162" s="273">
        <f t="shared" si="57"/>
        <v>3909.52</v>
      </c>
    </row>
    <row r="163" spans="1:17" ht="12.75" hidden="1">
      <c r="A163" s="57" t="s">
        <v>263</v>
      </c>
      <c r="B163" s="56">
        <v>2074</v>
      </c>
      <c r="C163" s="111"/>
      <c r="D163" s="101"/>
      <c r="E163" s="72"/>
      <c r="F163" s="172">
        <f t="shared" si="53"/>
        <v>0</v>
      </c>
      <c r="G163" s="73"/>
      <c r="H163" s="217"/>
      <c r="I163" s="190">
        <f t="shared" si="54"/>
        <v>0</v>
      </c>
      <c r="J163" s="239"/>
      <c r="K163" s="217"/>
      <c r="L163" s="190">
        <f t="shared" si="55"/>
        <v>0</v>
      </c>
      <c r="M163" s="239"/>
      <c r="N163" s="217"/>
      <c r="O163" s="190">
        <f t="shared" si="56"/>
        <v>0</v>
      </c>
      <c r="P163" s="276"/>
      <c r="Q163" s="273">
        <f t="shared" si="57"/>
        <v>0</v>
      </c>
    </row>
    <row r="164" spans="1:17" ht="12.75">
      <c r="A164" s="25" t="s">
        <v>316</v>
      </c>
      <c r="B164" s="56"/>
      <c r="C164" s="111"/>
      <c r="D164" s="101">
        <f>347.99</f>
        <v>347.99</v>
      </c>
      <c r="E164" s="72"/>
      <c r="F164" s="172">
        <f t="shared" si="53"/>
        <v>347.99</v>
      </c>
      <c r="G164" s="73"/>
      <c r="H164" s="217"/>
      <c r="I164" s="190">
        <f t="shared" si="54"/>
        <v>347.99</v>
      </c>
      <c r="J164" s="239"/>
      <c r="K164" s="217"/>
      <c r="L164" s="190">
        <f t="shared" si="55"/>
        <v>347.99</v>
      </c>
      <c r="M164" s="239">
        <f>1312.83</f>
        <v>1312.83</v>
      </c>
      <c r="N164" s="217"/>
      <c r="O164" s="190">
        <f t="shared" si="56"/>
        <v>1660.82</v>
      </c>
      <c r="P164" s="276"/>
      <c r="Q164" s="273">
        <f t="shared" si="57"/>
        <v>1660.82</v>
      </c>
    </row>
    <row r="165" spans="1:17" ht="12.75">
      <c r="A165" s="57" t="s">
        <v>380</v>
      </c>
      <c r="B165" s="56"/>
      <c r="C165" s="111"/>
      <c r="D165" s="101"/>
      <c r="E165" s="72"/>
      <c r="F165" s="172">
        <f t="shared" si="53"/>
        <v>0</v>
      </c>
      <c r="G165" s="73"/>
      <c r="H165" s="217"/>
      <c r="I165" s="190">
        <f t="shared" si="54"/>
        <v>0</v>
      </c>
      <c r="J165" s="239">
        <f>3212.87</f>
        <v>3212.87</v>
      </c>
      <c r="K165" s="217"/>
      <c r="L165" s="190">
        <f>I165+J165+K165</f>
        <v>3212.87</v>
      </c>
      <c r="M165" s="239"/>
      <c r="N165" s="217"/>
      <c r="O165" s="190">
        <f t="shared" si="56"/>
        <v>3212.87</v>
      </c>
      <c r="P165" s="276"/>
      <c r="Q165" s="273">
        <f t="shared" si="57"/>
        <v>3212.87</v>
      </c>
    </row>
    <row r="166" spans="1:17" ht="12.75">
      <c r="A166" s="25" t="s">
        <v>381</v>
      </c>
      <c r="B166" s="56">
        <v>2058</v>
      </c>
      <c r="C166" s="111"/>
      <c r="D166" s="101"/>
      <c r="E166" s="72"/>
      <c r="F166" s="172">
        <f t="shared" si="53"/>
        <v>0</v>
      </c>
      <c r="G166" s="73"/>
      <c r="H166" s="217"/>
      <c r="I166" s="190">
        <f t="shared" si="54"/>
        <v>0</v>
      </c>
      <c r="J166" s="239"/>
      <c r="K166" s="217"/>
      <c r="L166" s="190">
        <f>I166+J166+K166</f>
        <v>0</v>
      </c>
      <c r="M166" s="239"/>
      <c r="N166" s="217"/>
      <c r="O166" s="190">
        <f t="shared" si="56"/>
        <v>0</v>
      </c>
      <c r="P166" s="276">
        <f>44.37</f>
        <v>44.37</v>
      </c>
      <c r="Q166" s="273">
        <f t="shared" si="57"/>
        <v>44.37</v>
      </c>
    </row>
    <row r="167" spans="1:17" ht="12.75">
      <c r="A167" s="16" t="s">
        <v>70</v>
      </c>
      <c r="B167" s="56"/>
      <c r="C167" s="111">
        <v>4900</v>
      </c>
      <c r="D167" s="101">
        <f>1200+4000+544.23+686.81+1193.04+637.66+1072.68+100-500-500</f>
        <v>8434.42</v>
      </c>
      <c r="E167" s="72"/>
      <c r="F167" s="172">
        <f t="shared" si="53"/>
        <v>13334.42</v>
      </c>
      <c r="G167" s="73">
        <f>18.16+308.77-572.68+167.2</f>
        <v>-78.54999999999995</v>
      </c>
      <c r="H167" s="217"/>
      <c r="I167" s="190">
        <f t="shared" si="54"/>
        <v>13255.87</v>
      </c>
      <c r="J167" s="239">
        <f>2000+69.03+5000+200</f>
        <v>7269.030000000001</v>
      </c>
      <c r="K167" s="217"/>
      <c r="L167" s="190">
        <f>I167+J167+K167</f>
        <v>20524.9</v>
      </c>
      <c r="M167" s="239">
        <f>10.18+173.07+2000+375+17.36+5000+83.3</f>
        <v>7658.910000000001</v>
      </c>
      <c r="N167" s="217"/>
      <c r="O167" s="190">
        <f t="shared" si="56"/>
        <v>28183.81</v>
      </c>
      <c r="P167" s="276">
        <f>2000</f>
        <v>2000</v>
      </c>
      <c r="Q167" s="273">
        <f t="shared" si="57"/>
        <v>30183.81</v>
      </c>
    </row>
    <row r="168" spans="1:17" ht="12.75">
      <c r="A168" s="23" t="s">
        <v>50</v>
      </c>
      <c r="B168" s="60"/>
      <c r="C168" s="115">
        <f aca="true" t="shared" si="58" ref="C168:Q168">SUM(C170:C178)</f>
        <v>0</v>
      </c>
      <c r="D168" s="105">
        <f t="shared" si="58"/>
        <v>208982.75</v>
      </c>
      <c r="E168" s="82">
        <f t="shared" si="58"/>
        <v>0</v>
      </c>
      <c r="F168" s="176">
        <f t="shared" si="58"/>
        <v>208982.75</v>
      </c>
      <c r="G168" s="81">
        <f t="shared" si="58"/>
        <v>2447.5</v>
      </c>
      <c r="H168" s="222">
        <f t="shared" si="58"/>
        <v>0</v>
      </c>
      <c r="I168" s="194">
        <f t="shared" si="58"/>
        <v>211430.25</v>
      </c>
      <c r="J168" s="245">
        <f t="shared" si="58"/>
        <v>54949.38</v>
      </c>
      <c r="K168" s="222">
        <f t="shared" si="58"/>
        <v>0</v>
      </c>
      <c r="L168" s="194">
        <f t="shared" si="58"/>
        <v>266379.63</v>
      </c>
      <c r="M168" s="245">
        <f t="shared" si="58"/>
        <v>0</v>
      </c>
      <c r="N168" s="222">
        <f t="shared" si="58"/>
        <v>0</v>
      </c>
      <c r="O168" s="194">
        <f t="shared" si="58"/>
        <v>266379.63</v>
      </c>
      <c r="P168" s="313">
        <f t="shared" si="58"/>
        <v>-9890.71</v>
      </c>
      <c r="Q168" s="279">
        <f t="shared" si="58"/>
        <v>256488.92</v>
      </c>
    </row>
    <row r="169" spans="1:17" ht="12.75">
      <c r="A169" s="25" t="s">
        <v>26</v>
      </c>
      <c r="B169" s="56"/>
      <c r="C169" s="111"/>
      <c r="D169" s="101"/>
      <c r="E169" s="72"/>
      <c r="F169" s="172"/>
      <c r="G169" s="73"/>
      <c r="H169" s="217"/>
      <c r="I169" s="190"/>
      <c r="J169" s="239"/>
      <c r="K169" s="217"/>
      <c r="L169" s="190"/>
      <c r="M169" s="239"/>
      <c r="N169" s="217"/>
      <c r="O169" s="190"/>
      <c r="P169" s="276"/>
      <c r="Q169" s="273"/>
    </row>
    <row r="170" spans="1:17" ht="12.75">
      <c r="A170" s="25" t="s">
        <v>315</v>
      </c>
      <c r="B170" s="56">
        <v>2079</v>
      </c>
      <c r="C170" s="111"/>
      <c r="D170" s="101">
        <f>1145.26+247.5</f>
        <v>1392.76</v>
      </c>
      <c r="E170" s="72"/>
      <c r="F170" s="172">
        <f aca="true" t="shared" si="59" ref="F170:F178">C170+D170+E170</f>
        <v>1392.76</v>
      </c>
      <c r="G170" s="73"/>
      <c r="H170" s="217"/>
      <c r="I170" s="190">
        <f aca="true" t="shared" si="60" ref="I170:I178">F170+G170+H170</f>
        <v>1392.76</v>
      </c>
      <c r="J170" s="239"/>
      <c r="K170" s="217"/>
      <c r="L170" s="190">
        <f aca="true" t="shared" si="61" ref="L170:L178">I170+J170+K170</f>
        <v>1392.76</v>
      </c>
      <c r="M170" s="239"/>
      <c r="N170" s="217"/>
      <c r="O170" s="190">
        <f aca="true" t="shared" si="62" ref="O170:O178">L170+M170+N170</f>
        <v>1392.76</v>
      </c>
      <c r="P170" s="276"/>
      <c r="Q170" s="273">
        <f aca="true" t="shared" si="63" ref="Q170:Q176">O170+P170</f>
        <v>1392.76</v>
      </c>
    </row>
    <row r="171" spans="1:17" ht="12.75">
      <c r="A171" s="57" t="s">
        <v>262</v>
      </c>
      <c r="B171" s="56">
        <v>2079</v>
      </c>
      <c r="C171" s="111"/>
      <c r="D171" s="101"/>
      <c r="E171" s="72"/>
      <c r="F171" s="172">
        <f t="shared" si="59"/>
        <v>0</v>
      </c>
      <c r="G171" s="73"/>
      <c r="H171" s="217"/>
      <c r="I171" s="190">
        <f t="shared" si="60"/>
        <v>0</v>
      </c>
      <c r="J171" s="239">
        <f>2695</f>
        <v>2695</v>
      </c>
      <c r="K171" s="217"/>
      <c r="L171" s="190">
        <f t="shared" si="61"/>
        <v>2695</v>
      </c>
      <c r="M171" s="239"/>
      <c r="N171" s="217"/>
      <c r="O171" s="190">
        <f t="shared" si="62"/>
        <v>2695</v>
      </c>
      <c r="P171" s="276"/>
      <c r="Q171" s="273">
        <f t="shared" si="63"/>
        <v>2695</v>
      </c>
    </row>
    <row r="172" spans="1:17" ht="12.75">
      <c r="A172" s="25" t="s">
        <v>327</v>
      </c>
      <c r="B172" s="56"/>
      <c r="C172" s="111"/>
      <c r="D172" s="101">
        <f>55847.45</f>
        <v>55847.45</v>
      </c>
      <c r="E172" s="72"/>
      <c r="F172" s="172">
        <f t="shared" si="59"/>
        <v>55847.45</v>
      </c>
      <c r="G172" s="73"/>
      <c r="H172" s="217"/>
      <c r="I172" s="190">
        <f t="shared" si="60"/>
        <v>55847.45</v>
      </c>
      <c r="J172" s="239"/>
      <c r="K172" s="217"/>
      <c r="L172" s="190">
        <f t="shared" si="61"/>
        <v>55847.45</v>
      </c>
      <c r="M172" s="239"/>
      <c r="N172" s="217"/>
      <c r="O172" s="190">
        <f t="shared" si="62"/>
        <v>55847.45</v>
      </c>
      <c r="P172" s="276"/>
      <c r="Q172" s="273">
        <f t="shared" si="63"/>
        <v>55847.45</v>
      </c>
    </row>
    <row r="173" spans="1:17" ht="12.75">
      <c r="A173" s="57" t="s">
        <v>303</v>
      </c>
      <c r="B173" s="56"/>
      <c r="C173" s="111"/>
      <c r="D173" s="101">
        <f>143308.79</f>
        <v>143308.79</v>
      </c>
      <c r="E173" s="72"/>
      <c r="F173" s="172">
        <f t="shared" si="59"/>
        <v>143308.79</v>
      </c>
      <c r="G173" s="73"/>
      <c r="H173" s="217"/>
      <c r="I173" s="190">
        <f t="shared" si="60"/>
        <v>143308.79</v>
      </c>
      <c r="J173" s="239">
        <f>52126.88</f>
        <v>52126.88</v>
      </c>
      <c r="K173" s="217"/>
      <c r="L173" s="190">
        <f t="shared" si="61"/>
        <v>195435.67</v>
      </c>
      <c r="M173" s="239">
        <f>-52126.88</f>
        <v>-52126.88</v>
      </c>
      <c r="N173" s="217"/>
      <c r="O173" s="190">
        <f t="shared" si="62"/>
        <v>143308.79</v>
      </c>
      <c r="P173" s="276">
        <f>-9890.71</f>
        <v>-9890.71</v>
      </c>
      <c r="Q173" s="273">
        <f t="shared" si="63"/>
        <v>133418.08000000002</v>
      </c>
    </row>
    <row r="174" spans="1:17" ht="12.75">
      <c r="A174" s="57" t="s">
        <v>366</v>
      </c>
      <c r="B174" s="56"/>
      <c r="C174" s="111"/>
      <c r="D174" s="101"/>
      <c r="E174" s="72"/>
      <c r="F174" s="172">
        <f t="shared" si="59"/>
        <v>0</v>
      </c>
      <c r="G174" s="73"/>
      <c r="H174" s="217"/>
      <c r="I174" s="190">
        <f t="shared" si="60"/>
        <v>0</v>
      </c>
      <c r="J174" s="239"/>
      <c r="K174" s="217"/>
      <c r="L174" s="190">
        <f t="shared" si="61"/>
        <v>0</v>
      </c>
      <c r="M174" s="239">
        <f>52126.88</f>
        <v>52126.88</v>
      </c>
      <c r="N174" s="217"/>
      <c r="O174" s="190">
        <f t="shared" si="62"/>
        <v>52126.88</v>
      </c>
      <c r="P174" s="276"/>
      <c r="Q174" s="273">
        <f t="shared" si="63"/>
        <v>52126.88</v>
      </c>
    </row>
    <row r="175" spans="1:17" ht="12.75">
      <c r="A175" s="57" t="s">
        <v>317</v>
      </c>
      <c r="B175" s="56"/>
      <c r="C175" s="111"/>
      <c r="D175" s="101">
        <f>8433.75</f>
        <v>8433.75</v>
      </c>
      <c r="E175" s="72"/>
      <c r="F175" s="172">
        <f t="shared" si="59"/>
        <v>8433.75</v>
      </c>
      <c r="G175" s="73">
        <f>247.5</f>
        <v>247.5</v>
      </c>
      <c r="H175" s="217"/>
      <c r="I175" s="190">
        <f t="shared" si="60"/>
        <v>8681.25</v>
      </c>
      <c r="J175" s="239">
        <f>127.5</f>
        <v>127.5</v>
      </c>
      <c r="K175" s="217"/>
      <c r="L175" s="190">
        <f t="shared" si="61"/>
        <v>8808.75</v>
      </c>
      <c r="M175" s="239"/>
      <c r="N175" s="217"/>
      <c r="O175" s="190">
        <f t="shared" si="62"/>
        <v>8808.75</v>
      </c>
      <c r="P175" s="276"/>
      <c r="Q175" s="273">
        <f t="shared" si="63"/>
        <v>8808.75</v>
      </c>
    </row>
    <row r="176" spans="1:17" ht="12.75" hidden="1">
      <c r="A176" s="16" t="s">
        <v>62</v>
      </c>
      <c r="B176" s="56"/>
      <c r="C176" s="111"/>
      <c r="D176" s="101"/>
      <c r="E176" s="72"/>
      <c r="F176" s="172">
        <f t="shared" si="59"/>
        <v>0</v>
      </c>
      <c r="G176" s="73"/>
      <c r="H176" s="217"/>
      <c r="I176" s="190">
        <f t="shared" si="60"/>
        <v>0</v>
      </c>
      <c r="J176" s="239"/>
      <c r="K176" s="217"/>
      <c r="L176" s="190">
        <f t="shared" si="61"/>
        <v>0</v>
      </c>
      <c r="M176" s="239"/>
      <c r="N176" s="217"/>
      <c r="O176" s="190">
        <f t="shared" si="62"/>
        <v>0</v>
      </c>
      <c r="P176" s="276"/>
      <c r="Q176" s="273">
        <f t="shared" si="63"/>
        <v>0</v>
      </c>
    </row>
    <row r="177" spans="1:17" ht="12.75">
      <c r="A177" s="19" t="s">
        <v>51</v>
      </c>
      <c r="B177" s="59"/>
      <c r="C177" s="163"/>
      <c r="D177" s="154"/>
      <c r="E177" s="80"/>
      <c r="F177" s="177">
        <f t="shared" si="59"/>
        <v>0</v>
      </c>
      <c r="G177" s="208">
        <f>2200</f>
        <v>2200</v>
      </c>
      <c r="H177" s="223"/>
      <c r="I177" s="195">
        <f t="shared" si="60"/>
        <v>2200</v>
      </c>
      <c r="J177" s="246"/>
      <c r="K177" s="223"/>
      <c r="L177" s="195">
        <f t="shared" si="61"/>
        <v>2200</v>
      </c>
      <c r="M177" s="246"/>
      <c r="N177" s="223"/>
      <c r="O177" s="195">
        <f t="shared" si="62"/>
        <v>2200</v>
      </c>
      <c r="P177" s="315"/>
      <c r="Q177" s="280">
        <f aca="true" t="shared" si="64" ref="Q177:Q235">O177+P177</f>
        <v>2200</v>
      </c>
    </row>
    <row r="178" spans="1:17" ht="12.75" hidden="1">
      <c r="A178" s="19" t="s">
        <v>70</v>
      </c>
      <c r="B178" s="59"/>
      <c r="C178" s="163"/>
      <c r="D178" s="154">
        <f>100-100</f>
        <v>0</v>
      </c>
      <c r="E178" s="80"/>
      <c r="F178" s="177">
        <f t="shared" si="59"/>
        <v>0</v>
      </c>
      <c r="G178" s="208"/>
      <c r="H178" s="223"/>
      <c r="I178" s="195">
        <f t="shared" si="60"/>
        <v>0</v>
      </c>
      <c r="J178" s="246"/>
      <c r="K178" s="223"/>
      <c r="L178" s="195">
        <f t="shared" si="61"/>
        <v>0</v>
      </c>
      <c r="M178" s="246"/>
      <c r="N178" s="223"/>
      <c r="O178" s="195">
        <f t="shared" si="62"/>
        <v>0</v>
      </c>
      <c r="P178" s="314"/>
      <c r="Q178" s="280">
        <f t="shared" si="64"/>
        <v>0</v>
      </c>
    </row>
    <row r="179" spans="1:17" ht="12.75">
      <c r="A179" s="13" t="s">
        <v>74</v>
      </c>
      <c r="B179" s="60"/>
      <c r="C179" s="110">
        <f aca="true" t="shared" si="65" ref="C179:Q179">C180+C226</f>
        <v>441953.44000000006</v>
      </c>
      <c r="D179" s="91">
        <f t="shared" si="65"/>
        <v>10383187.219999999</v>
      </c>
      <c r="E179" s="71">
        <f t="shared" si="65"/>
        <v>0</v>
      </c>
      <c r="F179" s="171">
        <f t="shared" si="65"/>
        <v>10825140.66</v>
      </c>
      <c r="G179" s="70">
        <f t="shared" si="65"/>
        <v>356381.69</v>
      </c>
      <c r="H179" s="216">
        <f t="shared" si="65"/>
        <v>0</v>
      </c>
      <c r="I179" s="189">
        <f t="shared" si="65"/>
        <v>11181522.349999998</v>
      </c>
      <c r="J179" s="238">
        <f t="shared" si="65"/>
        <v>230272.31999999998</v>
      </c>
      <c r="K179" s="216">
        <f t="shared" si="65"/>
        <v>0</v>
      </c>
      <c r="L179" s="189">
        <f t="shared" si="65"/>
        <v>11411794.67</v>
      </c>
      <c r="M179" s="238">
        <f t="shared" si="65"/>
        <v>181876.78999999998</v>
      </c>
      <c r="N179" s="216">
        <f t="shared" si="65"/>
        <v>0</v>
      </c>
      <c r="O179" s="189">
        <f t="shared" si="65"/>
        <v>11593671.46</v>
      </c>
      <c r="P179" s="308">
        <f t="shared" si="65"/>
        <v>-29370.120000000003</v>
      </c>
      <c r="Q179" s="272">
        <f t="shared" si="65"/>
        <v>11564301.339999998</v>
      </c>
    </row>
    <row r="180" spans="1:17" ht="12.75">
      <c r="A180" s="22" t="s">
        <v>46</v>
      </c>
      <c r="B180" s="60"/>
      <c r="C180" s="114">
        <f aca="true" t="shared" si="66" ref="C180:Q180">SUM(C182:C225)</f>
        <v>441213.44000000006</v>
      </c>
      <c r="D180" s="104">
        <f t="shared" si="66"/>
        <v>10375559.62</v>
      </c>
      <c r="E180" s="79">
        <f t="shared" si="66"/>
        <v>0</v>
      </c>
      <c r="F180" s="175">
        <f t="shared" si="66"/>
        <v>10816773.06</v>
      </c>
      <c r="G180" s="78">
        <f t="shared" si="66"/>
        <v>343933.93</v>
      </c>
      <c r="H180" s="221">
        <f t="shared" si="66"/>
        <v>0</v>
      </c>
      <c r="I180" s="193">
        <f t="shared" si="66"/>
        <v>11160706.989999998</v>
      </c>
      <c r="J180" s="244">
        <f t="shared" si="66"/>
        <v>230284.77999999997</v>
      </c>
      <c r="K180" s="221">
        <f t="shared" si="66"/>
        <v>0</v>
      </c>
      <c r="L180" s="193">
        <f t="shared" si="66"/>
        <v>11390991.77</v>
      </c>
      <c r="M180" s="244">
        <f t="shared" si="66"/>
        <v>175828.72999999998</v>
      </c>
      <c r="N180" s="221">
        <f t="shared" si="66"/>
        <v>0</v>
      </c>
      <c r="O180" s="193">
        <f t="shared" si="66"/>
        <v>11566820.5</v>
      </c>
      <c r="P180" s="311">
        <f t="shared" si="66"/>
        <v>-37584.69</v>
      </c>
      <c r="Q180" s="278">
        <f t="shared" si="66"/>
        <v>11529235.809999999</v>
      </c>
    </row>
    <row r="181" spans="1:17" ht="12.75">
      <c r="A181" s="14" t="s">
        <v>26</v>
      </c>
      <c r="B181" s="56"/>
      <c r="C181" s="111"/>
      <c r="D181" s="101"/>
      <c r="E181" s="72"/>
      <c r="F181" s="172"/>
      <c r="G181" s="73"/>
      <c r="H181" s="217"/>
      <c r="I181" s="190"/>
      <c r="J181" s="239"/>
      <c r="K181" s="217"/>
      <c r="L181" s="190"/>
      <c r="M181" s="239"/>
      <c r="N181" s="217"/>
      <c r="O181" s="190"/>
      <c r="P181" s="276"/>
      <c r="Q181" s="273"/>
    </row>
    <row r="182" spans="1:17" ht="12.75">
      <c r="A182" s="20" t="s">
        <v>66</v>
      </c>
      <c r="B182" s="56"/>
      <c r="C182" s="111">
        <v>378098.03</v>
      </c>
      <c r="D182" s="101">
        <f>8337+164.5+119488+17408.32+2000+8857.8</f>
        <v>156255.62</v>
      </c>
      <c r="E182" s="72"/>
      <c r="F182" s="172">
        <f aca="true" t="shared" si="67" ref="F182:F225">C182+D182+E182</f>
        <v>534353.65</v>
      </c>
      <c r="G182" s="73">
        <f>6500+3515.1+44134.6+12</f>
        <v>54161.7</v>
      </c>
      <c r="H182" s="217"/>
      <c r="I182" s="190">
        <f>F182+G182+H182</f>
        <v>588515.35</v>
      </c>
      <c r="J182" s="239">
        <f>9867.55+2328.9</f>
        <v>12196.449999999999</v>
      </c>
      <c r="K182" s="217"/>
      <c r="L182" s="190">
        <f>I182+J182+K182</f>
        <v>600711.7999999999</v>
      </c>
      <c r="M182" s="239">
        <f>7944.75-1134.95</f>
        <v>6809.8</v>
      </c>
      <c r="N182" s="217"/>
      <c r="O182" s="190">
        <f>L182+M182+N182</f>
        <v>607521.6</v>
      </c>
      <c r="P182" s="276">
        <f>-3546.83</f>
        <v>-3546.83</v>
      </c>
      <c r="Q182" s="273">
        <f t="shared" si="64"/>
        <v>603974.77</v>
      </c>
    </row>
    <row r="183" spans="1:17" ht="12.75">
      <c r="A183" s="20" t="s">
        <v>255</v>
      </c>
      <c r="B183" s="56">
        <v>33353</v>
      </c>
      <c r="C183" s="111"/>
      <c r="D183" s="101">
        <f>9933653.38</f>
        <v>9933653.38</v>
      </c>
      <c r="E183" s="72"/>
      <c r="F183" s="172">
        <f t="shared" si="67"/>
        <v>9933653.38</v>
      </c>
      <c r="G183" s="73">
        <f>5134.59</f>
        <v>5134.59</v>
      </c>
      <c r="H183" s="217"/>
      <c r="I183" s="190">
        <f aca="true" t="shared" si="68" ref="I183:I223">F183+G183+H183</f>
        <v>9938787.97</v>
      </c>
      <c r="J183" s="239">
        <f>363.35</f>
        <v>363.35</v>
      </c>
      <c r="K183" s="217"/>
      <c r="L183" s="190">
        <f aca="true" t="shared" si="69" ref="L183:L224">I183+J183+K183</f>
        <v>9939151.32</v>
      </c>
      <c r="M183" s="239">
        <f>14811.92</f>
        <v>14811.92</v>
      </c>
      <c r="N183" s="217"/>
      <c r="O183" s="190">
        <f aca="true" t="shared" si="70" ref="O183:O225">L183+M183+N183</f>
        <v>9953963.24</v>
      </c>
      <c r="P183" s="276">
        <f>-8543.26</f>
        <v>-8543.26</v>
      </c>
      <c r="Q183" s="273">
        <f t="shared" si="64"/>
        <v>9945419.98</v>
      </c>
    </row>
    <row r="184" spans="1:17" ht="13.5" thickBot="1">
      <c r="A184" s="300" t="s">
        <v>300</v>
      </c>
      <c r="B184" s="291">
        <v>33155</v>
      </c>
      <c r="C184" s="292"/>
      <c r="D184" s="301">
        <f>148284.67</f>
        <v>148284.67</v>
      </c>
      <c r="E184" s="294"/>
      <c r="F184" s="295">
        <f t="shared" si="67"/>
        <v>148284.67</v>
      </c>
      <c r="G184" s="296">
        <f>147279.41</f>
        <v>147279.41</v>
      </c>
      <c r="H184" s="297"/>
      <c r="I184" s="298">
        <f t="shared" si="68"/>
        <v>295564.08</v>
      </c>
      <c r="J184" s="299">
        <f>147089.43</f>
        <v>147089.43</v>
      </c>
      <c r="K184" s="297"/>
      <c r="L184" s="298">
        <f t="shared" si="69"/>
        <v>442653.51</v>
      </c>
      <c r="M184" s="299">
        <f>153489.32</f>
        <v>153489.32</v>
      </c>
      <c r="N184" s="297"/>
      <c r="O184" s="298">
        <f t="shared" si="70"/>
        <v>596142.8300000001</v>
      </c>
      <c r="P184" s="312">
        <f>-297</f>
        <v>-297</v>
      </c>
      <c r="Q184" s="289">
        <f t="shared" si="64"/>
        <v>595845.8300000001</v>
      </c>
    </row>
    <row r="185" spans="1:17" ht="12.75">
      <c r="A185" s="20" t="s">
        <v>75</v>
      </c>
      <c r="B185" s="56">
        <v>33122</v>
      </c>
      <c r="C185" s="111"/>
      <c r="D185" s="101"/>
      <c r="E185" s="72"/>
      <c r="F185" s="172">
        <f t="shared" si="67"/>
        <v>0</v>
      </c>
      <c r="G185" s="73">
        <f>328+110</f>
        <v>438</v>
      </c>
      <c r="H185" s="217"/>
      <c r="I185" s="190">
        <f t="shared" si="68"/>
        <v>438</v>
      </c>
      <c r="J185" s="239"/>
      <c r="K185" s="217"/>
      <c r="L185" s="190">
        <f t="shared" si="69"/>
        <v>438</v>
      </c>
      <c r="M185" s="239"/>
      <c r="N185" s="217"/>
      <c r="O185" s="190">
        <f t="shared" si="70"/>
        <v>438</v>
      </c>
      <c r="P185" s="276"/>
      <c r="Q185" s="273">
        <f t="shared" si="64"/>
        <v>438</v>
      </c>
    </row>
    <row r="186" spans="1:17" ht="12.75" hidden="1">
      <c r="A186" s="20" t="s">
        <v>127</v>
      </c>
      <c r="B186" s="56"/>
      <c r="C186" s="111"/>
      <c r="D186" s="101"/>
      <c r="E186" s="72"/>
      <c r="F186" s="172">
        <f t="shared" si="67"/>
        <v>0</v>
      </c>
      <c r="G186" s="73"/>
      <c r="H186" s="217"/>
      <c r="I186" s="190">
        <f t="shared" si="68"/>
        <v>0</v>
      </c>
      <c r="J186" s="239"/>
      <c r="K186" s="217"/>
      <c r="L186" s="190">
        <f t="shared" si="69"/>
        <v>0</v>
      </c>
      <c r="M186" s="239"/>
      <c r="N186" s="217"/>
      <c r="O186" s="190">
        <f t="shared" si="70"/>
        <v>0</v>
      </c>
      <c r="P186" s="276"/>
      <c r="Q186" s="273">
        <f t="shared" si="64"/>
        <v>0</v>
      </c>
    </row>
    <row r="187" spans="1:17" ht="12.75" hidden="1">
      <c r="A187" s="36" t="s">
        <v>176</v>
      </c>
      <c r="B187" s="56">
        <v>33052</v>
      </c>
      <c r="C187" s="111"/>
      <c r="D187" s="101"/>
      <c r="E187" s="72"/>
      <c r="F187" s="172">
        <f t="shared" si="67"/>
        <v>0</v>
      </c>
      <c r="G187" s="73"/>
      <c r="H187" s="217"/>
      <c r="I187" s="190">
        <f t="shared" si="68"/>
        <v>0</v>
      </c>
      <c r="J187" s="239"/>
      <c r="K187" s="217"/>
      <c r="L187" s="190">
        <f t="shared" si="69"/>
        <v>0</v>
      </c>
      <c r="M187" s="239"/>
      <c r="N187" s="217"/>
      <c r="O187" s="190">
        <f t="shared" si="70"/>
        <v>0</v>
      </c>
      <c r="P187" s="276"/>
      <c r="Q187" s="273">
        <f t="shared" si="64"/>
        <v>0</v>
      </c>
    </row>
    <row r="188" spans="1:17" ht="12.75" hidden="1">
      <c r="A188" s="36" t="s">
        <v>244</v>
      </c>
      <c r="B188" s="56">
        <v>33076</v>
      </c>
      <c r="C188" s="111"/>
      <c r="D188" s="101"/>
      <c r="E188" s="72"/>
      <c r="F188" s="172">
        <f t="shared" si="67"/>
        <v>0</v>
      </c>
      <c r="G188" s="73"/>
      <c r="H188" s="217"/>
      <c r="I188" s="190">
        <f t="shared" si="68"/>
        <v>0</v>
      </c>
      <c r="J188" s="239"/>
      <c r="K188" s="217"/>
      <c r="L188" s="190">
        <f t="shared" si="69"/>
        <v>0</v>
      </c>
      <c r="M188" s="239"/>
      <c r="N188" s="217"/>
      <c r="O188" s="190">
        <f t="shared" si="70"/>
        <v>0</v>
      </c>
      <c r="P188" s="276"/>
      <c r="Q188" s="273">
        <f t="shared" si="64"/>
        <v>0</v>
      </c>
    </row>
    <row r="189" spans="1:17" ht="12.75" hidden="1">
      <c r="A189" s="36" t="s">
        <v>205</v>
      </c>
      <c r="B189" s="56">
        <v>33069</v>
      </c>
      <c r="C189" s="111"/>
      <c r="D189" s="101"/>
      <c r="E189" s="72"/>
      <c r="F189" s="172">
        <f t="shared" si="67"/>
        <v>0</v>
      </c>
      <c r="G189" s="73"/>
      <c r="H189" s="217"/>
      <c r="I189" s="190">
        <f t="shared" si="68"/>
        <v>0</v>
      </c>
      <c r="J189" s="239"/>
      <c r="K189" s="217"/>
      <c r="L189" s="190">
        <f t="shared" si="69"/>
        <v>0</v>
      </c>
      <c r="M189" s="239"/>
      <c r="N189" s="217"/>
      <c r="O189" s="190">
        <f t="shared" si="70"/>
        <v>0</v>
      </c>
      <c r="P189" s="276"/>
      <c r="Q189" s="273">
        <f t="shared" si="64"/>
        <v>0</v>
      </c>
    </row>
    <row r="190" spans="1:17" ht="12.75" hidden="1">
      <c r="A190" s="36" t="s">
        <v>235</v>
      </c>
      <c r="B190" s="56">
        <v>33070</v>
      </c>
      <c r="C190" s="111"/>
      <c r="D190" s="101"/>
      <c r="E190" s="72"/>
      <c r="F190" s="172">
        <f t="shared" si="67"/>
        <v>0</v>
      </c>
      <c r="G190" s="73"/>
      <c r="H190" s="217"/>
      <c r="I190" s="190">
        <f t="shared" si="68"/>
        <v>0</v>
      </c>
      <c r="J190" s="239"/>
      <c r="K190" s="217"/>
      <c r="L190" s="190">
        <f t="shared" si="69"/>
        <v>0</v>
      </c>
      <c r="M190" s="239"/>
      <c r="N190" s="217"/>
      <c r="O190" s="190">
        <f t="shared" si="70"/>
        <v>0</v>
      </c>
      <c r="P190" s="276"/>
      <c r="Q190" s="273">
        <f t="shared" si="64"/>
        <v>0</v>
      </c>
    </row>
    <row r="191" spans="1:17" ht="12.75" hidden="1">
      <c r="A191" s="20" t="s">
        <v>228</v>
      </c>
      <c r="B191" s="56">
        <v>33071</v>
      </c>
      <c r="C191" s="111"/>
      <c r="D191" s="101"/>
      <c r="E191" s="72"/>
      <c r="F191" s="172">
        <f t="shared" si="67"/>
        <v>0</v>
      </c>
      <c r="G191" s="73"/>
      <c r="H191" s="217"/>
      <c r="I191" s="190">
        <f t="shared" si="68"/>
        <v>0</v>
      </c>
      <c r="J191" s="239"/>
      <c r="K191" s="217"/>
      <c r="L191" s="190">
        <f t="shared" si="69"/>
        <v>0</v>
      </c>
      <c r="M191" s="239"/>
      <c r="N191" s="217"/>
      <c r="O191" s="190">
        <f t="shared" si="70"/>
        <v>0</v>
      </c>
      <c r="P191" s="276"/>
      <c r="Q191" s="273">
        <f t="shared" si="64"/>
        <v>0</v>
      </c>
    </row>
    <row r="192" spans="1:17" ht="12.75" hidden="1">
      <c r="A192" s="20" t="s">
        <v>177</v>
      </c>
      <c r="B192" s="56">
        <v>33050</v>
      </c>
      <c r="C192" s="111"/>
      <c r="D192" s="101"/>
      <c r="E192" s="72"/>
      <c r="F192" s="172">
        <f t="shared" si="67"/>
        <v>0</v>
      </c>
      <c r="G192" s="73"/>
      <c r="H192" s="217"/>
      <c r="I192" s="190">
        <f t="shared" si="68"/>
        <v>0</v>
      </c>
      <c r="J192" s="239"/>
      <c r="K192" s="217"/>
      <c r="L192" s="190">
        <f t="shared" si="69"/>
        <v>0</v>
      </c>
      <c r="M192" s="239"/>
      <c r="N192" s="217"/>
      <c r="O192" s="190">
        <f t="shared" si="70"/>
        <v>0</v>
      </c>
      <c r="P192" s="276"/>
      <c r="Q192" s="273">
        <f t="shared" si="64"/>
        <v>0</v>
      </c>
    </row>
    <row r="193" spans="1:17" ht="12.75" hidden="1">
      <c r="A193" s="20" t="s">
        <v>138</v>
      </c>
      <c r="B193" s="56">
        <v>33435</v>
      </c>
      <c r="C193" s="111"/>
      <c r="D193" s="101"/>
      <c r="E193" s="72"/>
      <c r="F193" s="172">
        <f t="shared" si="67"/>
        <v>0</v>
      </c>
      <c r="G193" s="73"/>
      <c r="H193" s="217"/>
      <c r="I193" s="190">
        <f t="shared" si="68"/>
        <v>0</v>
      </c>
      <c r="J193" s="239"/>
      <c r="K193" s="217"/>
      <c r="L193" s="190">
        <f t="shared" si="69"/>
        <v>0</v>
      </c>
      <c r="M193" s="239"/>
      <c r="N193" s="217"/>
      <c r="O193" s="190">
        <f t="shared" si="70"/>
        <v>0</v>
      </c>
      <c r="P193" s="276"/>
      <c r="Q193" s="273">
        <f t="shared" si="64"/>
        <v>0</v>
      </c>
    </row>
    <row r="194" spans="1:17" ht="12.75" hidden="1">
      <c r="A194" s="20" t="s">
        <v>193</v>
      </c>
      <c r="B194" s="56">
        <v>33049</v>
      </c>
      <c r="C194" s="111"/>
      <c r="D194" s="101"/>
      <c r="E194" s="72"/>
      <c r="F194" s="172">
        <f t="shared" si="67"/>
        <v>0</v>
      </c>
      <c r="G194" s="73"/>
      <c r="H194" s="217"/>
      <c r="I194" s="190">
        <f t="shared" si="68"/>
        <v>0</v>
      </c>
      <c r="J194" s="239"/>
      <c r="K194" s="217"/>
      <c r="L194" s="190">
        <f t="shared" si="69"/>
        <v>0</v>
      </c>
      <c r="M194" s="239"/>
      <c r="N194" s="217"/>
      <c r="O194" s="190">
        <f t="shared" si="70"/>
        <v>0</v>
      </c>
      <c r="P194" s="276"/>
      <c r="Q194" s="273">
        <f t="shared" si="64"/>
        <v>0</v>
      </c>
    </row>
    <row r="195" spans="1:17" ht="12.75" hidden="1">
      <c r="A195" s="20" t="s">
        <v>178</v>
      </c>
      <c r="B195" s="56">
        <v>33044</v>
      </c>
      <c r="C195" s="111"/>
      <c r="D195" s="101"/>
      <c r="E195" s="72"/>
      <c r="F195" s="172">
        <f t="shared" si="67"/>
        <v>0</v>
      </c>
      <c r="G195" s="73"/>
      <c r="H195" s="217"/>
      <c r="I195" s="190">
        <f t="shared" si="68"/>
        <v>0</v>
      </c>
      <c r="J195" s="239"/>
      <c r="K195" s="217"/>
      <c r="L195" s="190">
        <f t="shared" si="69"/>
        <v>0</v>
      </c>
      <c r="M195" s="239"/>
      <c r="N195" s="217"/>
      <c r="O195" s="190">
        <f t="shared" si="70"/>
        <v>0</v>
      </c>
      <c r="P195" s="276"/>
      <c r="Q195" s="273">
        <f t="shared" si="64"/>
        <v>0</v>
      </c>
    </row>
    <row r="196" spans="1:17" ht="12.75" hidden="1">
      <c r="A196" s="20" t="s">
        <v>182</v>
      </c>
      <c r="B196" s="56">
        <v>33024</v>
      </c>
      <c r="C196" s="111"/>
      <c r="D196" s="101"/>
      <c r="E196" s="72"/>
      <c r="F196" s="172">
        <f t="shared" si="67"/>
        <v>0</v>
      </c>
      <c r="G196" s="73"/>
      <c r="H196" s="217"/>
      <c r="I196" s="190">
        <f t="shared" si="68"/>
        <v>0</v>
      </c>
      <c r="J196" s="239"/>
      <c r="K196" s="217"/>
      <c r="L196" s="190">
        <f t="shared" si="69"/>
        <v>0</v>
      </c>
      <c r="M196" s="239"/>
      <c r="N196" s="217"/>
      <c r="O196" s="190">
        <f t="shared" si="70"/>
        <v>0</v>
      </c>
      <c r="P196" s="276"/>
      <c r="Q196" s="273">
        <f t="shared" si="64"/>
        <v>0</v>
      </c>
    </row>
    <row r="197" spans="1:17" ht="12.75" hidden="1">
      <c r="A197" s="36" t="s">
        <v>143</v>
      </c>
      <c r="B197" s="56">
        <v>33018</v>
      </c>
      <c r="C197" s="111"/>
      <c r="D197" s="101"/>
      <c r="E197" s="72"/>
      <c r="F197" s="172">
        <f t="shared" si="67"/>
        <v>0</v>
      </c>
      <c r="G197" s="73"/>
      <c r="H197" s="217"/>
      <c r="I197" s="190">
        <f t="shared" si="68"/>
        <v>0</v>
      </c>
      <c r="J197" s="239"/>
      <c r="K197" s="217"/>
      <c r="L197" s="190">
        <f t="shared" si="69"/>
        <v>0</v>
      </c>
      <c r="M197" s="239"/>
      <c r="N197" s="217"/>
      <c r="O197" s="190">
        <f t="shared" si="70"/>
        <v>0</v>
      </c>
      <c r="P197" s="276"/>
      <c r="Q197" s="273">
        <f t="shared" si="64"/>
        <v>0</v>
      </c>
    </row>
    <row r="198" spans="1:17" ht="12.75">
      <c r="A198" s="20" t="s">
        <v>330</v>
      </c>
      <c r="B198" s="56">
        <v>33352</v>
      </c>
      <c r="C198" s="111"/>
      <c r="D198" s="101">
        <f>13643.49</f>
        <v>13643.49</v>
      </c>
      <c r="E198" s="72"/>
      <c r="F198" s="131">
        <f t="shared" si="67"/>
        <v>13643.49</v>
      </c>
      <c r="G198" s="73"/>
      <c r="H198" s="217"/>
      <c r="I198" s="190">
        <f t="shared" si="68"/>
        <v>13643.49</v>
      </c>
      <c r="J198" s="239"/>
      <c r="K198" s="217"/>
      <c r="L198" s="190">
        <f t="shared" si="69"/>
        <v>13643.49</v>
      </c>
      <c r="M198" s="239">
        <f>5175.12</f>
        <v>5175.12</v>
      </c>
      <c r="N198" s="217"/>
      <c r="O198" s="190">
        <f t="shared" si="70"/>
        <v>18818.61</v>
      </c>
      <c r="P198" s="276">
        <f>-3016.82-830.05</f>
        <v>-3846.87</v>
      </c>
      <c r="Q198" s="273">
        <f t="shared" si="64"/>
        <v>14971.740000000002</v>
      </c>
    </row>
    <row r="199" spans="1:17" ht="12.75" hidden="1">
      <c r="A199" s="36" t="s">
        <v>161</v>
      </c>
      <c r="B199" s="56">
        <v>33160</v>
      </c>
      <c r="C199" s="111"/>
      <c r="D199" s="101"/>
      <c r="E199" s="72"/>
      <c r="F199" s="172">
        <f t="shared" si="67"/>
        <v>0</v>
      </c>
      <c r="G199" s="73"/>
      <c r="H199" s="217"/>
      <c r="I199" s="190">
        <f t="shared" si="68"/>
        <v>0</v>
      </c>
      <c r="J199" s="239"/>
      <c r="K199" s="217"/>
      <c r="L199" s="190">
        <f t="shared" si="69"/>
        <v>0</v>
      </c>
      <c r="M199" s="239"/>
      <c r="N199" s="217"/>
      <c r="O199" s="190">
        <f t="shared" si="70"/>
        <v>0</v>
      </c>
      <c r="P199" s="276"/>
      <c r="Q199" s="273">
        <f t="shared" si="64"/>
        <v>0</v>
      </c>
    </row>
    <row r="200" spans="1:17" ht="12.75" hidden="1">
      <c r="A200" s="20" t="s">
        <v>131</v>
      </c>
      <c r="B200" s="56"/>
      <c r="C200" s="111"/>
      <c r="D200" s="101"/>
      <c r="E200" s="72"/>
      <c r="F200" s="172">
        <f t="shared" si="67"/>
        <v>0</v>
      </c>
      <c r="G200" s="73"/>
      <c r="H200" s="217"/>
      <c r="I200" s="190">
        <f t="shared" si="68"/>
        <v>0</v>
      </c>
      <c r="J200" s="239"/>
      <c r="K200" s="217"/>
      <c r="L200" s="190">
        <f t="shared" si="69"/>
        <v>0</v>
      </c>
      <c r="M200" s="239"/>
      <c r="N200" s="217"/>
      <c r="O200" s="190">
        <f t="shared" si="70"/>
        <v>0</v>
      </c>
      <c r="P200" s="276"/>
      <c r="Q200" s="273">
        <f t="shared" si="64"/>
        <v>0</v>
      </c>
    </row>
    <row r="201" spans="1:17" ht="12.75" hidden="1">
      <c r="A201" s="36" t="s">
        <v>333</v>
      </c>
      <c r="B201" s="56">
        <v>33087</v>
      </c>
      <c r="C201" s="111"/>
      <c r="D201" s="101"/>
      <c r="E201" s="72"/>
      <c r="F201" s="172">
        <f t="shared" si="67"/>
        <v>0</v>
      </c>
      <c r="G201" s="73"/>
      <c r="H201" s="217"/>
      <c r="I201" s="190">
        <f t="shared" si="68"/>
        <v>0</v>
      </c>
      <c r="J201" s="239"/>
      <c r="K201" s="217"/>
      <c r="L201" s="190">
        <f t="shared" si="69"/>
        <v>0</v>
      </c>
      <c r="M201" s="239"/>
      <c r="N201" s="217"/>
      <c r="O201" s="190">
        <f t="shared" si="70"/>
        <v>0</v>
      </c>
      <c r="P201" s="276"/>
      <c r="Q201" s="273">
        <f t="shared" si="64"/>
        <v>0</v>
      </c>
    </row>
    <row r="202" spans="1:17" ht="12.75">
      <c r="A202" s="36" t="s">
        <v>373</v>
      </c>
      <c r="B202" s="56">
        <v>33087</v>
      </c>
      <c r="C202" s="111"/>
      <c r="D202" s="101"/>
      <c r="E202" s="72"/>
      <c r="F202" s="172">
        <f t="shared" si="67"/>
        <v>0</v>
      </c>
      <c r="G202" s="73">
        <f>36218</f>
        <v>36218</v>
      </c>
      <c r="H202" s="217"/>
      <c r="I202" s="190">
        <f t="shared" si="68"/>
        <v>36218</v>
      </c>
      <c r="J202" s="239"/>
      <c r="K202" s="217"/>
      <c r="L202" s="190">
        <f t="shared" si="69"/>
        <v>36218</v>
      </c>
      <c r="M202" s="239"/>
      <c r="N202" s="217"/>
      <c r="O202" s="190">
        <f t="shared" si="70"/>
        <v>36218</v>
      </c>
      <c r="P202" s="276">
        <f>-929.9</f>
        <v>-929.9</v>
      </c>
      <c r="Q202" s="273">
        <f t="shared" si="64"/>
        <v>35288.1</v>
      </c>
    </row>
    <row r="203" spans="1:17" ht="12.75">
      <c r="A203" s="36" t="s">
        <v>292</v>
      </c>
      <c r="B203" s="56">
        <v>33086</v>
      </c>
      <c r="C203" s="111"/>
      <c r="D203" s="101"/>
      <c r="E203" s="72"/>
      <c r="F203" s="172">
        <f t="shared" si="67"/>
        <v>0</v>
      </c>
      <c r="G203" s="73">
        <f>20208</f>
        <v>20208</v>
      </c>
      <c r="H203" s="217"/>
      <c r="I203" s="190">
        <f t="shared" si="68"/>
        <v>20208</v>
      </c>
      <c r="J203" s="239"/>
      <c r="K203" s="217"/>
      <c r="L203" s="190">
        <f t="shared" si="69"/>
        <v>20208</v>
      </c>
      <c r="M203" s="239"/>
      <c r="N203" s="217"/>
      <c r="O203" s="190">
        <f t="shared" si="70"/>
        <v>20208</v>
      </c>
      <c r="P203" s="276">
        <f>-3558.23</f>
        <v>-3558.23</v>
      </c>
      <c r="Q203" s="273">
        <f t="shared" si="64"/>
        <v>16649.77</v>
      </c>
    </row>
    <row r="204" spans="1:17" ht="12.75">
      <c r="A204" s="36" t="s">
        <v>334</v>
      </c>
      <c r="B204" s="56">
        <v>33088</v>
      </c>
      <c r="C204" s="111"/>
      <c r="D204" s="101"/>
      <c r="E204" s="72"/>
      <c r="F204" s="172">
        <f t="shared" si="67"/>
        <v>0</v>
      </c>
      <c r="G204" s="73">
        <f>21575</f>
        <v>21575</v>
      </c>
      <c r="H204" s="217"/>
      <c r="I204" s="190">
        <f t="shared" si="68"/>
        <v>21575</v>
      </c>
      <c r="J204" s="239"/>
      <c r="K204" s="217"/>
      <c r="L204" s="190">
        <f t="shared" si="69"/>
        <v>21575</v>
      </c>
      <c r="M204" s="239"/>
      <c r="N204" s="217"/>
      <c r="O204" s="190">
        <f t="shared" si="70"/>
        <v>21575</v>
      </c>
      <c r="P204" s="276">
        <f>-8.05</f>
        <v>-8.05</v>
      </c>
      <c r="Q204" s="273">
        <f t="shared" si="64"/>
        <v>21566.95</v>
      </c>
    </row>
    <row r="205" spans="1:17" ht="12.75">
      <c r="A205" s="36" t="s">
        <v>351</v>
      </c>
      <c r="B205" s="56">
        <v>33093</v>
      </c>
      <c r="C205" s="111"/>
      <c r="D205" s="101"/>
      <c r="E205" s="72"/>
      <c r="F205" s="172">
        <f t="shared" si="67"/>
        <v>0</v>
      </c>
      <c r="G205" s="73">
        <f>600+150</f>
        <v>750</v>
      </c>
      <c r="H205" s="217"/>
      <c r="I205" s="190">
        <f t="shared" si="68"/>
        <v>750</v>
      </c>
      <c r="J205" s="239">
        <f>375</f>
        <v>375</v>
      </c>
      <c r="K205" s="217"/>
      <c r="L205" s="190">
        <f t="shared" si="69"/>
        <v>1125</v>
      </c>
      <c r="M205" s="239"/>
      <c r="N205" s="217"/>
      <c r="O205" s="190">
        <f t="shared" si="70"/>
        <v>1125</v>
      </c>
      <c r="P205" s="276">
        <f>50</f>
        <v>50</v>
      </c>
      <c r="Q205" s="273">
        <f t="shared" si="64"/>
        <v>1175</v>
      </c>
    </row>
    <row r="206" spans="1:17" ht="12.75">
      <c r="A206" s="260" t="s">
        <v>355</v>
      </c>
      <c r="B206" s="56">
        <v>33160</v>
      </c>
      <c r="C206" s="111"/>
      <c r="D206" s="101"/>
      <c r="E206" s="72"/>
      <c r="F206" s="172"/>
      <c r="G206" s="73"/>
      <c r="H206" s="217"/>
      <c r="I206" s="190">
        <f t="shared" si="68"/>
        <v>0</v>
      </c>
      <c r="J206" s="239">
        <f>268.27</f>
        <v>268.27</v>
      </c>
      <c r="K206" s="217"/>
      <c r="L206" s="190">
        <f t="shared" si="69"/>
        <v>268.27</v>
      </c>
      <c r="M206" s="239"/>
      <c r="N206" s="217"/>
      <c r="O206" s="190">
        <f t="shared" si="70"/>
        <v>268.27</v>
      </c>
      <c r="P206" s="276"/>
      <c r="Q206" s="273">
        <f t="shared" si="64"/>
        <v>268.27</v>
      </c>
    </row>
    <row r="207" spans="1:17" ht="12.75">
      <c r="A207" s="268" t="s">
        <v>371</v>
      </c>
      <c r="B207" s="56">
        <v>33351</v>
      </c>
      <c r="C207" s="111"/>
      <c r="D207" s="101"/>
      <c r="E207" s="72"/>
      <c r="F207" s="172"/>
      <c r="G207" s="73"/>
      <c r="H207" s="217"/>
      <c r="I207" s="190"/>
      <c r="J207" s="239"/>
      <c r="K207" s="217"/>
      <c r="L207" s="190">
        <f t="shared" si="69"/>
        <v>0</v>
      </c>
      <c r="M207" s="239">
        <f>1271.05</f>
        <v>1271.05</v>
      </c>
      <c r="N207" s="217"/>
      <c r="O207" s="190">
        <f t="shared" si="70"/>
        <v>1271.05</v>
      </c>
      <c r="P207" s="276">
        <f>-0.9</f>
        <v>-0.9</v>
      </c>
      <c r="Q207" s="273">
        <f t="shared" si="64"/>
        <v>1270.1499999999999</v>
      </c>
    </row>
    <row r="208" spans="1:17" ht="12.75" hidden="1">
      <c r="A208" s="36" t="s">
        <v>130</v>
      </c>
      <c r="B208" s="56"/>
      <c r="C208" s="111"/>
      <c r="D208" s="101"/>
      <c r="E208" s="72"/>
      <c r="F208" s="172">
        <f t="shared" si="67"/>
        <v>0</v>
      </c>
      <c r="G208" s="73"/>
      <c r="H208" s="217"/>
      <c r="I208" s="190">
        <f t="shared" si="68"/>
        <v>0</v>
      </c>
      <c r="J208" s="239"/>
      <c r="K208" s="217"/>
      <c r="L208" s="190">
        <f t="shared" si="69"/>
        <v>0</v>
      </c>
      <c r="M208" s="239"/>
      <c r="N208" s="217"/>
      <c r="O208" s="190">
        <f t="shared" si="70"/>
        <v>0</v>
      </c>
      <c r="P208" s="276"/>
      <c r="Q208" s="273">
        <f t="shared" si="64"/>
        <v>0</v>
      </c>
    </row>
    <row r="209" spans="1:17" ht="12.75" hidden="1">
      <c r="A209" s="20" t="s">
        <v>76</v>
      </c>
      <c r="B209" s="56">
        <v>33025</v>
      </c>
      <c r="C209" s="111"/>
      <c r="D209" s="101"/>
      <c r="E209" s="72"/>
      <c r="F209" s="172">
        <f t="shared" si="67"/>
        <v>0</v>
      </c>
      <c r="G209" s="73"/>
      <c r="H209" s="217"/>
      <c r="I209" s="190">
        <f t="shared" si="68"/>
        <v>0</v>
      </c>
      <c r="J209" s="239"/>
      <c r="K209" s="217"/>
      <c r="L209" s="190">
        <f t="shared" si="69"/>
        <v>0</v>
      </c>
      <c r="M209" s="239"/>
      <c r="N209" s="217"/>
      <c r="O209" s="190">
        <f t="shared" si="70"/>
        <v>0</v>
      </c>
      <c r="P209" s="276"/>
      <c r="Q209" s="273">
        <f t="shared" si="64"/>
        <v>0</v>
      </c>
    </row>
    <row r="210" spans="1:17" ht="12.75" hidden="1">
      <c r="A210" s="20" t="s">
        <v>151</v>
      </c>
      <c r="B210" s="56">
        <v>33038</v>
      </c>
      <c r="C210" s="111"/>
      <c r="D210" s="101"/>
      <c r="E210" s="72"/>
      <c r="F210" s="172">
        <f t="shared" si="67"/>
        <v>0</v>
      </c>
      <c r="G210" s="73"/>
      <c r="H210" s="217"/>
      <c r="I210" s="190">
        <f t="shared" si="68"/>
        <v>0</v>
      </c>
      <c r="J210" s="239"/>
      <c r="K210" s="217"/>
      <c r="L210" s="190">
        <f t="shared" si="69"/>
        <v>0</v>
      </c>
      <c r="M210" s="239"/>
      <c r="N210" s="217"/>
      <c r="O210" s="190">
        <f t="shared" si="70"/>
        <v>0</v>
      </c>
      <c r="P210" s="276"/>
      <c r="Q210" s="273">
        <f t="shared" si="64"/>
        <v>0</v>
      </c>
    </row>
    <row r="211" spans="1:17" ht="12.75">
      <c r="A211" s="20" t="s">
        <v>331</v>
      </c>
      <c r="B211" s="56" t="s">
        <v>367</v>
      </c>
      <c r="C211" s="111"/>
      <c r="D211" s="101">
        <f>12646.55</f>
        <v>12646.55</v>
      </c>
      <c r="E211" s="72"/>
      <c r="F211" s="172">
        <f t="shared" si="67"/>
        <v>12646.55</v>
      </c>
      <c r="G211" s="73">
        <f>82194.23+1663.5</f>
        <v>83857.73</v>
      </c>
      <c r="H211" s="217"/>
      <c r="I211" s="190">
        <f t="shared" si="68"/>
        <v>96504.28</v>
      </c>
      <c r="J211" s="239">
        <f>30476.12</f>
        <v>30476.12</v>
      </c>
      <c r="K211" s="217"/>
      <c r="L211" s="190">
        <f t="shared" si="69"/>
        <v>126980.4</v>
      </c>
      <c r="M211" s="239">
        <f>397.98+3799.25</f>
        <v>4197.23</v>
      </c>
      <c r="N211" s="217"/>
      <c r="O211" s="190">
        <f t="shared" si="70"/>
        <v>131177.63</v>
      </c>
      <c r="P211" s="276">
        <f>6773.36-17177.31</f>
        <v>-10403.95</v>
      </c>
      <c r="Q211" s="273">
        <f t="shared" si="64"/>
        <v>120773.68000000001</v>
      </c>
    </row>
    <row r="212" spans="1:17" ht="12.75">
      <c r="A212" s="20" t="s">
        <v>326</v>
      </c>
      <c r="B212" s="56">
        <v>33167</v>
      </c>
      <c r="C212" s="111"/>
      <c r="D212" s="101">
        <f>15000</f>
        <v>15000</v>
      </c>
      <c r="E212" s="72"/>
      <c r="F212" s="172">
        <f t="shared" si="67"/>
        <v>15000</v>
      </c>
      <c r="G212" s="73"/>
      <c r="H212" s="217"/>
      <c r="I212" s="190">
        <f t="shared" si="68"/>
        <v>15000</v>
      </c>
      <c r="J212" s="239">
        <f>-10005.73</f>
        <v>-10005.73</v>
      </c>
      <c r="K212" s="217"/>
      <c r="L212" s="190">
        <f t="shared" si="69"/>
        <v>4994.27</v>
      </c>
      <c r="M212" s="239"/>
      <c r="N212" s="217"/>
      <c r="O212" s="190">
        <f t="shared" si="70"/>
        <v>4994.27</v>
      </c>
      <c r="P212" s="276"/>
      <c r="Q212" s="273">
        <f t="shared" si="64"/>
        <v>4994.27</v>
      </c>
    </row>
    <row r="213" spans="1:17" ht="12.75">
      <c r="A213" s="20" t="s">
        <v>341</v>
      </c>
      <c r="B213" s="56">
        <v>13305</v>
      </c>
      <c r="C213" s="111"/>
      <c r="D213" s="101"/>
      <c r="E213" s="72"/>
      <c r="F213" s="172">
        <f t="shared" si="67"/>
        <v>0</v>
      </c>
      <c r="G213" s="73">
        <f>5674.87</f>
        <v>5674.87</v>
      </c>
      <c r="H213" s="217"/>
      <c r="I213" s="190">
        <f t="shared" si="68"/>
        <v>5674.87</v>
      </c>
      <c r="J213" s="239">
        <f>3783.25</f>
        <v>3783.25</v>
      </c>
      <c r="K213" s="217"/>
      <c r="L213" s="190">
        <f t="shared" si="69"/>
        <v>9458.119999999999</v>
      </c>
      <c r="M213" s="239"/>
      <c r="N213" s="217"/>
      <c r="O213" s="190">
        <f t="shared" si="70"/>
        <v>9458.119999999999</v>
      </c>
      <c r="P213" s="276"/>
      <c r="Q213" s="273">
        <f t="shared" si="64"/>
        <v>9458.119999999999</v>
      </c>
    </row>
    <row r="214" spans="1:17" ht="12.75">
      <c r="A214" s="20" t="s">
        <v>336</v>
      </c>
      <c r="B214" s="210" t="s">
        <v>337</v>
      </c>
      <c r="C214" s="111"/>
      <c r="D214" s="101"/>
      <c r="E214" s="72"/>
      <c r="F214" s="172">
        <f t="shared" si="67"/>
        <v>0</v>
      </c>
      <c r="G214" s="73">
        <f>153.78+871.4</f>
        <v>1025.18</v>
      </c>
      <c r="H214" s="217"/>
      <c r="I214" s="190">
        <f t="shared" si="68"/>
        <v>1025.18</v>
      </c>
      <c r="J214" s="239"/>
      <c r="K214" s="217"/>
      <c r="L214" s="190">
        <f t="shared" si="69"/>
        <v>1025.18</v>
      </c>
      <c r="M214" s="239"/>
      <c r="N214" s="217"/>
      <c r="O214" s="190">
        <f t="shared" si="70"/>
        <v>1025.18</v>
      </c>
      <c r="P214" s="276">
        <f>156.61+887.45</f>
        <v>1044.06</v>
      </c>
      <c r="Q214" s="273">
        <f t="shared" si="64"/>
        <v>2069.24</v>
      </c>
    </row>
    <row r="215" spans="1:17" ht="12.75" hidden="1">
      <c r="A215" s="20" t="s">
        <v>239</v>
      </c>
      <c r="B215" s="261" t="s">
        <v>240</v>
      </c>
      <c r="C215" s="111"/>
      <c r="D215" s="101"/>
      <c r="E215" s="72"/>
      <c r="F215" s="172">
        <f t="shared" si="67"/>
        <v>0</v>
      </c>
      <c r="G215" s="73"/>
      <c r="H215" s="217"/>
      <c r="I215" s="190">
        <f t="shared" si="68"/>
        <v>0</v>
      </c>
      <c r="J215" s="239"/>
      <c r="K215" s="217"/>
      <c r="L215" s="190">
        <f t="shared" si="69"/>
        <v>0</v>
      </c>
      <c r="M215" s="239"/>
      <c r="N215" s="217"/>
      <c r="O215" s="190">
        <f t="shared" si="70"/>
        <v>0</v>
      </c>
      <c r="P215" s="276"/>
      <c r="Q215" s="273">
        <f t="shared" si="64"/>
        <v>0</v>
      </c>
    </row>
    <row r="216" spans="1:17" ht="12.75" hidden="1">
      <c r="A216" s="20" t="s">
        <v>287</v>
      </c>
      <c r="B216" s="56"/>
      <c r="C216" s="111"/>
      <c r="D216" s="101"/>
      <c r="E216" s="72"/>
      <c r="F216" s="172">
        <f t="shared" si="67"/>
        <v>0</v>
      </c>
      <c r="G216" s="73"/>
      <c r="H216" s="217"/>
      <c r="I216" s="190">
        <f t="shared" si="68"/>
        <v>0</v>
      </c>
      <c r="J216" s="239"/>
      <c r="K216" s="217"/>
      <c r="L216" s="190">
        <f t="shared" si="69"/>
        <v>0</v>
      </c>
      <c r="M216" s="239"/>
      <c r="N216" s="217"/>
      <c r="O216" s="190">
        <f t="shared" si="70"/>
        <v>0</v>
      </c>
      <c r="P216" s="276"/>
      <c r="Q216" s="273">
        <f t="shared" si="64"/>
        <v>0</v>
      </c>
    </row>
    <row r="217" spans="1:17" ht="12.75">
      <c r="A217" s="20" t="s">
        <v>346</v>
      </c>
      <c r="B217" s="56"/>
      <c r="C217" s="111"/>
      <c r="D217" s="101"/>
      <c r="E217" s="72"/>
      <c r="F217" s="172">
        <f t="shared" si="67"/>
        <v>0</v>
      </c>
      <c r="G217" s="73">
        <f>6.89+12.28+3.92</f>
        <v>23.089999999999996</v>
      </c>
      <c r="H217" s="217"/>
      <c r="I217" s="190">
        <f t="shared" si="68"/>
        <v>23.089999999999996</v>
      </c>
      <c r="J217" s="239"/>
      <c r="K217" s="217"/>
      <c r="L217" s="190">
        <f t="shared" si="69"/>
        <v>23.089999999999996</v>
      </c>
      <c r="M217" s="239"/>
      <c r="N217" s="217"/>
      <c r="O217" s="190">
        <f t="shared" si="70"/>
        <v>23.089999999999996</v>
      </c>
      <c r="P217" s="276"/>
      <c r="Q217" s="273">
        <f t="shared" si="64"/>
        <v>23.089999999999996</v>
      </c>
    </row>
    <row r="218" spans="1:17" ht="12.75">
      <c r="A218" s="20" t="s">
        <v>325</v>
      </c>
      <c r="B218" s="261" t="s">
        <v>240</v>
      </c>
      <c r="C218" s="111"/>
      <c r="D218" s="101">
        <f>754.79</f>
        <v>754.79</v>
      </c>
      <c r="E218" s="72"/>
      <c r="F218" s="172">
        <f t="shared" si="67"/>
        <v>754.79</v>
      </c>
      <c r="G218" s="73">
        <f>13.41+228</f>
        <v>241.41</v>
      </c>
      <c r="H218" s="217"/>
      <c r="I218" s="190">
        <f t="shared" si="68"/>
        <v>996.1999999999999</v>
      </c>
      <c r="J218" s="239">
        <f>36.32+1002.11</f>
        <v>1038.43</v>
      </c>
      <c r="K218" s="217"/>
      <c r="L218" s="190">
        <f t="shared" si="69"/>
        <v>2034.63</v>
      </c>
      <c r="M218" s="239"/>
      <c r="N218" s="217"/>
      <c r="O218" s="190">
        <f t="shared" si="70"/>
        <v>2034.63</v>
      </c>
      <c r="P218" s="276"/>
      <c r="Q218" s="273">
        <f t="shared" si="64"/>
        <v>2034.63</v>
      </c>
    </row>
    <row r="219" spans="1:17" ht="12.75">
      <c r="A219" s="20" t="s">
        <v>309</v>
      </c>
      <c r="B219" s="56">
        <v>2054</v>
      </c>
      <c r="C219" s="111"/>
      <c r="D219" s="101">
        <f>3552.18</f>
        <v>3552.18</v>
      </c>
      <c r="E219" s="72"/>
      <c r="F219" s="172">
        <f t="shared" si="67"/>
        <v>3552.18</v>
      </c>
      <c r="G219" s="73"/>
      <c r="H219" s="217"/>
      <c r="I219" s="190">
        <f t="shared" si="68"/>
        <v>3552.18</v>
      </c>
      <c r="J219" s="239"/>
      <c r="K219" s="217"/>
      <c r="L219" s="190">
        <f t="shared" si="69"/>
        <v>3552.18</v>
      </c>
      <c r="M219" s="239"/>
      <c r="N219" s="217"/>
      <c r="O219" s="190">
        <f t="shared" si="70"/>
        <v>3552.18</v>
      </c>
      <c r="P219" s="276"/>
      <c r="Q219" s="273">
        <f t="shared" si="64"/>
        <v>3552.18</v>
      </c>
    </row>
    <row r="220" spans="1:17" ht="12.75">
      <c r="A220" s="20" t="s">
        <v>311</v>
      </c>
      <c r="B220" s="56"/>
      <c r="C220" s="111"/>
      <c r="D220" s="101">
        <f>2429.34</f>
        <v>2429.34</v>
      </c>
      <c r="E220" s="72"/>
      <c r="F220" s="172">
        <f t="shared" si="67"/>
        <v>2429.34</v>
      </c>
      <c r="G220" s="73"/>
      <c r="H220" s="217"/>
      <c r="I220" s="190">
        <f t="shared" si="68"/>
        <v>2429.34</v>
      </c>
      <c r="J220" s="239"/>
      <c r="K220" s="217"/>
      <c r="L220" s="190">
        <f t="shared" si="69"/>
        <v>2429.34</v>
      </c>
      <c r="M220" s="239"/>
      <c r="N220" s="217"/>
      <c r="O220" s="190">
        <f t="shared" si="70"/>
        <v>2429.34</v>
      </c>
      <c r="P220" s="276"/>
      <c r="Q220" s="273">
        <f t="shared" si="64"/>
        <v>2429.34</v>
      </c>
    </row>
    <row r="221" spans="1:17" ht="12.75">
      <c r="A221" s="20" t="s">
        <v>335</v>
      </c>
      <c r="B221" s="56"/>
      <c r="C221" s="111"/>
      <c r="D221" s="101"/>
      <c r="E221" s="72"/>
      <c r="F221" s="172">
        <f t="shared" si="67"/>
        <v>0</v>
      </c>
      <c r="G221" s="73">
        <f>1974.38</f>
        <v>1974.38</v>
      </c>
      <c r="H221" s="217"/>
      <c r="I221" s="190">
        <f t="shared" si="68"/>
        <v>1974.38</v>
      </c>
      <c r="J221" s="239"/>
      <c r="K221" s="217"/>
      <c r="L221" s="190">
        <f t="shared" si="69"/>
        <v>1974.38</v>
      </c>
      <c r="M221" s="239">
        <f>758.58</f>
        <v>758.58</v>
      </c>
      <c r="N221" s="217"/>
      <c r="O221" s="190">
        <f t="shared" si="70"/>
        <v>2732.96</v>
      </c>
      <c r="P221" s="276"/>
      <c r="Q221" s="273">
        <f t="shared" si="64"/>
        <v>2732.96</v>
      </c>
    </row>
    <row r="222" spans="1:17" ht="12.75">
      <c r="A222" s="20" t="s">
        <v>310</v>
      </c>
      <c r="B222" s="56">
        <v>2066</v>
      </c>
      <c r="C222" s="111"/>
      <c r="D222" s="101">
        <f>18909.29</f>
        <v>18909.29</v>
      </c>
      <c r="E222" s="72"/>
      <c r="F222" s="172">
        <f t="shared" si="67"/>
        <v>18909.29</v>
      </c>
      <c r="G222" s="73"/>
      <c r="H222" s="217"/>
      <c r="I222" s="190">
        <f t="shared" si="68"/>
        <v>18909.29</v>
      </c>
      <c r="J222" s="239"/>
      <c r="K222" s="217"/>
      <c r="L222" s="190">
        <f t="shared" si="69"/>
        <v>18909.29</v>
      </c>
      <c r="M222" s="239"/>
      <c r="N222" s="217"/>
      <c r="O222" s="190">
        <f t="shared" si="70"/>
        <v>18909.29</v>
      </c>
      <c r="P222" s="276"/>
      <c r="Q222" s="273">
        <f t="shared" si="64"/>
        <v>18909.29</v>
      </c>
    </row>
    <row r="223" spans="1:17" ht="12.75">
      <c r="A223" s="20" t="s">
        <v>347</v>
      </c>
      <c r="B223" s="56"/>
      <c r="C223" s="111"/>
      <c r="D223" s="101"/>
      <c r="E223" s="72"/>
      <c r="F223" s="172">
        <f t="shared" si="67"/>
        <v>0</v>
      </c>
      <c r="G223" s="73">
        <f>28283.24</f>
        <v>28283.24</v>
      </c>
      <c r="H223" s="217"/>
      <c r="I223" s="190">
        <f t="shared" si="68"/>
        <v>28283.24</v>
      </c>
      <c r="J223" s="239">
        <f>19829.14</f>
        <v>19829.14</v>
      </c>
      <c r="K223" s="217"/>
      <c r="L223" s="190">
        <f t="shared" si="69"/>
        <v>48112.380000000005</v>
      </c>
      <c r="M223" s="239"/>
      <c r="N223" s="217"/>
      <c r="O223" s="190">
        <f t="shared" si="70"/>
        <v>48112.380000000005</v>
      </c>
      <c r="P223" s="276">
        <f>-15120</f>
        <v>-15120</v>
      </c>
      <c r="Q223" s="273">
        <f t="shared" si="64"/>
        <v>32992.380000000005</v>
      </c>
    </row>
    <row r="224" spans="1:17" ht="12.75">
      <c r="A224" s="20" t="s">
        <v>69</v>
      </c>
      <c r="B224" s="107" t="s">
        <v>237</v>
      </c>
      <c r="C224" s="111">
        <v>6820</v>
      </c>
      <c r="D224" s="101">
        <f>2000+12054.72+345.99+3113.45+17829.24</f>
        <v>35343.4</v>
      </c>
      <c r="E224" s="72"/>
      <c r="F224" s="172">
        <f t="shared" si="67"/>
        <v>42163.4</v>
      </c>
      <c r="G224" s="73">
        <f>-6664</f>
        <v>-6664</v>
      </c>
      <c r="H224" s="217"/>
      <c r="I224" s="190">
        <f>F224+G224+H224</f>
        <v>35499.4</v>
      </c>
      <c r="J224" s="239">
        <f>28729.18</f>
        <v>28729.18</v>
      </c>
      <c r="K224" s="217"/>
      <c r="L224" s="190">
        <f t="shared" si="69"/>
        <v>64228.58</v>
      </c>
      <c r="M224" s="242">
        <f>200</f>
        <v>200</v>
      </c>
      <c r="N224" s="217"/>
      <c r="O224" s="190">
        <f t="shared" si="70"/>
        <v>64428.58</v>
      </c>
      <c r="P224" s="276">
        <f>4998</f>
        <v>4998</v>
      </c>
      <c r="Q224" s="273">
        <f t="shared" si="64"/>
        <v>69426.58</v>
      </c>
    </row>
    <row r="225" spans="1:17" ht="12.75">
      <c r="A225" s="20" t="s">
        <v>48</v>
      </c>
      <c r="B225" s="56"/>
      <c r="C225" s="111">
        <v>56295.41</v>
      </c>
      <c r="D225" s="101">
        <f>1474+6205.78+2500-16092.87+5000+20000+10000+6000</f>
        <v>35086.909999999996</v>
      </c>
      <c r="E225" s="72"/>
      <c r="F225" s="172">
        <f t="shared" si="67"/>
        <v>91382.32</v>
      </c>
      <c r="G225" s="73">
        <f>-6500-49354.21-392.46</f>
        <v>-56246.67</v>
      </c>
      <c r="H225" s="217"/>
      <c r="I225" s="190">
        <f>F225+G225+H225</f>
        <v>35135.65000000001</v>
      </c>
      <c r="J225" s="239">
        <f>891.89-4250-500</f>
        <v>-3858.11</v>
      </c>
      <c r="K225" s="217"/>
      <c r="L225" s="190">
        <f>I225+J225+K225</f>
        <v>31277.540000000008</v>
      </c>
      <c r="M225" s="242">
        <f>-10410.83-473.46</f>
        <v>-10884.289999999999</v>
      </c>
      <c r="N225" s="217"/>
      <c r="O225" s="190">
        <f t="shared" si="70"/>
        <v>20393.250000000007</v>
      </c>
      <c r="P225" s="276">
        <f>2578.24</f>
        <v>2578.24</v>
      </c>
      <c r="Q225" s="273">
        <f t="shared" si="64"/>
        <v>22971.490000000005</v>
      </c>
    </row>
    <row r="226" spans="1:17" ht="12.75">
      <c r="A226" s="23" t="s">
        <v>50</v>
      </c>
      <c r="B226" s="60"/>
      <c r="C226" s="115">
        <f>SUM(C228:C235)</f>
        <v>740</v>
      </c>
      <c r="D226" s="105">
        <f aca="true" t="shared" si="71" ref="D226:Q226">SUM(D228:D235)</f>
        <v>7627.6</v>
      </c>
      <c r="E226" s="82">
        <f t="shared" si="71"/>
        <v>0</v>
      </c>
      <c r="F226" s="176">
        <f t="shared" si="71"/>
        <v>8367.6</v>
      </c>
      <c r="G226" s="81">
        <f t="shared" si="71"/>
        <v>12447.76</v>
      </c>
      <c r="H226" s="222">
        <f t="shared" si="71"/>
        <v>0</v>
      </c>
      <c r="I226" s="194">
        <f t="shared" si="71"/>
        <v>20815.36</v>
      </c>
      <c r="J226" s="245">
        <f t="shared" si="71"/>
        <v>-12.46</v>
      </c>
      <c r="K226" s="222">
        <f t="shared" si="71"/>
        <v>0</v>
      </c>
      <c r="L226" s="194">
        <f t="shared" si="71"/>
        <v>20802.9</v>
      </c>
      <c r="M226" s="245">
        <f t="shared" si="71"/>
        <v>6048.0599999999995</v>
      </c>
      <c r="N226" s="222">
        <f t="shared" si="71"/>
        <v>0</v>
      </c>
      <c r="O226" s="194">
        <f t="shared" si="71"/>
        <v>26850.96</v>
      </c>
      <c r="P226" s="313">
        <f t="shared" si="71"/>
        <v>8214.57</v>
      </c>
      <c r="Q226" s="279">
        <f t="shared" si="71"/>
        <v>35065.53</v>
      </c>
    </row>
    <row r="227" spans="1:17" ht="12.75">
      <c r="A227" s="18" t="s">
        <v>26</v>
      </c>
      <c r="B227" s="56"/>
      <c r="C227" s="111"/>
      <c r="D227" s="101"/>
      <c r="E227" s="72"/>
      <c r="F227" s="172"/>
      <c r="G227" s="73"/>
      <c r="H227" s="217"/>
      <c r="I227" s="189"/>
      <c r="J227" s="239"/>
      <c r="K227" s="217"/>
      <c r="L227" s="189"/>
      <c r="M227" s="239"/>
      <c r="N227" s="217"/>
      <c r="O227" s="189"/>
      <c r="P227" s="276"/>
      <c r="Q227" s="273"/>
    </row>
    <row r="228" spans="1:17" ht="12.75">
      <c r="A228" s="20" t="s">
        <v>77</v>
      </c>
      <c r="B228" s="56"/>
      <c r="C228" s="111">
        <v>740</v>
      </c>
      <c r="D228" s="101">
        <f>591+424.61</f>
        <v>1015.61</v>
      </c>
      <c r="E228" s="72"/>
      <c r="F228" s="172">
        <f aca="true" t="shared" si="72" ref="F228:F235">C228+D228+E228</f>
        <v>1755.6100000000001</v>
      </c>
      <c r="G228" s="73">
        <f>5567</f>
        <v>5567</v>
      </c>
      <c r="H228" s="217"/>
      <c r="I228" s="190">
        <f aca="true" t="shared" si="73" ref="I228:I235">F228+G228+H228</f>
        <v>7322.610000000001</v>
      </c>
      <c r="J228" s="239">
        <f>-12.46</f>
        <v>-12.46</v>
      </c>
      <c r="K228" s="217"/>
      <c r="L228" s="190">
        <f aca="true" t="shared" si="74" ref="L228:L235">I228+J228+K228</f>
        <v>7310.150000000001</v>
      </c>
      <c r="M228" s="239">
        <f>2851.31+3196.75</f>
        <v>6048.0599999999995</v>
      </c>
      <c r="N228" s="217"/>
      <c r="O228" s="190">
        <f aca="true" t="shared" si="75" ref="O228:O235">L228+M228+N228</f>
        <v>13358.21</v>
      </c>
      <c r="P228" s="276">
        <f>1442.9</f>
        <v>1442.9</v>
      </c>
      <c r="Q228" s="273">
        <f t="shared" si="64"/>
        <v>14801.109999999999</v>
      </c>
    </row>
    <row r="229" spans="1:17" ht="12.75" hidden="1">
      <c r="A229" s="20" t="s">
        <v>239</v>
      </c>
      <c r="B229" s="56" t="s">
        <v>241</v>
      </c>
      <c r="C229" s="111"/>
      <c r="D229" s="101"/>
      <c r="E229" s="72"/>
      <c r="F229" s="172">
        <f t="shared" si="72"/>
        <v>0</v>
      </c>
      <c r="G229" s="73"/>
      <c r="H229" s="217"/>
      <c r="I229" s="190">
        <f t="shared" si="73"/>
        <v>0</v>
      </c>
      <c r="J229" s="239"/>
      <c r="K229" s="217"/>
      <c r="L229" s="190">
        <f t="shared" si="74"/>
        <v>0</v>
      </c>
      <c r="M229" s="239"/>
      <c r="N229" s="217"/>
      <c r="O229" s="190">
        <f t="shared" si="75"/>
        <v>0</v>
      </c>
      <c r="P229" s="276"/>
      <c r="Q229" s="273">
        <f t="shared" si="64"/>
        <v>0</v>
      </c>
    </row>
    <row r="230" spans="1:17" ht="12.75">
      <c r="A230" s="20" t="s">
        <v>310</v>
      </c>
      <c r="B230" s="56"/>
      <c r="C230" s="111"/>
      <c r="D230" s="101">
        <f>1918.64</f>
        <v>1918.64</v>
      </c>
      <c r="E230" s="72"/>
      <c r="F230" s="172">
        <f t="shared" si="72"/>
        <v>1918.64</v>
      </c>
      <c r="G230" s="73"/>
      <c r="H230" s="217"/>
      <c r="I230" s="190">
        <f t="shared" si="73"/>
        <v>1918.64</v>
      </c>
      <c r="J230" s="239"/>
      <c r="K230" s="217"/>
      <c r="L230" s="190">
        <f t="shared" si="74"/>
        <v>1918.64</v>
      </c>
      <c r="M230" s="239"/>
      <c r="N230" s="217"/>
      <c r="O230" s="190">
        <f t="shared" si="75"/>
        <v>1918.64</v>
      </c>
      <c r="P230" s="276"/>
      <c r="Q230" s="273">
        <f t="shared" si="64"/>
        <v>1918.64</v>
      </c>
    </row>
    <row r="231" spans="1:17" ht="12.75">
      <c r="A231" s="20" t="s">
        <v>347</v>
      </c>
      <c r="B231" s="56"/>
      <c r="C231" s="111"/>
      <c r="D231" s="101"/>
      <c r="E231" s="72"/>
      <c r="F231" s="172">
        <f t="shared" si="72"/>
        <v>0</v>
      </c>
      <c r="G231" s="73">
        <f>216.76</f>
        <v>216.76</v>
      </c>
      <c r="H231" s="217"/>
      <c r="I231" s="190">
        <f t="shared" si="73"/>
        <v>216.76</v>
      </c>
      <c r="J231" s="239"/>
      <c r="K231" s="217"/>
      <c r="L231" s="190">
        <f t="shared" si="74"/>
        <v>216.76</v>
      </c>
      <c r="M231" s="239"/>
      <c r="N231" s="217"/>
      <c r="O231" s="190">
        <f t="shared" si="75"/>
        <v>216.76</v>
      </c>
      <c r="P231" s="276"/>
      <c r="Q231" s="273">
        <f t="shared" si="64"/>
        <v>216.76</v>
      </c>
    </row>
    <row r="232" spans="1:17" ht="12.75">
      <c r="A232" s="20" t="s">
        <v>377</v>
      </c>
      <c r="B232" s="56"/>
      <c r="C232" s="111"/>
      <c r="D232" s="101"/>
      <c r="E232" s="72"/>
      <c r="F232" s="172">
        <f t="shared" si="72"/>
        <v>0</v>
      </c>
      <c r="G232" s="73"/>
      <c r="H232" s="217"/>
      <c r="I232" s="190">
        <f t="shared" si="73"/>
        <v>0</v>
      </c>
      <c r="J232" s="239"/>
      <c r="K232" s="217"/>
      <c r="L232" s="190">
        <f t="shared" si="74"/>
        <v>0</v>
      </c>
      <c r="M232" s="239"/>
      <c r="N232" s="217"/>
      <c r="O232" s="190">
        <f t="shared" si="75"/>
        <v>0</v>
      </c>
      <c r="P232" s="276">
        <f>6500.83</f>
        <v>6500.83</v>
      </c>
      <c r="Q232" s="273">
        <f t="shared" si="64"/>
        <v>6500.83</v>
      </c>
    </row>
    <row r="233" spans="1:17" ht="12.75">
      <c r="A233" s="20" t="s">
        <v>378</v>
      </c>
      <c r="B233" s="56"/>
      <c r="C233" s="111"/>
      <c r="D233" s="101"/>
      <c r="E233" s="72"/>
      <c r="F233" s="172">
        <f t="shared" si="72"/>
        <v>0</v>
      </c>
      <c r="G233" s="73"/>
      <c r="H233" s="217"/>
      <c r="I233" s="190">
        <f t="shared" si="73"/>
        <v>0</v>
      </c>
      <c r="J233" s="239"/>
      <c r="K233" s="217"/>
      <c r="L233" s="190">
        <f t="shared" si="74"/>
        <v>0</v>
      </c>
      <c r="M233" s="239"/>
      <c r="N233" s="217"/>
      <c r="O233" s="190">
        <f t="shared" si="75"/>
        <v>0</v>
      </c>
      <c r="P233" s="276">
        <f>270.84</f>
        <v>270.84</v>
      </c>
      <c r="Q233" s="273">
        <f t="shared" si="64"/>
        <v>270.84</v>
      </c>
    </row>
    <row r="234" spans="1:17" ht="12.75" hidden="1">
      <c r="A234" s="20" t="s">
        <v>51</v>
      </c>
      <c r="B234" s="56"/>
      <c r="C234" s="111"/>
      <c r="D234" s="101"/>
      <c r="E234" s="72"/>
      <c r="F234" s="172">
        <f t="shared" si="72"/>
        <v>0</v>
      </c>
      <c r="G234" s="73"/>
      <c r="H234" s="217"/>
      <c r="I234" s="190">
        <f t="shared" si="73"/>
        <v>0</v>
      </c>
      <c r="J234" s="239"/>
      <c r="K234" s="225"/>
      <c r="L234" s="190">
        <f t="shared" si="74"/>
        <v>0</v>
      </c>
      <c r="M234" s="239"/>
      <c r="N234" s="217"/>
      <c r="O234" s="190">
        <f t="shared" si="75"/>
        <v>0</v>
      </c>
      <c r="P234" s="276"/>
      <c r="Q234" s="273">
        <f t="shared" si="64"/>
        <v>0</v>
      </c>
    </row>
    <row r="235" spans="1:17" ht="12.75">
      <c r="A235" s="26" t="s">
        <v>69</v>
      </c>
      <c r="B235" s="59"/>
      <c r="C235" s="163"/>
      <c r="D235" s="154">
        <f>4693.35</f>
        <v>4693.35</v>
      </c>
      <c r="E235" s="80"/>
      <c r="F235" s="177">
        <f t="shared" si="72"/>
        <v>4693.35</v>
      </c>
      <c r="G235" s="208">
        <f>6664</f>
        <v>6664</v>
      </c>
      <c r="H235" s="223"/>
      <c r="I235" s="195">
        <f t="shared" si="73"/>
        <v>11357.35</v>
      </c>
      <c r="J235" s="246"/>
      <c r="K235" s="264"/>
      <c r="L235" s="195">
        <f t="shared" si="74"/>
        <v>11357.35</v>
      </c>
      <c r="M235" s="246"/>
      <c r="N235" s="223"/>
      <c r="O235" s="195">
        <f t="shared" si="75"/>
        <v>11357.35</v>
      </c>
      <c r="P235" s="314"/>
      <c r="Q235" s="280">
        <f t="shared" si="64"/>
        <v>11357.35</v>
      </c>
    </row>
    <row r="236" spans="1:17" ht="12.75">
      <c r="A236" s="13" t="s">
        <v>78</v>
      </c>
      <c r="B236" s="60"/>
      <c r="C236" s="110">
        <f>C237+C250</f>
        <v>753600.5</v>
      </c>
      <c r="D236" s="91">
        <f aca="true" t="shared" si="76" ref="D236:Q236">D237+D250</f>
        <v>66483.95</v>
      </c>
      <c r="E236" s="71">
        <f t="shared" si="76"/>
        <v>0</v>
      </c>
      <c r="F236" s="171">
        <f t="shared" si="76"/>
        <v>820084.45</v>
      </c>
      <c r="G236" s="70">
        <f t="shared" si="76"/>
        <v>-65615.41</v>
      </c>
      <c r="H236" s="216">
        <f t="shared" si="76"/>
        <v>0</v>
      </c>
      <c r="I236" s="189">
        <f t="shared" si="76"/>
        <v>754469.0399999999</v>
      </c>
      <c r="J236" s="238">
        <f t="shared" si="76"/>
        <v>1000</v>
      </c>
      <c r="K236" s="216">
        <f t="shared" si="76"/>
        <v>0</v>
      </c>
      <c r="L236" s="189">
        <f t="shared" si="76"/>
        <v>755469.0399999999</v>
      </c>
      <c r="M236" s="238">
        <f t="shared" si="76"/>
        <v>-83732</v>
      </c>
      <c r="N236" s="216">
        <f t="shared" si="76"/>
        <v>-112376.97</v>
      </c>
      <c r="O236" s="189">
        <f t="shared" si="76"/>
        <v>559360.0700000001</v>
      </c>
      <c r="P236" s="308">
        <f t="shared" si="76"/>
        <v>281.56</v>
      </c>
      <c r="Q236" s="272">
        <f t="shared" si="76"/>
        <v>559641.63</v>
      </c>
    </row>
    <row r="237" spans="1:17" ht="12.75">
      <c r="A237" s="22" t="s">
        <v>46</v>
      </c>
      <c r="B237" s="60"/>
      <c r="C237" s="114">
        <f>SUM(C239:C249)</f>
        <v>753600.5</v>
      </c>
      <c r="D237" s="104">
        <f aca="true" t="shared" si="77" ref="D237:Q237">SUM(D239:D249)</f>
        <v>65515</v>
      </c>
      <c r="E237" s="79">
        <f t="shared" si="77"/>
        <v>0</v>
      </c>
      <c r="F237" s="175">
        <f t="shared" si="77"/>
        <v>819115.5</v>
      </c>
      <c r="G237" s="78">
        <f t="shared" si="77"/>
        <v>-65615.41</v>
      </c>
      <c r="H237" s="221">
        <f t="shared" si="77"/>
        <v>0</v>
      </c>
      <c r="I237" s="193">
        <f t="shared" si="77"/>
        <v>753500.09</v>
      </c>
      <c r="J237" s="244">
        <f t="shared" si="77"/>
        <v>-59000</v>
      </c>
      <c r="K237" s="221">
        <f t="shared" si="77"/>
        <v>-8000</v>
      </c>
      <c r="L237" s="193">
        <f t="shared" si="77"/>
        <v>686500.09</v>
      </c>
      <c r="M237" s="244">
        <f t="shared" si="77"/>
        <v>-33732</v>
      </c>
      <c r="N237" s="221">
        <f t="shared" si="77"/>
        <v>-191376.97</v>
      </c>
      <c r="O237" s="193">
        <f t="shared" si="77"/>
        <v>461391.12000000005</v>
      </c>
      <c r="P237" s="311">
        <f t="shared" si="77"/>
        <v>281.56</v>
      </c>
      <c r="Q237" s="278">
        <f t="shared" si="77"/>
        <v>461672.68000000005</v>
      </c>
    </row>
    <row r="238" spans="1:17" ht="12.75">
      <c r="A238" s="18" t="s">
        <v>26</v>
      </c>
      <c r="B238" s="56"/>
      <c r="C238" s="111"/>
      <c r="D238" s="101"/>
      <c r="E238" s="72"/>
      <c r="F238" s="171"/>
      <c r="G238" s="73"/>
      <c r="H238" s="217"/>
      <c r="I238" s="189"/>
      <c r="J238" s="239"/>
      <c r="K238" s="217"/>
      <c r="L238" s="189"/>
      <c r="M238" s="239"/>
      <c r="N238" s="217"/>
      <c r="O238" s="189"/>
      <c r="P238" s="276"/>
      <c r="Q238" s="273"/>
    </row>
    <row r="239" spans="1:17" ht="12.75">
      <c r="A239" s="15" t="s">
        <v>66</v>
      </c>
      <c r="B239" s="56"/>
      <c r="C239" s="111">
        <v>371000</v>
      </c>
      <c r="D239" s="101">
        <f>1095</f>
        <v>1095</v>
      </c>
      <c r="E239" s="72"/>
      <c r="F239" s="172">
        <f aca="true" t="shared" si="78" ref="F239:F249">C239+D239+E239</f>
        <v>372095</v>
      </c>
      <c r="G239" s="73">
        <f>-70000</f>
        <v>-70000</v>
      </c>
      <c r="H239" s="217"/>
      <c r="I239" s="190">
        <f aca="true" t="shared" si="79" ref="I239:I249">F239+G239+H239</f>
        <v>302095</v>
      </c>
      <c r="J239" s="239"/>
      <c r="K239" s="217"/>
      <c r="L239" s="190">
        <f aca="true" t="shared" si="80" ref="L239:L249">I239+J239+K239</f>
        <v>302095</v>
      </c>
      <c r="M239" s="239">
        <f>-732</f>
        <v>-732</v>
      </c>
      <c r="N239" s="217">
        <f>-3616-33000</f>
        <v>-36616</v>
      </c>
      <c r="O239" s="190">
        <f aca="true" t="shared" si="81" ref="O239:O249">L239+M239+N239</f>
        <v>264747</v>
      </c>
      <c r="P239" s="276"/>
      <c r="Q239" s="273">
        <f>O239+P239</f>
        <v>264747</v>
      </c>
    </row>
    <row r="240" spans="1:17" ht="12.75" hidden="1">
      <c r="A240" s="57" t="s">
        <v>188</v>
      </c>
      <c r="B240" s="56"/>
      <c r="C240" s="111"/>
      <c r="D240" s="101"/>
      <c r="E240" s="72"/>
      <c r="F240" s="172">
        <f t="shared" si="78"/>
        <v>0</v>
      </c>
      <c r="G240" s="73"/>
      <c r="H240" s="217"/>
      <c r="I240" s="190">
        <f t="shared" si="79"/>
        <v>0</v>
      </c>
      <c r="J240" s="239"/>
      <c r="K240" s="217"/>
      <c r="L240" s="190">
        <f t="shared" si="80"/>
        <v>0</v>
      </c>
      <c r="M240" s="239"/>
      <c r="N240" s="217"/>
      <c r="O240" s="190">
        <f t="shared" si="81"/>
        <v>0</v>
      </c>
      <c r="P240" s="276"/>
      <c r="Q240" s="273">
        <f aca="true" t="shared" si="82" ref="Q240:Q248">O240+P240</f>
        <v>0</v>
      </c>
    </row>
    <row r="241" spans="1:17" ht="12.75">
      <c r="A241" s="20" t="s">
        <v>59</v>
      </c>
      <c r="B241" s="56"/>
      <c r="C241" s="111">
        <v>231476</v>
      </c>
      <c r="D241" s="101">
        <f>60000</f>
        <v>60000</v>
      </c>
      <c r="E241" s="72">
        <f>32760</f>
        <v>32760</v>
      </c>
      <c r="F241" s="172">
        <f t="shared" si="78"/>
        <v>324236</v>
      </c>
      <c r="G241" s="73"/>
      <c r="H241" s="217"/>
      <c r="I241" s="190">
        <f t="shared" si="79"/>
        <v>324236</v>
      </c>
      <c r="J241" s="239"/>
      <c r="K241" s="217">
        <f>500</f>
        <v>500</v>
      </c>
      <c r="L241" s="190">
        <f t="shared" si="80"/>
        <v>324736</v>
      </c>
      <c r="M241" s="239">
        <f>-14000</f>
        <v>-14000</v>
      </c>
      <c r="N241" s="217">
        <f>-108760.97-46000</f>
        <v>-154760.97</v>
      </c>
      <c r="O241" s="190">
        <f t="shared" si="81"/>
        <v>155975.03</v>
      </c>
      <c r="P241" s="276"/>
      <c r="Q241" s="273">
        <f t="shared" si="82"/>
        <v>155975.03</v>
      </c>
    </row>
    <row r="242" spans="1:17" ht="12.75" hidden="1">
      <c r="A242" s="20" t="s">
        <v>157</v>
      </c>
      <c r="B242" s="56"/>
      <c r="C242" s="111">
        <v>0</v>
      </c>
      <c r="D242" s="141"/>
      <c r="E242" s="72"/>
      <c r="F242" s="172">
        <f t="shared" si="78"/>
        <v>0</v>
      </c>
      <c r="G242" s="73"/>
      <c r="H242" s="217"/>
      <c r="I242" s="190">
        <f t="shared" si="79"/>
        <v>0</v>
      </c>
      <c r="J242" s="239"/>
      <c r="K242" s="217"/>
      <c r="L242" s="190">
        <f t="shared" si="80"/>
        <v>0</v>
      </c>
      <c r="M242" s="239"/>
      <c r="N242" s="217"/>
      <c r="O242" s="190">
        <f t="shared" si="81"/>
        <v>0</v>
      </c>
      <c r="P242" s="276"/>
      <c r="Q242" s="273">
        <f t="shared" si="82"/>
        <v>0</v>
      </c>
    </row>
    <row r="243" spans="1:17" ht="12.75">
      <c r="A243" s="20" t="s">
        <v>48</v>
      </c>
      <c r="B243" s="56"/>
      <c r="C243" s="116">
        <v>151124.5</v>
      </c>
      <c r="D243" s="101">
        <f>100+100+1000</f>
        <v>1200</v>
      </c>
      <c r="E243" s="72">
        <f>-32760</f>
        <v>-32760</v>
      </c>
      <c r="F243" s="172">
        <f t="shared" si="78"/>
        <v>119564.5</v>
      </c>
      <c r="G243" s="73">
        <f>478+380.76</f>
        <v>858.76</v>
      </c>
      <c r="H243" s="217"/>
      <c r="I243" s="190">
        <f t="shared" si="79"/>
        <v>120423.26</v>
      </c>
      <c r="J243" s="239">
        <f>-60000+1000</f>
        <v>-59000</v>
      </c>
      <c r="K243" s="217">
        <f>-500-8000</f>
        <v>-8500</v>
      </c>
      <c r="L243" s="190">
        <f t="shared" si="80"/>
        <v>52923.259999999995</v>
      </c>
      <c r="M243" s="239">
        <f>-6000-3000-10000</f>
        <v>-19000</v>
      </c>
      <c r="N243" s="217"/>
      <c r="O243" s="190">
        <f t="shared" si="81"/>
        <v>33923.259999999995</v>
      </c>
      <c r="P243" s="276"/>
      <c r="Q243" s="273">
        <f t="shared" si="82"/>
        <v>33923.259999999995</v>
      </c>
    </row>
    <row r="244" spans="1:17" ht="12.75">
      <c r="A244" s="20" t="s">
        <v>70</v>
      </c>
      <c r="B244" s="56"/>
      <c r="C244" s="116"/>
      <c r="D244" s="101"/>
      <c r="E244" s="72"/>
      <c r="F244" s="172">
        <f t="shared" si="78"/>
        <v>0</v>
      </c>
      <c r="G244" s="73"/>
      <c r="H244" s="217"/>
      <c r="I244" s="190">
        <f t="shared" si="79"/>
        <v>0</v>
      </c>
      <c r="J244" s="239"/>
      <c r="K244" s="217"/>
      <c r="L244" s="190">
        <f t="shared" si="80"/>
        <v>0</v>
      </c>
      <c r="M244" s="239"/>
      <c r="N244" s="217"/>
      <c r="O244" s="190">
        <f t="shared" si="81"/>
        <v>0</v>
      </c>
      <c r="P244" s="276">
        <f>66.55+1.01</f>
        <v>67.56</v>
      </c>
      <c r="Q244" s="273">
        <f t="shared" si="82"/>
        <v>67.56</v>
      </c>
    </row>
    <row r="245" spans="1:17" ht="12.75">
      <c r="A245" s="36" t="s">
        <v>353</v>
      </c>
      <c r="B245" s="56">
        <v>35026</v>
      </c>
      <c r="C245" s="116"/>
      <c r="D245" s="101">
        <f>1096+224</f>
        <v>1320</v>
      </c>
      <c r="E245" s="72"/>
      <c r="F245" s="172">
        <f t="shared" si="78"/>
        <v>1320</v>
      </c>
      <c r="G245" s="73"/>
      <c r="H245" s="217"/>
      <c r="I245" s="190">
        <f t="shared" si="79"/>
        <v>1320</v>
      </c>
      <c r="J245" s="239"/>
      <c r="K245" s="217"/>
      <c r="L245" s="190">
        <f t="shared" si="80"/>
        <v>1320</v>
      </c>
      <c r="M245" s="239"/>
      <c r="N245" s="217"/>
      <c r="O245" s="190">
        <f t="shared" si="81"/>
        <v>1320</v>
      </c>
      <c r="P245" s="276"/>
      <c r="Q245" s="273">
        <f t="shared" si="82"/>
        <v>1320</v>
      </c>
    </row>
    <row r="246" spans="1:17" ht="12.75">
      <c r="A246" s="20" t="s">
        <v>246</v>
      </c>
      <c r="B246" s="56">
        <v>35018</v>
      </c>
      <c r="C246" s="116"/>
      <c r="D246" s="101">
        <f>1900</f>
        <v>1900</v>
      </c>
      <c r="E246" s="72"/>
      <c r="F246" s="172">
        <f t="shared" si="78"/>
        <v>1900</v>
      </c>
      <c r="G246" s="73">
        <f>3525.83</f>
        <v>3525.83</v>
      </c>
      <c r="H246" s="217"/>
      <c r="I246" s="190">
        <f t="shared" si="79"/>
        <v>5425.83</v>
      </c>
      <c r="J246" s="239"/>
      <c r="K246" s="217"/>
      <c r="L246" s="190">
        <f t="shared" si="80"/>
        <v>5425.83</v>
      </c>
      <c r="M246" s="239"/>
      <c r="N246" s="217"/>
      <c r="O246" s="190">
        <f t="shared" si="81"/>
        <v>5425.83</v>
      </c>
      <c r="P246" s="276"/>
      <c r="Q246" s="273">
        <f t="shared" si="82"/>
        <v>5425.83</v>
      </c>
    </row>
    <row r="247" spans="1:17" ht="12.75" hidden="1">
      <c r="A247" s="20" t="s">
        <v>271</v>
      </c>
      <c r="B247" s="56"/>
      <c r="C247" s="116"/>
      <c r="D247" s="101"/>
      <c r="E247" s="72"/>
      <c r="F247" s="172">
        <f t="shared" si="78"/>
        <v>0</v>
      </c>
      <c r="G247" s="73"/>
      <c r="H247" s="217"/>
      <c r="I247" s="190">
        <f t="shared" si="79"/>
        <v>0</v>
      </c>
      <c r="J247" s="239"/>
      <c r="K247" s="217"/>
      <c r="L247" s="190">
        <f t="shared" si="80"/>
        <v>0</v>
      </c>
      <c r="M247" s="239"/>
      <c r="N247" s="217"/>
      <c r="O247" s="190">
        <f t="shared" si="81"/>
        <v>0</v>
      </c>
      <c r="P247" s="276"/>
      <c r="Q247" s="273">
        <f t="shared" si="82"/>
        <v>0</v>
      </c>
    </row>
    <row r="248" spans="1:17" ht="12.75">
      <c r="A248" s="36" t="s">
        <v>376</v>
      </c>
      <c r="B248" s="56"/>
      <c r="C248" s="116"/>
      <c r="D248" s="101"/>
      <c r="E248" s="72"/>
      <c r="F248" s="172"/>
      <c r="G248" s="73"/>
      <c r="H248" s="217"/>
      <c r="I248" s="190"/>
      <c r="J248" s="239"/>
      <c r="K248" s="217"/>
      <c r="L248" s="190">
        <f t="shared" si="80"/>
        <v>0</v>
      </c>
      <c r="M248" s="239"/>
      <c r="N248" s="217"/>
      <c r="O248" s="190">
        <f t="shared" si="81"/>
        <v>0</v>
      </c>
      <c r="P248" s="276">
        <f>214</f>
        <v>214</v>
      </c>
      <c r="Q248" s="273">
        <f t="shared" si="82"/>
        <v>214</v>
      </c>
    </row>
    <row r="249" spans="1:17" ht="12.75" hidden="1">
      <c r="A249" s="20" t="s">
        <v>79</v>
      </c>
      <c r="B249" s="56"/>
      <c r="C249" s="111"/>
      <c r="D249" s="101"/>
      <c r="E249" s="72"/>
      <c r="F249" s="172">
        <f t="shared" si="78"/>
        <v>0</v>
      </c>
      <c r="G249" s="73"/>
      <c r="H249" s="217"/>
      <c r="I249" s="190">
        <f t="shared" si="79"/>
        <v>0</v>
      </c>
      <c r="J249" s="239"/>
      <c r="K249" s="217"/>
      <c r="L249" s="190">
        <f t="shared" si="80"/>
        <v>0</v>
      </c>
      <c r="M249" s="239"/>
      <c r="N249" s="217"/>
      <c r="O249" s="190">
        <f t="shared" si="81"/>
        <v>0</v>
      </c>
      <c r="P249" s="276"/>
      <c r="Q249" s="273">
        <f>O249+P249</f>
        <v>0</v>
      </c>
    </row>
    <row r="250" spans="1:17" ht="12.75">
      <c r="A250" s="22" t="s">
        <v>50</v>
      </c>
      <c r="B250" s="60"/>
      <c r="C250" s="114">
        <f>SUM(C252:C256)</f>
        <v>0</v>
      </c>
      <c r="D250" s="104">
        <f aca="true" t="shared" si="83" ref="D250:Q250">SUM(D252:D256)</f>
        <v>968.95</v>
      </c>
      <c r="E250" s="79">
        <f t="shared" si="83"/>
        <v>0</v>
      </c>
      <c r="F250" s="175">
        <f t="shared" si="83"/>
        <v>968.95</v>
      </c>
      <c r="G250" s="78">
        <f t="shared" si="83"/>
        <v>0</v>
      </c>
      <c r="H250" s="221">
        <f t="shared" si="83"/>
        <v>0</v>
      </c>
      <c r="I250" s="193">
        <f t="shared" si="83"/>
        <v>968.95</v>
      </c>
      <c r="J250" s="244">
        <f t="shared" si="83"/>
        <v>60000</v>
      </c>
      <c r="K250" s="221">
        <f t="shared" si="83"/>
        <v>8000</v>
      </c>
      <c r="L250" s="193">
        <f t="shared" si="83"/>
        <v>68968.95</v>
      </c>
      <c r="M250" s="244">
        <f t="shared" si="83"/>
        <v>-50000</v>
      </c>
      <c r="N250" s="221">
        <f t="shared" si="83"/>
        <v>79000</v>
      </c>
      <c r="O250" s="193">
        <f t="shared" si="83"/>
        <v>97968.95</v>
      </c>
      <c r="P250" s="311">
        <f t="shared" si="83"/>
        <v>0</v>
      </c>
      <c r="Q250" s="278">
        <f t="shared" si="83"/>
        <v>97968.95</v>
      </c>
    </row>
    <row r="251" spans="1:17" ht="12.75">
      <c r="A251" s="18" t="s">
        <v>26</v>
      </c>
      <c r="B251" s="56"/>
      <c r="C251" s="111"/>
      <c r="D251" s="101"/>
      <c r="E251" s="72"/>
      <c r="F251" s="172"/>
      <c r="G251" s="73"/>
      <c r="H251" s="217"/>
      <c r="I251" s="190"/>
      <c r="J251" s="239"/>
      <c r="K251" s="217"/>
      <c r="L251" s="190"/>
      <c r="M251" s="239"/>
      <c r="N251" s="217"/>
      <c r="O251" s="190"/>
      <c r="P251" s="276"/>
      <c r="Q251" s="273"/>
    </row>
    <row r="252" spans="1:17" ht="12.75" hidden="1">
      <c r="A252" s="20" t="s">
        <v>51</v>
      </c>
      <c r="B252" s="56"/>
      <c r="C252" s="111">
        <v>0</v>
      </c>
      <c r="D252" s="101"/>
      <c r="E252" s="72"/>
      <c r="F252" s="172">
        <f>C252+D252+E252</f>
        <v>0</v>
      </c>
      <c r="G252" s="73"/>
      <c r="H252" s="217"/>
      <c r="I252" s="190">
        <f>F252+G252+H252</f>
        <v>0</v>
      </c>
      <c r="J252" s="239">
        <f>60000</f>
        <v>60000</v>
      </c>
      <c r="K252" s="217"/>
      <c r="L252" s="190">
        <f>I252+J252+K252</f>
        <v>60000</v>
      </c>
      <c r="M252" s="239">
        <f>-60000</f>
        <v>-60000</v>
      </c>
      <c r="N252" s="217"/>
      <c r="O252" s="190">
        <f>L252+M252+N252</f>
        <v>0</v>
      </c>
      <c r="P252" s="276"/>
      <c r="Q252" s="273">
        <f>O252+P252</f>
        <v>0</v>
      </c>
    </row>
    <row r="253" spans="1:17" ht="12.75">
      <c r="A253" s="20" t="s">
        <v>215</v>
      </c>
      <c r="B253" s="56"/>
      <c r="C253" s="111"/>
      <c r="D253" s="141">
        <f>968.95</f>
        <v>968.95</v>
      </c>
      <c r="E253" s="72"/>
      <c r="F253" s="172">
        <f>C253+D253+E253</f>
        <v>968.95</v>
      </c>
      <c r="G253" s="73"/>
      <c r="H253" s="217"/>
      <c r="I253" s="190">
        <f>F253+G253+H253</f>
        <v>968.95</v>
      </c>
      <c r="J253" s="239"/>
      <c r="K253" s="217">
        <f>8000</f>
        <v>8000</v>
      </c>
      <c r="L253" s="190">
        <f>I253+J253+K253</f>
        <v>8968.95</v>
      </c>
      <c r="M253" s="239"/>
      <c r="N253" s="217">
        <f>46000</f>
        <v>46000</v>
      </c>
      <c r="O253" s="190">
        <f>L253+M253+N253</f>
        <v>54968.95</v>
      </c>
      <c r="P253" s="276"/>
      <c r="Q253" s="273">
        <f>O253+P253</f>
        <v>54968.95</v>
      </c>
    </row>
    <row r="254" spans="1:17" ht="12.75">
      <c r="A254" s="26" t="s">
        <v>77</v>
      </c>
      <c r="B254" s="59"/>
      <c r="C254" s="163"/>
      <c r="D254" s="154"/>
      <c r="E254" s="80"/>
      <c r="F254" s="177">
        <f>C254+D254+E254</f>
        <v>0</v>
      </c>
      <c r="G254" s="208"/>
      <c r="H254" s="223"/>
      <c r="I254" s="195">
        <f>F254+G254+H254</f>
        <v>0</v>
      </c>
      <c r="J254" s="246"/>
      <c r="K254" s="223"/>
      <c r="L254" s="195">
        <f>I254+J254+K254</f>
        <v>0</v>
      </c>
      <c r="M254" s="246">
        <f>10000</f>
        <v>10000</v>
      </c>
      <c r="N254" s="223">
        <f>33000</f>
        <v>33000</v>
      </c>
      <c r="O254" s="195">
        <f>L254+M254+N254</f>
        <v>43000</v>
      </c>
      <c r="P254" s="315"/>
      <c r="Q254" s="280">
        <f>O254+P254</f>
        <v>43000</v>
      </c>
    </row>
    <row r="255" spans="1:17" ht="12.75" hidden="1">
      <c r="A255" s="20" t="s">
        <v>190</v>
      </c>
      <c r="B255" s="56"/>
      <c r="C255" s="111"/>
      <c r="D255" s="101"/>
      <c r="E255" s="72"/>
      <c r="F255" s="172">
        <f>C255+D255+E255</f>
        <v>0</v>
      </c>
      <c r="G255" s="73"/>
      <c r="H255" s="217"/>
      <c r="I255" s="190">
        <f>F255+G255+H255</f>
        <v>0</v>
      </c>
      <c r="J255" s="239"/>
      <c r="K255" s="217"/>
      <c r="L255" s="190">
        <f>I255+J255+K255</f>
        <v>0</v>
      </c>
      <c r="M255" s="239"/>
      <c r="N255" s="217"/>
      <c r="O255" s="190">
        <f>L255+M255+N255</f>
        <v>0</v>
      </c>
      <c r="P255" s="276"/>
      <c r="Q255" s="273">
        <f>O255+P255</f>
        <v>0</v>
      </c>
    </row>
    <row r="256" spans="1:17" ht="12.75" hidden="1">
      <c r="A256" s="19" t="s">
        <v>70</v>
      </c>
      <c r="B256" s="59"/>
      <c r="C256" s="163"/>
      <c r="D256" s="154"/>
      <c r="E256" s="80"/>
      <c r="F256" s="177">
        <f>C256+D256+E256</f>
        <v>0</v>
      </c>
      <c r="G256" s="208"/>
      <c r="H256" s="223"/>
      <c r="I256" s="195">
        <f>F256+G256+H256</f>
        <v>0</v>
      </c>
      <c r="J256" s="246"/>
      <c r="K256" s="223"/>
      <c r="L256" s="195">
        <f>I256+J256+K256</f>
        <v>0</v>
      </c>
      <c r="M256" s="246"/>
      <c r="N256" s="223"/>
      <c r="O256" s="195">
        <f>L256+M256+N256</f>
        <v>0</v>
      </c>
      <c r="P256" s="314"/>
      <c r="Q256" s="280">
        <f>O256+P256</f>
        <v>0</v>
      </c>
    </row>
    <row r="257" spans="1:17" ht="12.75">
      <c r="A257" s="27" t="s">
        <v>277</v>
      </c>
      <c r="B257" s="61"/>
      <c r="C257" s="112">
        <f>C258+C277</f>
        <v>264482.6</v>
      </c>
      <c r="D257" s="102">
        <f aca="true" t="shared" si="84" ref="D257:Q257">D258+D277</f>
        <v>43534.76</v>
      </c>
      <c r="E257" s="75">
        <f t="shared" si="84"/>
        <v>0</v>
      </c>
      <c r="F257" s="173">
        <f t="shared" si="84"/>
        <v>308017.36</v>
      </c>
      <c r="G257" s="74">
        <f t="shared" si="84"/>
        <v>14315.630000000001</v>
      </c>
      <c r="H257" s="219">
        <f t="shared" si="84"/>
        <v>0</v>
      </c>
      <c r="I257" s="191">
        <f t="shared" si="84"/>
        <v>322332.99000000005</v>
      </c>
      <c r="J257" s="241">
        <f t="shared" si="84"/>
        <v>17879.300000000003</v>
      </c>
      <c r="K257" s="219">
        <f t="shared" si="84"/>
        <v>988</v>
      </c>
      <c r="L257" s="191">
        <f t="shared" si="84"/>
        <v>341200.29000000004</v>
      </c>
      <c r="M257" s="241">
        <f t="shared" si="84"/>
        <v>6827.16</v>
      </c>
      <c r="N257" s="219">
        <f t="shared" si="84"/>
        <v>455.3</v>
      </c>
      <c r="O257" s="191">
        <f t="shared" si="84"/>
        <v>348482.75000000006</v>
      </c>
      <c r="P257" s="309">
        <f t="shared" si="84"/>
        <v>3134.94</v>
      </c>
      <c r="Q257" s="275">
        <f t="shared" si="84"/>
        <v>351617.69000000006</v>
      </c>
    </row>
    <row r="258" spans="1:17" ht="12.75">
      <c r="A258" s="22" t="s">
        <v>46</v>
      </c>
      <c r="B258" s="60"/>
      <c r="C258" s="114">
        <f>SUM(C260:C276)</f>
        <v>261632.59999999998</v>
      </c>
      <c r="D258" s="104">
        <f aca="true" t="shared" si="85" ref="D258:Q258">SUM(D260:D276)</f>
        <v>41578.69</v>
      </c>
      <c r="E258" s="79">
        <f t="shared" si="85"/>
        <v>0</v>
      </c>
      <c r="F258" s="175">
        <f t="shared" si="85"/>
        <v>303211.29</v>
      </c>
      <c r="G258" s="78">
        <f t="shared" si="85"/>
        <v>10105.16</v>
      </c>
      <c r="H258" s="221">
        <f t="shared" si="85"/>
        <v>0</v>
      </c>
      <c r="I258" s="193">
        <f t="shared" si="85"/>
        <v>313316.45000000007</v>
      </c>
      <c r="J258" s="244">
        <f t="shared" si="85"/>
        <v>-1452.5299999999997</v>
      </c>
      <c r="K258" s="221">
        <f t="shared" si="85"/>
        <v>988</v>
      </c>
      <c r="L258" s="193">
        <f t="shared" si="85"/>
        <v>312851.92000000004</v>
      </c>
      <c r="M258" s="244">
        <f t="shared" si="85"/>
        <v>6419.14</v>
      </c>
      <c r="N258" s="221">
        <f t="shared" si="85"/>
        <v>455.3</v>
      </c>
      <c r="O258" s="193">
        <f t="shared" si="85"/>
        <v>319726.36000000004</v>
      </c>
      <c r="P258" s="311">
        <f t="shared" si="85"/>
        <v>491.9</v>
      </c>
      <c r="Q258" s="278">
        <f t="shared" si="85"/>
        <v>320218.26000000007</v>
      </c>
    </row>
    <row r="259" spans="1:17" ht="12.75">
      <c r="A259" s="18" t="s">
        <v>26</v>
      </c>
      <c r="B259" s="56"/>
      <c r="C259" s="111"/>
      <c r="D259" s="101"/>
      <c r="E259" s="72"/>
      <c r="F259" s="172"/>
      <c r="G259" s="73"/>
      <c r="H259" s="217"/>
      <c r="I259" s="190"/>
      <c r="J259" s="239"/>
      <c r="K259" s="217"/>
      <c r="L259" s="190"/>
      <c r="M259" s="239"/>
      <c r="N259" s="217"/>
      <c r="O259" s="190"/>
      <c r="P259" s="276"/>
      <c r="Q259" s="273"/>
    </row>
    <row r="260" spans="1:17" ht="12.75">
      <c r="A260" s="20" t="s">
        <v>66</v>
      </c>
      <c r="B260" s="56"/>
      <c r="C260" s="111">
        <v>216759.6</v>
      </c>
      <c r="D260" s="101">
        <f>6097.55+16268.2</f>
        <v>22365.75</v>
      </c>
      <c r="E260" s="72">
        <f>308.2</f>
        <v>308.2</v>
      </c>
      <c r="F260" s="172">
        <f aca="true" t="shared" si="86" ref="F260:F276">C260+D260+E260</f>
        <v>239433.55000000002</v>
      </c>
      <c r="G260" s="73">
        <f>315.1+150+6580.19+49.66</f>
        <v>7094.95</v>
      </c>
      <c r="H260" s="217"/>
      <c r="I260" s="190">
        <f>F260+G260+H260</f>
        <v>246528.50000000003</v>
      </c>
      <c r="J260" s="239">
        <f>-5000-32.55+1494.2</f>
        <v>-3538.3500000000004</v>
      </c>
      <c r="K260" s="217"/>
      <c r="L260" s="190">
        <f>I260+J260+K260</f>
        <v>242990.15000000002</v>
      </c>
      <c r="M260" s="239">
        <f>36.5+4832.2</f>
        <v>4868.7</v>
      </c>
      <c r="N260" s="217">
        <f>455.3</f>
        <v>455.3</v>
      </c>
      <c r="O260" s="190">
        <f>L260+M260+N260</f>
        <v>248314.15000000002</v>
      </c>
      <c r="P260" s="276">
        <f>-100</f>
        <v>-100</v>
      </c>
      <c r="Q260" s="273">
        <f aca="true" t="shared" si="87" ref="Q260:Q276">O260+P260</f>
        <v>248214.15000000002</v>
      </c>
    </row>
    <row r="261" spans="1:17" ht="12.75">
      <c r="A261" s="20" t="s">
        <v>48</v>
      </c>
      <c r="B261" s="56"/>
      <c r="C261" s="111">
        <v>41264.7</v>
      </c>
      <c r="D261" s="101">
        <f>-6327.4-1620+4067.47+1815.87+5209+550+3000+2500</f>
        <v>9194.94</v>
      </c>
      <c r="E261" s="72">
        <f>-308.2</f>
        <v>-308.2</v>
      </c>
      <c r="F261" s="172">
        <f t="shared" si="86"/>
        <v>50151.44</v>
      </c>
      <c r="G261" s="73">
        <f>-291.8-49.66</f>
        <v>-341.46000000000004</v>
      </c>
      <c r="H261" s="217"/>
      <c r="I261" s="190">
        <f aca="true" t="shared" si="88" ref="I261:I276">F261+G261+H261</f>
        <v>49809.98</v>
      </c>
      <c r="J261" s="239">
        <f>32.55-6000+150</f>
        <v>-5817.45</v>
      </c>
      <c r="K261" s="217">
        <f>988</f>
        <v>988</v>
      </c>
      <c r="L261" s="190">
        <f aca="true" t="shared" si="89" ref="L261:L276">I261+J261+K261</f>
        <v>44980.530000000006</v>
      </c>
      <c r="M261" s="239">
        <f>-36.5-2000</f>
        <v>-2036.5</v>
      </c>
      <c r="N261" s="217"/>
      <c r="O261" s="190">
        <f aca="true" t="shared" si="90" ref="O261:O276">L261+M261+N261</f>
        <v>42944.030000000006</v>
      </c>
      <c r="P261" s="276">
        <f>100</f>
        <v>100</v>
      </c>
      <c r="Q261" s="273">
        <f t="shared" si="87"/>
        <v>43044.030000000006</v>
      </c>
    </row>
    <row r="262" spans="1:17" ht="12.75">
      <c r="A262" s="20" t="s">
        <v>121</v>
      </c>
      <c r="B262" s="56"/>
      <c r="C262" s="111">
        <v>3608.3</v>
      </c>
      <c r="D262" s="101"/>
      <c r="E262" s="72">
        <f>683.7</f>
        <v>683.7</v>
      </c>
      <c r="F262" s="172">
        <f t="shared" si="86"/>
        <v>4292</v>
      </c>
      <c r="G262" s="73"/>
      <c r="H262" s="217"/>
      <c r="I262" s="190">
        <f t="shared" si="88"/>
        <v>4292</v>
      </c>
      <c r="J262" s="239"/>
      <c r="K262" s="217"/>
      <c r="L262" s="190">
        <f t="shared" si="89"/>
        <v>4292</v>
      </c>
      <c r="M262" s="239"/>
      <c r="N262" s="217"/>
      <c r="O262" s="190">
        <f t="shared" si="90"/>
        <v>4292</v>
      </c>
      <c r="P262" s="276"/>
      <c r="Q262" s="273">
        <f t="shared" si="87"/>
        <v>4292</v>
      </c>
    </row>
    <row r="263" spans="1:17" ht="12.75">
      <c r="A263" s="20" t="s">
        <v>60</v>
      </c>
      <c r="B263" s="56"/>
      <c r="C263" s="111"/>
      <c r="D263" s="101">
        <f>6327.4+1620+1093.35</f>
        <v>9040.75</v>
      </c>
      <c r="E263" s="72">
        <f>-683.7</f>
        <v>-683.7</v>
      </c>
      <c r="F263" s="172">
        <f t="shared" si="86"/>
        <v>8357.05</v>
      </c>
      <c r="G263" s="73"/>
      <c r="H263" s="217"/>
      <c r="I263" s="190">
        <f t="shared" si="88"/>
        <v>8357.05</v>
      </c>
      <c r="J263" s="239"/>
      <c r="K263" s="217"/>
      <c r="L263" s="190">
        <f t="shared" si="89"/>
        <v>8357.05</v>
      </c>
      <c r="M263" s="239"/>
      <c r="N263" s="217"/>
      <c r="O263" s="190">
        <f t="shared" si="90"/>
        <v>8357.05</v>
      </c>
      <c r="P263" s="276"/>
      <c r="Q263" s="273">
        <f t="shared" si="87"/>
        <v>8357.05</v>
      </c>
    </row>
    <row r="264" spans="1:17" ht="12.75">
      <c r="A264" s="20" t="s">
        <v>80</v>
      </c>
      <c r="B264" s="56">
        <v>34070</v>
      </c>
      <c r="C264" s="111"/>
      <c r="D264" s="101"/>
      <c r="E264" s="72"/>
      <c r="F264" s="172">
        <f t="shared" si="86"/>
        <v>0</v>
      </c>
      <c r="G264" s="73">
        <f>43</f>
        <v>43</v>
      </c>
      <c r="H264" s="217"/>
      <c r="I264" s="190">
        <f t="shared" si="88"/>
        <v>43</v>
      </c>
      <c r="J264" s="239">
        <f>2120</f>
        <v>2120</v>
      </c>
      <c r="K264" s="217"/>
      <c r="L264" s="190">
        <f t="shared" si="89"/>
        <v>2163</v>
      </c>
      <c r="M264" s="239"/>
      <c r="N264" s="217"/>
      <c r="O264" s="190">
        <f t="shared" si="90"/>
        <v>2163</v>
      </c>
      <c r="P264" s="276"/>
      <c r="Q264" s="273">
        <f t="shared" si="87"/>
        <v>2163</v>
      </c>
    </row>
    <row r="265" spans="1:17" ht="12.75">
      <c r="A265" s="20" t="s">
        <v>81</v>
      </c>
      <c r="B265" s="56">
        <v>34053</v>
      </c>
      <c r="C265" s="111"/>
      <c r="D265" s="101"/>
      <c r="E265" s="72"/>
      <c r="F265" s="172">
        <f t="shared" si="86"/>
        <v>0</v>
      </c>
      <c r="G265" s="73">
        <f>135+54+45+19+45</f>
        <v>298</v>
      </c>
      <c r="H265" s="217"/>
      <c r="I265" s="190">
        <f t="shared" si="88"/>
        <v>298</v>
      </c>
      <c r="J265" s="239"/>
      <c r="K265" s="217"/>
      <c r="L265" s="190">
        <f t="shared" si="89"/>
        <v>298</v>
      </c>
      <c r="M265" s="239"/>
      <c r="N265" s="217"/>
      <c r="O265" s="190">
        <f t="shared" si="90"/>
        <v>298</v>
      </c>
      <c r="P265" s="276"/>
      <c r="Q265" s="273">
        <f t="shared" si="87"/>
        <v>298</v>
      </c>
    </row>
    <row r="266" spans="1:17" ht="12.75">
      <c r="A266" s="20" t="s">
        <v>344</v>
      </c>
      <c r="B266" s="56">
        <v>34019</v>
      </c>
      <c r="C266" s="111"/>
      <c r="D266" s="101"/>
      <c r="E266" s="72"/>
      <c r="F266" s="172">
        <f t="shared" si="86"/>
        <v>0</v>
      </c>
      <c r="G266" s="73">
        <f>41+18.12+51</f>
        <v>110.12</v>
      </c>
      <c r="H266" s="217"/>
      <c r="I266" s="190">
        <f t="shared" si="88"/>
        <v>110.12</v>
      </c>
      <c r="J266" s="239"/>
      <c r="K266" s="217"/>
      <c r="L266" s="190">
        <f t="shared" si="89"/>
        <v>110.12</v>
      </c>
      <c r="M266" s="239"/>
      <c r="N266" s="217"/>
      <c r="O266" s="190">
        <f t="shared" si="90"/>
        <v>110.12</v>
      </c>
      <c r="P266" s="276"/>
      <c r="Q266" s="273">
        <f t="shared" si="87"/>
        <v>110.12</v>
      </c>
    </row>
    <row r="267" spans="1:17" ht="12.75">
      <c r="A267" s="20" t="s">
        <v>369</v>
      </c>
      <c r="B267" s="56">
        <v>34033</v>
      </c>
      <c r="C267" s="111"/>
      <c r="D267" s="101">
        <f>451.07</f>
        <v>451.07</v>
      </c>
      <c r="E267" s="72"/>
      <c r="F267" s="172">
        <f t="shared" si="86"/>
        <v>451.07</v>
      </c>
      <c r="G267" s="73"/>
      <c r="H267" s="217"/>
      <c r="I267" s="190">
        <f t="shared" si="88"/>
        <v>451.07</v>
      </c>
      <c r="J267" s="239">
        <f>747.36+14</f>
        <v>761.36</v>
      </c>
      <c r="K267" s="217"/>
      <c r="L267" s="190">
        <f t="shared" si="89"/>
        <v>1212.43</v>
      </c>
      <c r="M267" s="239">
        <f>592.55+242+1630+69</f>
        <v>2533.55</v>
      </c>
      <c r="N267" s="217"/>
      <c r="O267" s="190">
        <f t="shared" si="90"/>
        <v>3745.9800000000005</v>
      </c>
      <c r="P267" s="276">
        <f>264</f>
        <v>264</v>
      </c>
      <c r="Q267" s="273">
        <f t="shared" si="87"/>
        <v>4009.9800000000005</v>
      </c>
    </row>
    <row r="268" spans="1:17" ht="12.75">
      <c r="A268" s="20" t="s">
        <v>368</v>
      </c>
      <c r="B268" s="56">
        <v>17055</v>
      </c>
      <c r="C268" s="111"/>
      <c r="D268" s="101">
        <f>81.23</f>
        <v>81.23</v>
      </c>
      <c r="E268" s="72"/>
      <c r="F268" s="172">
        <f t="shared" si="86"/>
        <v>81.23</v>
      </c>
      <c r="G268" s="73">
        <f>-81.23</f>
        <v>-81.23</v>
      </c>
      <c r="H268" s="217"/>
      <c r="I268" s="190">
        <f t="shared" si="88"/>
        <v>0</v>
      </c>
      <c r="J268" s="239"/>
      <c r="K268" s="217"/>
      <c r="L268" s="190">
        <f t="shared" si="89"/>
        <v>0</v>
      </c>
      <c r="M268" s="239">
        <f>1053.39</f>
        <v>1053.39</v>
      </c>
      <c r="N268" s="217"/>
      <c r="O268" s="190">
        <f t="shared" si="90"/>
        <v>1053.39</v>
      </c>
      <c r="P268" s="276">
        <f>4.12</f>
        <v>4.12</v>
      </c>
      <c r="Q268" s="273">
        <f t="shared" si="87"/>
        <v>1057.51</v>
      </c>
    </row>
    <row r="269" spans="1:17" ht="12.75">
      <c r="A269" s="20" t="s">
        <v>343</v>
      </c>
      <c r="B269" s="56">
        <v>34031</v>
      </c>
      <c r="C269" s="111"/>
      <c r="D269" s="101"/>
      <c r="E269" s="72"/>
      <c r="F269" s="172">
        <f t="shared" si="86"/>
        <v>0</v>
      </c>
      <c r="G269" s="73">
        <f>109+96+55+123+63</f>
        <v>446</v>
      </c>
      <c r="H269" s="217"/>
      <c r="I269" s="190">
        <f t="shared" si="88"/>
        <v>446</v>
      </c>
      <c r="J269" s="239">
        <f>117</f>
        <v>117</v>
      </c>
      <c r="K269" s="217"/>
      <c r="L269" s="190">
        <f t="shared" si="89"/>
        <v>563</v>
      </c>
      <c r="M269" s="239"/>
      <c r="N269" s="217"/>
      <c r="O269" s="190">
        <f t="shared" si="90"/>
        <v>563</v>
      </c>
      <c r="P269" s="276"/>
      <c r="Q269" s="273">
        <f t="shared" si="87"/>
        <v>563</v>
      </c>
    </row>
    <row r="270" spans="1:17" ht="12.75">
      <c r="A270" s="20" t="s">
        <v>361</v>
      </c>
      <c r="B270" s="56">
        <v>34017</v>
      </c>
      <c r="C270" s="111"/>
      <c r="D270" s="101"/>
      <c r="E270" s="72"/>
      <c r="F270" s="172"/>
      <c r="G270" s="73"/>
      <c r="H270" s="217"/>
      <c r="I270" s="190">
        <f t="shared" si="88"/>
        <v>0</v>
      </c>
      <c r="J270" s="239">
        <f>90</f>
        <v>90</v>
      </c>
      <c r="K270" s="217"/>
      <c r="L270" s="190">
        <f t="shared" si="89"/>
        <v>90</v>
      </c>
      <c r="M270" s="239"/>
      <c r="N270" s="217"/>
      <c r="O270" s="190">
        <f t="shared" si="90"/>
        <v>90</v>
      </c>
      <c r="P270" s="276"/>
      <c r="Q270" s="273">
        <f t="shared" si="87"/>
        <v>90</v>
      </c>
    </row>
    <row r="271" spans="1:17" ht="12.75">
      <c r="A271" s="20" t="s">
        <v>362</v>
      </c>
      <c r="B271" s="56">
        <v>34021</v>
      </c>
      <c r="C271" s="111"/>
      <c r="D271" s="101"/>
      <c r="E271" s="72"/>
      <c r="F271" s="172"/>
      <c r="G271" s="73"/>
      <c r="H271" s="217"/>
      <c r="I271" s="190">
        <f t="shared" si="88"/>
        <v>0</v>
      </c>
      <c r="J271" s="239">
        <f>95</f>
        <v>95</v>
      </c>
      <c r="K271" s="217"/>
      <c r="L271" s="190">
        <f t="shared" si="89"/>
        <v>95</v>
      </c>
      <c r="M271" s="239"/>
      <c r="N271" s="217"/>
      <c r="O271" s="190">
        <f t="shared" si="90"/>
        <v>95</v>
      </c>
      <c r="P271" s="276"/>
      <c r="Q271" s="273">
        <f t="shared" si="87"/>
        <v>95</v>
      </c>
    </row>
    <row r="272" spans="1:17" ht="12.75" hidden="1">
      <c r="A272" s="20" t="s">
        <v>289</v>
      </c>
      <c r="B272" s="56"/>
      <c r="C272" s="111"/>
      <c r="D272" s="101"/>
      <c r="E272" s="72"/>
      <c r="F272" s="172">
        <f t="shared" si="86"/>
        <v>0</v>
      </c>
      <c r="G272" s="73"/>
      <c r="H272" s="217"/>
      <c r="I272" s="190">
        <f t="shared" si="88"/>
        <v>0</v>
      </c>
      <c r="J272" s="239"/>
      <c r="K272" s="217"/>
      <c r="L272" s="190">
        <f t="shared" si="89"/>
        <v>0</v>
      </c>
      <c r="M272" s="239"/>
      <c r="N272" s="217"/>
      <c r="O272" s="190">
        <f t="shared" si="90"/>
        <v>0</v>
      </c>
      <c r="P272" s="276"/>
      <c r="Q272" s="273">
        <f t="shared" si="87"/>
        <v>0</v>
      </c>
    </row>
    <row r="273" spans="1:17" ht="12.75">
      <c r="A273" s="36" t="s">
        <v>348</v>
      </c>
      <c r="B273" s="56"/>
      <c r="C273" s="111"/>
      <c r="D273" s="101"/>
      <c r="E273" s="72"/>
      <c r="F273" s="172">
        <f t="shared" si="86"/>
        <v>0</v>
      </c>
      <c r="G273" s="73">
        <f>1423.76</f>
        <v>1423.76</v>
      </c>
      <c r="H273" s="217"/>
      <c r="I273" s="190">
        <f t="shared" si="88"/>
        <v>1423.76</v>
      </c>
      <c r="J273" s="239"/>
      <c r="K273" s="217"/>
      <c r="L273" s="190">
        <f t="shared" si="89"/>
        <v>1423.76</v>
      </c>
      <c r="M273" s="239"/>
      <c r="N273" s="217"/>
      <c r="O273" s="190">
        <f t="shared" si="90"/>
        <v>1423.76</v>
      </c>
      <c r="P273" s="276"/>
      <c r="Q273" s="273">
        <f t="shared" si="87"/>
        <v>1423.76</v>
      </c>
    </row>
    <row r="274" spans="1:17" ht="12.75">
      <c r="A274" s="20" t="s">
        <v>305</v>
      </c>
      <c r="B274" s="56"/>
      <c r="C274" s="111"/>
      <c r="D274" s="101">
        <f>55.21+9.74</f>
        <v>64.95</v>
      </c>
      <c r="E274" s="72"/>
      <c r="F274" s="172">
        <f t="shared" si="86"/>
        <v>64.95</v>
      </c>
      <c r="G274" s="73"/>
      <c r="H274" s="217"/>
      <c r="I274" s="190">
        <f t="shared" si="88"/>
        <v>64.95</v>
      </c>
      <c r="J274" s="239">
        <f>103.59+587.03</f>
        <v>690.62</v>
      </c>
      <c r="K274" s="217"/>
      <c r="L274" s="190">
        <f t="shared" si="89"/>
        <v>755.57</v>
      </c>
      <c r="M274" s="239"/>
      <c r="N274" s="217"/>
      <c r="O274" s="190">
        <f t="shared" si="90"/>
        <v>755.57</v>
      </c>
      <c r="P274" s="276">
        <f>40.45+178.26</f>
        <v>218.70999999999998</v>
      </c>
      <c r="Q274" s="273">
        <f t="shared" si="87"/>
        <v>974.28</v>
      </c>
    </row>
    <row r="275" spans="1:17" ht="12.75" hidden="1">
      <c r="A275" s="20" t="s">
        <v>245</v>
      </c>
      <c r="B275" s="56"/>
      <c r="C275" s="111"/>
      <c r="D275" s="101"/>
      <c r="E275" s="72"/>
      <c r="F275" s="172">
        <f t="shared" si="86"/>
        <v>0</v>
      </c>
      <c r="G275" s="73"/>
      <c r="H275" s="217"/>
      <c r="I275" s="190">
        <f t="shared" si="88"/>
        <v>0</v>
      </c>
      <c r="J275" s="239"/>
      <c r="K275" s="217"/>
      <c r="L275" s="190">
        <f t="shared" si="89"/>
        <v>0</v>
      </c>
      <c r="M275" s="239"/>
      <c r="N275" s="217"/>
      <c r="O275" s="190">
        <f t="shared" si="90"/>
        <v>0</v>
      </c>
      <c r="P275" s="276"/>
      <c r="Q275" s="273">
        <f t="shared" si="87"/>
        <v>0</v>
      </c>
    </row>
    <row r="276" spans="1:17" ht="12.75">
      <c r="A276" s="20" t="s">
        <v>70</v>
      </c>
      <c r="B276" s="56"/>
      <c r="C276" s="111"/>
      <c r="D276" s="101">
        <f>280+100</f>
        <v>380</v>
      </c>
      <c r="E276" s="72"/>
      <c r="F276" s="172">
        <f t="shared" si="86"/>
        <v>380</v>
      </c>
      <c r="G276" s="73">
        <f>210.47+300.15+601.4</f>
        <v>1112.02</v>
      </c>
      <c r="H276" s="217"/>
      <c r="I276" s="190">
        <f t="shared" si="88"/>
        <v>1492.02</v>
      </c>
      <c r="J276" s="239">
        <f>1500+2529.29</f>
        <v>4029.29</v>
      </c>
      <c r="K276" s="217"/>
      <c r="L276" s="190">
        <f t="shared" si="89"/>
        <v>5521.3099999999995</v>
      </c>
      <c r="M276" s="239"/>
      <c r="N276" s="217"/>
      <c r="O276" s="190">
        <f t="shared" si="90"/>
        <v>5521.3099999999995</v>
      </c>
      <c r="P276" s="276">
        <f>5.07</f>
        <v>5.07</v>
      </c>
      <c r="Q276" s="273">
        <f t="shared" si="87"/>
        <v>5526.379999999999</v>
      </c>
    </row>
    <row r="277" spans="1:17" ht="12.75">
      <c r="A277" s="22" t="s">
        <v>50</v>
      </c>
      <c r="B277" s="60"/>
      <c r="C277" s="114">
        <f>SUM(C279:C288)</f>
        <v>2850</v>
      </c>
      <c r="D277" s="104">
        <f aca="true" t="shared" si="91" ref="D277:Q277">SUM(D279:D288)</f>
        <v>1956.07</v>
      </c>
      <c r="E277" s="79">
        <f t="shared" si="91"/>
        <v>0</v>
      </c>
      <c r="F277" s="175">
        <f t="shared" si="91"/>
        <v>4806.07</v>
      </c>
      <c r="G277" s="78">
        <f t="shared" si="91"/>
        <v>4210.47</v>
      </c>
      <c r="H277" s="221">
        <f t="shared" si="91"/>
        <v>0</v>
      </c>
      <c r="I277" s="193">
        <f t="shared" si="91"/>
        <v>9016.54</v>
      </c>
      <c r="J277" s="244">
        <f t="shared" si="91"/>
        <v>19331.83</v>
      </c>
      <c r="K277" s="221">
        <f t="shared" si="91"/>
        <v>0</v>
      </c>
      <c r="L277" s="193">
        <f t="shared" si="91"/>
        <v>28348.37</v>
      </c>
      <c r="M277" s="244">
        <f t="shared" si="91"/>
        <v>408.02</v>
      </c>
      <c r="N277" s="221">
        <f t="shared" si="91"/>
        <v>0</v>
      </c>
      <c r="O277" s="193">
        <f t="shared" si="91"/>
        <v>28756.39</v>
      </c>
      <c r="P277" s="311">
        <f t="shared" si="91"/>
        <v>2643.04</v>
      </c>
      <c r="Q277" s="278">
        <f t="shared" si="91"/>
        <v>31399.43</v>
      </c>
    </row>
    <row r="278" spans="1:17" ht="12.75">
      <c r="A278" s="18" t="s">
        <v>26</v>
      </c>
      <c r="B278" s="56"/>
      <c r="C278" s="111"/>
      <c r="D278" s="101"/>
      <c r="E278" s="72"/>
      <c r="F278" s="172"/>
      <c r="G278" s="73"/>
      <c r="H278" s="217"/>
      <c r="I278" s="190"/>
      <c r="J278" s="239"/>
      <c r="K278" s="217"/>
      <c r="L278" s="190"/>
      <c r="M278" s="239"/>
      <c r="N278" s="217"/>
      <c r="O278" s="190"/>
      <c r="P278" s="276"/>
      <c r="Q278" s="273"/>
    </row>
    <row r="279" spans="1:17" ht="12.75" hidden="1">
      <c r="A279" s="20" t="s">
        <v>81</v>
      </c>
      <c r="B279" s="56">
        <v>34544</v>
      </c>
      <c r="C279" s="111"/>
      <c r="D279" s="101"/>
      <c r="E279" s="72"/>
      <c r="F279" s="172">
        <f aca="true" t="shared" si="92" ref="F279:F288">C279+D279+E279</f>
        <v>0</v>
      </c>
      <c r="G279" s="73"/>
      <c r="H279" s="217"/>
      <c r="I279" s="190">
        <f aca="true" t="shared" si="93" ref="I279:I288">F279+G279+H279</f>
        <v>0</v>
      </c>
      <c r="J279" s="239"/>
      <c r="K279" s="217"/>
      <c r="L279" s="190">
        <f aca="true" t="shared" si="94" ref="L279:L288">I279+J279+K279</f>
        <v>0</v>
      </c>
      <c r="M279" s="239"/>
      <c r="N279" s="217"/>
      <c r="O279" s="190">
        <f>L279+M279+N279</f>
        <v>0</v>
      </c>
      <c r="P279" s="276"/>
      <c r="Q279" s="273">
        <f aca="true" t="shared" si="95" ref="Q279:Q288">O279+P279</f>
        <v>0</v>
      </c>
    </row>
    <row r="280" spans="1:17" ht="12.75">
      <c r="A280" s="20" t="s">
        <v>368</v>
      </c>
      <c r="B280" s="56">
        <v>17503</v>
      </c>
      <c r="C280" s="111"/>
      <c r="D280" s="101">
        <f>1409.62</f>
        <v>1409.62</v>
      </c>
      <c r="E280" s="72"/>
      <c r="F280" s="172">
        <f t="shared" si="92"/>
        <v>1409.62</v>
      </c>
      <c r="G280" s="73">
        <f>-1409.62</f>
        <v>-1409.62</v>
      </c>
      <c r="H280" s="217"/>
      <c r="I280" s="190">
        <f t="shared" si="93"/>
        <v>0</v>
      </c>
      <c r="J280" s="239"/>
      <c r="K280" s="217"/>
      <c r="L280" s="190">
        <f t="shared" si="94"/>
        <v>0</v>
      </c>
      <c r="M280" s="239">
        <f>111.02</f>
        <v>111.02</v>
      </c>
      <c r="N280" s="217"/>
      <c r="O280" s="190">
        <f>L280+M280+N280</f>
        <v>111.02</v>
      </c>
      <c r="P280" s="276"/>
      <c r="Q280" s="273">
        <f>O280+P280</f>
        <v>111.02</v>
      </c>
    </row>
    <row r="281" spans="1:17" ht="12.75">
      <c r="A281" s="20" t="s">
        <v>375</v>
      </c>
      <c r="B281" s="56"/>
      <c r="C281" s="111"/>
      <c r="D281" s="101"/>
      <c r="E281" s="72"/>
      <c r="F281" s="172"/>
      <c r="G281" s="73"/>
      <c r="H281" s="217"/>
      <c r="I281" s="190"/>
      <c r="J281" s="239"/>
      <c r="K281" s="217"/>
      <c r="L281" s="190">
        <f t="shared" si="94"/>
        <v>0</v>
      </c>
      <c r="M281" s="239"/>
      <c r="N281" s="217"/>
      <c r="O281" s="190">
        <f>L281+M281+N281</f>
        <v>0</v>
      </c>
      <c r="P281" s="276">
        <f>373+2219.08</f>
        <v>2592.08</v>
      </c>
      <c r="Q281" s="273">
        <f>O281+P281</f>
        <v>2592.08</v>
      </c>
    </row>
    <row r="282" spans="1:17" ht="12.75">
      <c r="A282" s="20" t="s">
        <v>343</v>
      </c>
      <c r="B282" s="56">
        <v>34505</v>
      </c>
      <c r="C282" s="111"/>
      <c r="D282" s="101"/>
      <c r="E282" s="72"/>
      <c r="F282" s="172">
        <f t="shared" si="92"/>
        <v>0</v>
      </c>
      <c r="G282" s="73">
        <f>45+63</f>
        <v>108</v>
      </c>
      <c r="H282" s="217"/>
      <c r="I282" s="190">
        <f t="shared" si="93"/>
        <v>108</v>
      </c>
      <c r="J282" s="239"/>
      <c r="K282" s="217"/>
      <c r="L282" s="190">
        <f t="shared" si="94"/>
        <v>108</v>
      </c>
      <c r="M282" s="239"/>
      <c r="N282" s="217"/>
      <c r="O282" s="190">
        <f aca="true" t="shared" si="96" ref="O282:O288">L282+M282+N282</f>
        <v>108</v>
      </c>
      <c r="P282" s="276"/>
      <c r="Q282" s="273">
        <f t="shared" si="95"/>
        <v>108</v>
      </c>
    </row>
    <row r="283" spans="1:17" ht="12.75">
      <c r="A283" s="36" t="s">
        <v>348</v>
      </c>
      <c r="B283" s="56"/>
      <c r="C283" s="111"/>
      <c r="D283" s="101"/>
      <c r="E283" s="72"/>
      <c r="F283" s="172">
        <f t="shared" si="92"/>
        <v>0</v>
      </c>
      <c r="G283" s="73">
        <f>766.11</f>
        <v>766.11</v>
      </c>
      <c r="H283" s="217"/>
      <c r="I283" s="190">
        <f t="shared" si="93"/>
        <v>766.11</v>
      </c>
      <c r="J283" s="239"/>
      <c r="K283" s="217"/>
      <c r="L283" s="190">
        <f t="shared" si="94"/>
        <v>766.11</v>
      </c>
      <c r="M283" s="239"/>
      <c r="N283" s="217"/>
      <c r="O283" s="190">
        <f t="shared" si="96"/>
        <v>766.11</v>
      </c>
      <c r="P283" s="276"/>
      <c r="Q283" s="273">
        <f t="shared" si="95"/>
        <v>766.11</v>
      </c>
    </row>
    <row r="284" spans="1:17" ht="12.75">
      <c r="A284" s="20" t="s">
        <v>305</v>
      </c>
      <c r="B284" s="56"/>
      <c r="C284" s="111"/>
      <c r="D284" s="101"/>
      <c r="E284" s="72"/>
      <c r="F284" s="172"/>
      <c r="G284" s="73"/>
      <c r="H284" s="217"/>
      <c r="I284" s="190"/>
      <c r="J284" s="239"/>
      <c r="K284" s="217"/>
      <c r="L284" s="190"/>
      <c r="M284" s="239"/>
      <c r="N284" s="217"/>
      <c r="O284" s="190">
        <f t="shared" si="96"/>
        <v>0</v>
      </c>
      <c r="P284" s="276">
        <f>50.96</f>
        <v>50.96</v>
      </c>
      <c r="Q284" s="273">
        <f t="shared" si="95"/>
        <v>50.96</v>
      </c>
    </row>
    <row r="285" spans="1:17" ht="12.75">
      <c r="A285" s="20" t="s">
        <v>360</v>
      </c>
      <c r="B285" s="56">
        <v>34509</v>
      </c>
      <c r="C285" s="111"/>
      <c r="D285" s="101"/>
      <c r="E285" s="72"/>
      <c r="F285" s="172"/>
      <c r="G285" s="73"/>
      <c r="H285" s="217"/>
      <c r="I285" s="190">
        <f t="shared" si="93"/>
        <v>0</v>
      </c>
      <c r="J285" s="239">
        <f>14331.83</f>
        <v>14331.83</v>
      </c>
      <c r="K285" s="217"/>
      <c r="L285" s="190">
        <f t="shared" si="94"/>
        <v>14331.83</v>
      </c>
      <c r="M285" s="239"/>
      <c r="N285" s="217"/>
      <c r="O285" s="190">
        <f t="shared" si="96"/>
        <v>14331.83</v>
      </c>
      <c r="P285" s="276"/>
      <c r="Q285" s="273">
        <f t="shared" si="95"/>
        <v>14331.83</v>
      </c>
    </row>
    <row r="286" spans="1:17" ht="12.75">
      <c r="A286" s="54" t="s">
        <v>77</v>
      </c>
      <c r="B286" s="56"/>
      <c r="C286" s="111">
        <v>2850</v>
      </c>
      <c r="D286" s="141"/>
      <c r="E286" s="72"/>
      <c r="F286" s="172">
        <f t="shared" si="92"/>
        <v>2850</v>
      </c>
      <c r="G286" s="73">
        <f>141.8+700</f>
        <v>841.8</v>
      </c>
      <c r="H286" s="217"/>
      <c r="I286" s="190">
        <f t="shared" si="93"/>
        <v>3691.8</v>
      </c>
      <c r="J286" s="239">
        <f>5000</f>
        <v>5000</v>
      </c>
      <c r="K286" s="217"/>
      <c r="L286" s="190">
        <f t="shared" si="94"/>
        <v>8691.8</v>
      </c>
      <c r="M286" s="239">
        <f>203+94</f>
        <v>297</v>
      </c>
      <c r="N286" s="217"/>
      <c r="O286" s="190">
        <f t="shared" si="96"/>
        <v>8988.8</v>
      </c>
      <c r="P286" s="276"/>
      <c r="Q286" s="273">
        <f t="shared" si="95"/>
        <v>8988.8</v>
      </c>
    </row>
    <row r="287" spans="1:17" ht="12.75">
      <c r="A287" s="54" t="s">
        <v>51</v>
      </c>
      <c r="B287" s="56"/>
      <c r="C287" s="111"/>
      <c r="D287" s="101">
        <f>242+54.45</f>
        <v>296.45</v>
      </c>
      <c r="E287" s="72"/>
      <c r="F287" s="172">
        <f t="shared" si="92"/>
        <v>296.45</v>
      </c>
      <c r="G287" s="73"/>
      <c r="H287" s="217"/>
      <c r="I287" s="190">
        <f t="shared" si="93"/>
        <v>296.45</v>
      </c>
      <c r="J287" s="239"/>
      <c r="K287" s="217"/>
      <c r="L287" s="190">
        <f t="shared" si="94"/>
        <v>296.45</v>
      </c>
      <c r="M287" s="242"/>
      <c r="N287" s="217"/>
      <c r="O287" s="190">
        <f t="shared" si="96"/>
        <v>296.45</v>
      </c>
      <c r="P287" s="276"/>
      <c r="Q287" s="273">
        <f t="shared" si="95"/>
        <v>296.45</v>
      </c>
    </row>
    <row r="288" spans="1:17" ht="12.75">
      <c r="A288" s="26" t="s">
        <v>70</v>
      </c>
      <c r="B288" s="59"/>
      <c r="C288" s="163"/>
      <c r="D288" s="154">
        <f>250</f>
        <v>250</v>
      </c>
      <c r="E288" s="80"/>
      <c r="F288" s="177">
        <f t="shared" si="92"/>
        <v>250</v>
      </c>
      <c r="G288" s="208">
        <f>350+3554.18</f>
        <v>3904.18</v>
      </c>
      <c r="H288" s="223"/>
      <c r="I288" s="195">
        <f t="shared" si="93"/>
        <v>4154.18</v>
      </c>
      <c r="J288" s="246"/>
      <c r="K288" s="223"/>
      <c r="L288" s="195">
        <f t="shared" si="94"/>
        <v>4154.18</v>
      </c>
      <c r="M288" s="265"/>
      <c r="N288" s="223"/>
      <c r="O288" s="195">
        <f t="shared" si="96"/>
        <v>4154.18</v>
      </c>
      <c r="P288" s="314"/>
      <c r="Q288" s="280">
        <f t="shared" si="95"/>
        <v>4154.18</v>
      </c>
    </row>
    <row r="289" spans="1:17" ht="12.75">
      <c r="A289" s="13" t="s">
        <v>249</v>
      </c>
      <c r="B289" s="60"/>
      <c r="C289" s="110">
        <f>C290+C293</f>
        <v>1000</v>
      </c>
      <c r="D289" s="91">
        <f aca="true" t="shared" si="97" ref="D289:Q289">D290+D293</f>
        <v>0</v>
      </c>
      <c r="E289" s="71">
        <f t="shared" si="97"/>
        <v>0</v>
      </c>
      <c r="F289" s="171">
        <f t="shared" si="97"/>
        <v>1000</v>
      </c>
      <c r="G289" s="70">
        <f t="shared" si="97"/>
        <v>-62.64</v>
      </c>
      <c r="H289" s="216">
        <f t="shared" si="97"/>
        <v>0</v>
      </c>
      <c r="I289" s="189">
        <f t="shared" si="97"/>
        <v>937.36</v>
      </c>
      <c r="J289" s="238">
        <f t="shared" si="97"/>
        <v>0</v>
      </c>
      <c r="K289" s="216">
        <f t="shared" si="97"/>
        <v>0</v>
      </c>
      <c r="L289" s="189">
        <f t="shared" si="97"/>
        <v>937.36</v>
      </c>
      <c r="M289" s="238">
        <f t="shared" si="97"/>
        <v>0</v>
      </c>
      <c r="N289" s="216">
        <f t="shared" si="97"/>
        <v>0</v>
      </c>
      <c r="O289" s="189">
        <f t="shared" si="97"/>
        <v>937.36</v>
      </c>
      <c r="P289" s="308">
        <f t="shared" si="97"/>
        <v>0</v>
      </c>
      <c r="Q289" s="272">
        <f t="shared" si="97"/>
        <v>937.36</v>
      </c>
    </row>
    <row r="290" spans="1:17" ht="12.75">
      <c r="A290" s="22" t="s">
        <v>46</v>
      </c>
      <c r="B290" s="60"/>
      <c r="C290" s="114">
        <f>SUM(C292:C292)</f>
        <v>1000</v>
      </c>
      <c r="D290" s="104">
        <f aca="true" t="shared" si="98" ref="D290:Q290">SUM(D292:D292)</f>
        <v>0</v>
      </c>
      <c r="E290" s="79">
        <f t="shared" si="98"/>
        <v>0</v>
      </c>
      <c r="F290" s="175">
        <f t="shared" si="98"/>
        <v>1000</v>
      </c>
      <c r="G290" s="78">
        <f t="shared" si="98"/>
        <v>-62.64</v>
      </c>
      <c r="H290" s="221">
        <f t="shared" si="98"/>
        <v>0</v>
      </c>
      <c r="I290" s="193">
        <f t="shared" si="98"/>
        <v>937.36</v>
      </c>
      <c r="J290" s="244">
        <f t="shared" si="98"/>
        <v>0</v>
      </c>
      <c r="K290" s="221">
        <f t="shared" si="98"/>
        <v>0</v>
      </c>
      <c r="L290" s="193">
        <f t="shared" si="98"/>
        <v>937.36</v>
      </c>
      <c r="M290" s="244">
        <f t="shared" si="98"/>
        <v>0</v>
      </c>
      <c r="N290" s="221">
        <f t="shared" si="98"/>
        <v>0</v>
      </c>
      <c r="O290" s="193">
        <f t="shared" si="98"/>
        <v>937.36</v>
      </c>
      <c r="P290" s="311">
        <f t="shared" si="98"/>
        <v>0</v>
      </c>
      <c r="Q290" s="278">
        <f t="shared" si="98"/>
        <v>937.36</v>
      </c>
    </row>
    <row r="291" spans="1:17" ht="12.75">
      <c r="A291" s="18" t="s">
        <v>26</v>
      </c>
      <c r="B291" s="56"/>
      <c r="C291" s="111"/>
      <c r="D291" s="101"/>
      <c r="E291" s="72"/>
      <c r="F291" s="172"/>
      <c r="G291" s="73"/>
      <c r="H291" s="217"/>
      <c r="I291" s="190"/>
      <c r="J291" s="239"/>
      <c r="K291" s="217"/>
      <c r="L291" s="190"/>
      <c r="M291" s="242"/>
      <c r="N291" s="217"/>
      <c r="O291" s="190"/>
      <c r="P291" s="276"/>
      <c r="Q291" s="273"/>
    </row>
    <row r="292" spans="1:17" ht="13.5" thickBot="1">
      <c r="A292" s="302" t="s">
        <v>48</v>
      </c>
      <c r="B292" s="291"/>
      <c r="C292" s="292">
        <v>1000</v>
      </c>
      <c r="D292" s="293"/>
      <c r="E292" s="294"/>
      <c r="F292" s="295">
        <f>C292+D292+E292</f>
        <v>1000</v>
      </c>
      <c r="G292" s="296">
        <f>-62.64</f>
        <v>-62.64</v>
      </c>
      <c r="H292" s="297"/>
      <c r="I292" s="298">
        <f>F292+G292+H292</f>
        <v>937.36</v>
      </c>
      <c r="J292" s="299"/>
      <c r="K292" s="297"/>
      <c r="L292" s="298">
        <f>I292+J292+K292</f>
        <v>937.36</v>
      </c>
      <c r="M292" s="303"/>
      <c r="N292" s="297"/>
      <c r="O292" s="298">
        <f>L292+M292+N292</f>
        <v>937.36</v>
      </c>
      <c r="P292" s="312"/>
      <c r="Q292" s="289">
        <f>O292+P292</f>
        <v>937.36</v>
      </c>
    </row>
    <row r="293" spans="1:17" ht="12.75" hidden="1">
      <c r="A293" s="22" t="s">
        <v>50</v>
      </c>
      <c r="B293" s="60"/>
      <c r="C293" s="114">
        <f>C295</f>
        <v>0</v>
      </c>
      <c r="D293" s="104">
        <f aca="true" t="shared" si="99" ref="D293:Q293">D295</f>
        <v>0</v>
      </c>
      <c r="E293" s="79">
        <f t="shared" si="99"/>
        <v>0</v>
      </c>
      <c r="F293" s="175">
        <f t="shared" si="99"/>
        <v>0</v>
      </c>
      <c r="G293" s="78">
        <f t="shared" si="99"/>
        <v>0</v>
      </c>
      <c r="H293" s="221">
        <f t="shared" si="99"/>
        <v>0</v>
      </c>
      <c r="I293" s="193">
        <f t="shared" si="99"/>
        <v>0</v>
      </c>
      <c r="J293" s="244">
        <f t="shared" si="99"/>
        <v>0</v>
      </c>
      <c r="K293" s="221">
        <f t="shared" si="99"/>
        <v>0</v>
      </c>
      <c r="L293" s="193">
        <f t="shared" si="99"/>
        <v>0</v>
      </c>
      <c r="M293" s="244">
        <f t="shared" si="99"/>
        <v>0</v>
      </c>
      <c r="N293" s="221">
        <f t="shared" si="99"/>
        <v>0</v>
      </c>
      <c r="O293" s="193">
        <f t="shared" si="99"/>
        <v>0</v>
      </c>
      <c r="P293" s="311">
        <f t="shared" si="99"/>
        <v>0</v>
      </c>
      <c r="Q293" s="278">
        <f t="shared" si="99"/>
        <v>0</v>
      </c>
    </row>
    <row r="294" spans="1:17" ht="12.75" hidden="1">
      <c r="A294" s="18" t="s">
        <v>26</v>
      </c>
      <c r="B294" s="56"/>
      <c r="C294" s="111"/>
      <c r="D294" s="101"/>
      <c r="E294" s="72"/>
      <c r="F294" s="172"/>
      <c r="G294" s="73"/>
      <c r="H294" s="217"/>
      <c r="I294" s="190"/>
      <c r="J294" s="239"/>
      <c r="K294" s="217"/>
      <c r="L294" s="190"/>
      <c r="M294" s="239"/>
      <c r="N294" s="217"/>
      <c r="O294" s="190"/>
      <c r="P294" s="276"/>
      <c r="Q294" s="273"/>
    </row>
    <row r="295" spans="1:17" ht="12.75" hidden="1">
      <c r="A295" s="109" t="s">
        <v>51</v>
      </c>
      <c r="B295" s="59"/>
      <c r="C295" s="163"/>
      <c r="D295" s="154"/>
      <c r="E295" s="80"/>
      <c r="F295" s="177">
        <f>C295+D295+E295</f>
        <v>0</v>
      </c>
      <c r="G295" s="208"/>
      <c r="H295" s="223"/>
      <c r="I295" s="195">
        <f>F295+G295+H295</f>
        <v>0</v>
      </c>
      <c r="J295" s="246"/>
      <c r="K295" s="223"/>
      <c r="L295" s="195">
        <f>I295+J295+K295</f>
        <v>0</v>
      </c>
      <c r="M295" s="246"/>
      <c r="N295" s="223"/>
      <c r="O295" s="195">
        <f>L295+M295+N295</f>
        <v>0</v>
      </c>
      <c r="P295" s="314"/>
      <c r="Q295" s="280">
        <f>O295+P295</f>
        <v>0</v>
      </c>
    </row>
    <row r="296" spans="1:17" ht="12.75">
      <c r="A296" s="13" t="s">
        <v>45</v>
      </c>
      <c r="B296" s="58"/>
      <c r="C296" s="110">
        <f>C297+C311</f>
        <v>103456.29</v>
      </c>
      <c r="D296" s="91">
        <f aca="true" t="shared" si="100" ref="D296:Q296">D297+D311</f>
        <v>210179.7</v>
      </c>
      <c r="E296" s="71">
        <f t="shared" si="100"/>
        <v>0</v>
      </c>
      <c r="F296" s="171">
        <f t="shared" si="100"/>
        <v>313635.99</v>
      </c>
      <c r="G296" s="70">
        <f t="shared" si="100"/>
        <v>67726.13</v>
      </c>
      <c r="H296" s="216">
        <f t="shared" si="100"/>
        <v>0</v>
      </c>
      <c r="I296" s="189">
        <f t="shared" si="100"/>
        <v>381362.12</v>
      </c>
      <c r="J296" s="238">
        <f t="shared" si="100"/>
        <v>37787.2</v>
      </c>
      <c r="K296" s="216">
        <f t="shared" si="100"/>
        <v>0</v>
      </c>
      <c r="L296" s="189">
        <f t="shared" si="100"/>
        <v>419149.31999999995</v>
      </c>
      <c r="M296" s="238">
        <f t="shared" si="100"/>
        <v>450</v>
      </c>
      <c r="N296" s="216">
        <f t="shared" si="100"/>
        <v>0</v>
      </c>
      <c r="O296" s="189">
        <f t="shared" si="100"/>
        <v>419599.31999999995</v>
      </c>
      <c r="P296" s="308">
        <f t="shared" si="100"/>
        <v>0</v>
      </c>
      <c r="Q296" s="272">
        <f t="shared" si="100"/>
        <v>419599.31999999995</v>
      </c>
    </row>
    <row r="297" spans="1:17" ht="12.75">
      <c r="A297" s="22" t="s">
        <v>46</v>
      </c>
      <c r="B297" s="58"/>
      <c r="C297" s="114">
        <f>SUM(C299:C310)</f>
        <v>102656.29</v>
      </c>
      <c r="D297" s="104">
        <f aca="true" t="shared" si="101" ref="D297:Q297">SUM(D299:D310)</f>
        <v>209979.7</v>
      </c>
      <c r="E297" s="79">
        <f t="shared" si="101"/>
        <v>0</v>
      </c>
      <c r="F297" s="175">
        <f t="shared" si="101"/>
        <v>312635.99</v>
      </c>
      <c r="G297" s="78">
        <f t="shared" si="101"/>
        <v>67726.13</v>
      </c>
      <c r="H297" s="221">
        <f t="shared" si="101"/>
        <v>0</v>
      </c>
      <c r="I297" s="193">
        <f t="shared" si="101"/>
        <v>380362.12</v>
      </c>
      <c r="J297" s="244">
        <f t="shared" si="101"/>
        <v>37787.2</v>
      </c>
      <c r="K297" s="221">
        <f t="shared" si="101"/>
        <v>0</v>
      </c>
      <c r="L297" s="193">
        <f t="shared" si="101"/>
        <v>418149.31999999995</v>
      </c>
      <c r="M297" s="244">
        <f t="shared" si="101"/>
        <v>450</v>
      </c>
      <c r="N297" s="221">
        <f t="shared" si="101"/>
        <v>0</v>
      </c>
      <c r="O297" s="193">
        <f t="shared" si="101"/>
        <v>418599.31999999995</v>
      </c>
      <c r="P297" s="311">
        <f t="shared" si="101"/>
        <v>0</v>
      </c>
      <c r="Q297" s="278">
        <f t="shared" si="101"/>
        <v>418599.31999999995</v>
      </c>
    </row>
    <row r="298" spans="1:17" ht="12.75">
      <c r="A298" s="18" t="s">
        <v>26</v>
      </c>
      <c r="B298" s="45"/>
      <c r="C298" s="111"/>
      <c r="D298" s="101"/>
      <c r="E298" s="72"/>
      <c r="F298" s="172"/>
      <c r="G298" s="73"/>
      <c r="H298" s="217"/>
      <c r="I298" s="190"/>
      <c r="J298" s="239"/>
      <c r="K298" s="217"/>
      <c r="L298" s="190"/>
      <c r="M298" s="239"/>
      <c r="N298" s="217"/>
      <c r="O298" s="190"/>
      <c r="P298" s="276"/>
      <c r="Q298" s="273"/>
    </row>
    <row r="299" spans="1:17" ht="12.75">
      <c r="A299" s="16" t="s">
        <v>124</v>
      </c>
      <c r="B299" s="56"/>
      <c r="C299" s="111">
        <v>29177.47</v>
      </c>
      <c r="D299" s="141">
        <f>2540.4</f>
        <v>2540.4</v>
      </c>
      <c r="E299" s="72"/>
      <c r="F299" s="172">
        <f aca="true" t="shared" si="102" ref="F299:F310">C299+D299+E299</f>
        <v>31717.870000000003</v>
      </c>
      <c r="G299" s="73"/>
      <c r="H299" s="217"/>
      <c r="I299" s="190">
        <f>F299+G299+H299</f>
        <v>31717.870000000003</v>
      </c>
      <c r="J299" s="239"/>
      <c r="K299" s="217"/>
      <c r="L299" s="190">
        <f>I299+J299+K299</f>
        <v>31717.870000000003</v>
      </c>
      <c r="M299" s="239"/>
      <c r="N299" s="217"/>
      <c r="O299" s="190">
        <f>L299+M299+N299</f>
        <v>31717.870000000003</v>
      </c>
      <c r="P299" s="276"/>
      <c r="Q299" s="273">
        <f>O299+P299</f>
        <v>31717.870000000003</v>
      </c>
    </row>
    <row r="300" spans="1:17" ht="12.75">
      <c r="A300" s="16" t="s">
        <v>47</v>
      </c>
      <c r="B300" s="56"/>
      <c r="C300" s="111">
        <v>7487.34</v>
      </c>
      <c r="D300" s="101">
        <f>605</f>
        <v>605</v>
      </c>
      <c r="E300" s="72"/>
      <c r="F300" s="172">
        <f t="shared" si="102"/>
        <v>8092.34</v>
      </c>
      <c r="G300" s="73"/>
      <c r="H300" s="217"/>
      <c r="I300" s="190">
        <f aca="true" t="shared" si="103" ref="I300:I310">F300+G300+H300</f>
        <v>8092.34</v>
      </c>
      <c r="J300" s="239"/>
      <c r="K300" s="217"/>
      <c r="L300" s="190">
        <f aca="true" t="shared" si="104" ref="L300:L310">I300+J300+K300</f>
        <v>8092.34</v>
      </c>
      <c r="M300" s="239"/>
      <c r="N300" s="217"/>
      <c r="O300" s="190">
        <f aca="true" t="shared" si="105" ref="O300:O309">L300+M300+N300</f>
        <v>8092.34</v>
      </c>
      <c r="P300" s="276"/>
      <c r="Q300" s="273">
        <f aca="true" t="shared" si="106" ref="Q300:Q310">O300+P300</f>
        <v>8092.34</v>
      </c>
    </row>
    <row r="301" spans="1:17" ht="12.75">
      <c r="A301" s="16" t="s">
        <v>222</v>
      </c>
      <c r="B301" s="56"/>
      <c r="C301" s="111">
        <v>1450</v>
      </c>
      <c r="D301" s="101">
        <f>300</f>
        <v>300</v>
      </c>
      <c r="E301" s="72"/>
      <c r="F301" s="172">
        <f t="shared" si="102"/>
        <v>1750</v>
      </c>
      <c r="G301" s="73"/>
      <c r="H301" s="217"/>
      <c r="I301" s="190">
        <f t="shared" si="103"/>
        <v>1750</v>
      </c>
      <c r="J301" s="239">
        <f>400</f>
        <v>400</v>
      </c>
      <c r="K301" s="217"/>
      <c r="L301" s="190">
        <f t="shared" si="104"/>
        <v>2150</v>
      </c>
      <c r="M301" s="239">
        <f>450</f>
        <v>450</v>
      </c>
      <c r="N301" s="217"/>
      <c r="O301" s="190">
        <f t="shared" si="105"/>
        <v>2600</v>
      </c>
      <c r="P301" s="276"/>
      <c r="Q301" s="273">
        <f t="shared" si="106"/>
        <v>2600</v>
      </c>
    </row>
    <row r="302" spans="1:17" ht="12.75">
      <c r="A302" s="16" t="s">
        <v>48</v>
      </c>
      <c r="B302" s="56"/>
      <c r="C302" s="111">
        <v>15241.48</v>
      </c>
      <c r="D302" s="101">
        <f>2000+54.6</f>
        <v>2054.6</v>
      </c>
      <c r="E302" s="72"/>
      <c r="F302" s="172">
        <f t="shared" si="102"/>
        <v>17296.079999999998</v>
      </c>
      <c r="G302" s="73"/>
      <c r="H302" s="217"/>
      <c r="I302" s="190">
        <f t="shared" si="103"/>
        <v>17296.079999999998</v>
      </c>
      <c r="J302" s="239"/>
      <c r="K302" s="217"/>
      <c r="L302" s="190">
        <f t="shared" si="104"/>
        <v>17296.079999999998</v>
      </c>
      <c r="M302" s="239"/>
      <c r="N302" s="217"/>
      <c r="O302" s="190">
        <f t="shared" si="105"/>
        <v>17296.079999999998</v>
      </c>
      <c r="P302" s="276"/>
      <c r="Q302" s="273">
        <f t="shared" si="106"/>
        <v>17296.079999999998</v>
      </c>
    </row>
    <row r="303" spans="1:17" ht="12.75">
      <c r="A303" s="16" t="s">
        <v>70</v>
      </c>
      <c r="B303" s="56"/>
      <c r="C303" s="111"/>
      <c r="D303" s="101">
        <f>2404.19</f>
        <v>2404.19</v>
      </c>
      <c r="E303" s="72"/>
      <c r="F303" s="172">
        <f t="shared" si="102"/>
        <v>2404.19</v>
      </c>
      <c r="G303" s="73"/>
      <c r="H303" s="217"/>
      <c r="I303" s="190">
        <f t="shared" si="103"/>
        <v>2404.19</v>
      </c>
      <c r="J303" s="239"/>
      <c r="K303" s="217"/>
      <c r="L303" s="190">
        <f t="shared" si="104"/>
        <v>2404.19</v>
      </c>
      <c r="M303" s="239"/>
      <c r="N303" s="217"/>
      <c r="O303" s="190">
        <f t="shared" si="105"/>
        <v>2404.19</v>
      </c>
      <c r="P303" s="276"/>
      <c r="Q303" s="273">
        <f t="shared" si="106"/>
        <v>2404.19</v>
      </c>
    </row>
    <row r="304" spans="1:17" ht="12.75">
      <c r="A304" s="16" t="s">
        <v>308</v>
      </c>
      <c r="B304" s="56"/>
      <c r="C304" s="111">
        <v>35500</v>
      </c>
      <c r="D304" s="101">
        <f>88922.11+20000+32053.4+60000</f>
        <v>200975.51</v>
      </c>
      <c r="E304" s="72"/>
      <c r="F304" s="172">
        <f t="shared" si="102"/>
        <v>236475.51</v>
      </c>
      <c r="G304" s="73">
        <f>63051.5</f>
        <v>63051.5</v>
      </c>
      <c r="H304" s="217"/>
      <c r="I304" s="190">
        <f t="shared" si="103"/>
        <v>299527.01</v>
      </c>
      <c r="J304" s="239">
        <f>34781.35</f>
        <v>34781.35</v>
      </c>
      <c r="K304" s="217"/>
      <c r="L304" s="190">
        <f t="shared" si="104"/>
        <v>334308.36</v>
      </c>
      <c r="M304" s="239"/>
      <c r="N304" s="217"/>
      <c r="O304" s="190">
        <f t="shared" si="105"/>
        <v>334308.36</v>
      </c>
      <c r="P304" s="276"/>
      <c r="Q304" s="273">
        <f t="shared" si="106"/>
        <v>334308.36</v>
      </c>
    </row>
    <row r="305" spans="1:17" ht="12.75" hidden="1">
      <c r="A305" s="16" t="s">
        <v>275</v>
      </c>
      <c r="B305" s="56">
        <v>98032</v>
      </c>
      <c r="C305" s="111"/>
      <c r="D305" s="101"/>
      <c r="E305" s="72"/>
      <c r="F305" s="172">
        <f t="shared" si="102"/>
        <v>0</v>
      </c>
      <c r="G305" s="73"/>
      <c r="H305" s="217"/>
      <c r="I305" s="190">
        <f t="shared" si="103"/>
        <v>0</v>
      </c>
      <c r="J305" s="239"/>
      <c r="K305" s="217"/>
      <c r="L305" s="190">
        <f t="shared" si="104"/>
        <v>0</v>
      </c>
      <c r="M305" s="239"/>
      <c r="N305" s="217"/>
      <c r="O305" s="190">
        <f t="shared" si="105"/>
        <v>0</v>
      </c>
      <c r="P305" s="276"/>
      <c r="Q305" s="273">
        <f t="shared" si="106"/>
        <v>0</v>
      </c>
    </row>
    <row r="306" spans="1:17" ht="12.75">
      <c r="A306" s="16" t="s">
        <v>342</v>
      </c>
      <c r="B306" s="56">
        <v>14038</v>
      </c>
      <c r="C306" s="111"/>
      <c r="D306" s="101"/>
      <c r="E306" s="72"/>
      <c r="F306" s="172">
        <f t="shared" si="102"/>
        <v>0</v>
      </c>
      <c r="G306" s="73">
        <f>494.63</f>
        <v>494.63</v>
      </c>
      <c r="H306" s="217"/>
      <c r="I306" s="190">
        <f t="shared" si="103"/>
        <v>494.63</v>
      </c>
      <c r="J306" s="239">
        <f>345.85</f>
        <v>345.85</v>
      </c>
      <c r="K306" s="217"/>
      <c r="L306" s="190">
        <f t="shared" si="104"/>
        <v>840.48</v>
      </c>
      <c r="M306" s="239"/>
      <c r="N306" s="217"/>
      <c r="O306" s="190">
        <f t="shared" si="105"/>
        <v>840.48</v>
      </c>
      <c r="P306" s="276"/>
      <c r="Q306" s="273">
        <f t="shared" si="106"/>
        <v>840.48</v>
      </c>
    </row>
    <row r="307" spans="1:17" ht="12.75">
      <c r="A307" s="16" t="s">
        <v>272</v>
      </c>
      <c r="B307" s="56"/>
      <c r="C307" s="111">
        <v>5000</v>
      </c>
      <c r="D307" s="101"/>
      <c r="E307" s="72"/>
      <c r="F307" s="172">
        <f t="shared" si="102"/>
        <v>5000</v>
      </c>
      <c r="G307" s="73"/>
      <c r="H307" s="217"/>
      <c r="I307" s="190">
        <f t="shared" si="103"/>
        <v>5000</v>
      </c>
      <c r="J307" s="239"/>
      <c r="K307" s="217"/>
      <c r="L307" s="190">
        <f t="shared" si="104"/>
        <v>5000</v>
      </c>
      <c r="M307" s="239"/>
      <c r="N307" s="217"/>
      <c r="O307" s="190">
        <f t="shared" si="105"/>
        <v>5000</v>
      </c>
      <c r="P307" s="276"/>
      <c r="Q307" s="273">
        <f t="shared" si="106"/>
        <v>5000</v>
      </c>
    </row>
    <row r="308" spans="1:17" ht="12.75">
      <c r="A308" s="16" t="s">
        <v>223</v>
      </c>
      <c r="B308" s="56"/>
      <c r="C308" s="111">
        <v>8200</v>
      </c>
      <c r="D308" s="101">
        <f>700</f>
        <v>700</v>
      </c>
      <c r="E308" s="72"/>
      <c r="F308" s="172">
        <f t="shared" si="102"/>
        <v>8900</v>
      </c>
      <c r="G308" s="73">
        <f>4000+180</f>
        <v>4180</v>
      </c>
      <c r="H308" s="217"/>
      <c r="I308" s="190">
        <f t="shared" si="103"/>
        <v>13080</v>
      </c>
      <c r="J308" s="239">
        <f>200+60+2000</f>
        <v>2260</v>
      </c>
      <c r="K308" s="217"/>
      <c r="L308" s="190">
        <f t="shared" si="104"/>
        <v>15340</v>
      </c>
      <c r="M308" s="239"/>
      <c r="N308" s="217"/>
      <c r="O308" s="190">
        <f t="shared" si="105"/>
        <v>15340</v>
      </c>
      <c r="P308" s="276"/>
      <c r="Q308" s="273">
        <f t="shared" si="106"/>
        <v>15340</v>
      </c>
    </row>
    <row r="309" spans="1:17" ht="12.75">
      <c r="A309" s="16" t="s">
        <v>224</v>
      </c>
      <c r="B309" s="56"/>
      <c r="C309" s="111">
        <v>600</v>
      </c>
      <c r="D309" s="101">
        <f>400</f>
        <v>400</v>
      </c>
      <c r="E309" s="72"/>
      <c r="F309" s="172">
        <f t="shared" si="102"/>
        <v>1000</v>
      </c>
      <c r="G309" s="73"/>
      <c r="H309" s="217"/>
      <c r="I309" s="190">
        <f t="shared" si="103"/>
        <v>1000</v>
      </c>
      <c r="J309" s="239"/>
      <c r="K309" s="217"/>
      <c r="L309" s="190">
        <f t="shared" si="104"/>
        <v>1000</v>
      </c>
      <c r="M309" s="239"/>
      <c r="N309" s="217"/>
      <c r="O309" s="190">
        <f t="shared" si="105"/>
        <v>1000</v>
      </c>
      <c r="P309" s="276"/>
      <c r="Q309" s="273">
        <f t="shared" si="106"/>
        <v>1000</v>
      </c>
    </row>
    <row r="310" spans="1:17" ht="12.75" hidden="1">
      <c r="A310" s="16" t="s">
        <v>49</v>
      </c>
      <c r="B310" s="56"/>
      <c r="C310" s="111"/>
      <c r="D310" s="101"/>
      <c r="E310" s="72"/>
      <c r="F310" s="172">
        <f t="shared" si="102"/>
        <v>0</v>
      </c>
      <c r="G310" s="73"/>
      <c r="H310" s="217"/>
      <c r="I310" s="190">
        <f t="shared" si="103"/>
        <v>0</v>
      </c>
      <c r="J310" s="239"/>
      <c r="K310" s="217"/>
      <c r="L310" s="190">
        <f t="shared" si="104"/>
        <v>0</v>
      </c>
      <c r="M310" s="239"/>
      <c r="N310" s="217"/>
      <c r="O310" s="190">
        <f>L310+M310+N310</f>
        <v>0</v>
      </c>
      <c r="P310" s="276"/>
      <c r="Q310" s="273">
        <f t="shared" si="106"/>
        <v>0</v>
      </c>
    </row>
    <row r="311" spans="1:17" ht="12.75">
      <c r="A311" s="23" t="s">
        <v>50</v>
      </c>
      <c r="B311" s="60"/>
      <c r="C311" s="115">
        <f aca="true" t="shared" si="107" ref="C311:Q311">SUM(C313:C317)</f>
        <v>800</v>
      </c>
      <c r="D311" s="105">
        <f t="shared" si="107"/>
        <v>200</v>
      </c>
      <c r="E311" s="82">
        <f t="shared" si="107"/>
        <v>0</v>
      </c>
      <c r="F311" s="176">
        <f t="shared" si="107"/>
        <v>1000</v>
      </c>
      <c r="G311" s="81">
        <f t="shared" si="107"/>
        <v>0</v>
      </c>
      <c r="H311" s="222">
        <f t="shared" si="107"/>
        <v>0</v>
      </c>
      <c r="I311" s="194">
        <f t="shared" si="107"/>
        <v>1000</v>
      </c>
      <c r="J311" s="245">
        <f t="shared" si="107"/>
        <v>0</v>
      </c>
      <c r="K311" s="222">
        <f t="shared" si="107"/>
        <v>0</v>
      </c>
      <c r="L311" s="194">
        <f t="shared" si="107"/>
        <v>1000</v>
      </c>
      <c r="M311" s="245">
        <f t="shared" si="107"/>
        <v>0</v>
      </c>
      <c r="N311" s="222">
        <f t="shared" si="107"/>
        <v>0</v>
      </c>
      <c r="O311" s="194">
        <f t="shared" si="107"/>
        <v>1000</v>
      </c>
      <c r="P311" s="313">
        <f t="shared" si="107"/>
        <v>0</v>
      </c>
      <c r="Q311" s="279">
        <f t="shared" si="107"/>
        <v>1000</v>
      </c>
    </row>
    <row r="312" spans="1:17" ht="12.75">
      <c r="A312" s="14" t="s">
        <v>26</v>
      </c>
      <c r="B312" s="56"/>
      <c r="C312" s="112"/>
      <c r="D312" s="102"/>
      <c r="E312" s="75"/>
      <c r="F312" s="173"/>
      <c r="G312" s="74"/>
      <c r="H312" s="219"/>
      <c r="I312" s="191"/>
      <c r="J312" s="241"/>
      <c r="K312" s="219"/>
      <c r="L312" s="191"/>
      <c r="M312" s="241"/>
      <c r="N312" s="219"/>
      <c r="O312" s="191"/>
      <c r="P312" s="276"/>
      <c r="Q312" s="273"/>
    </row>
    <row r="313" spans="1:17" ht="12.75" hidden="1">
      <c r="A313" s="16" t="s">
        <v>142</v>
      </c>
      <c r="B313" s="56"/>
      <c r="C313" s="111"/>
      <c r="D313" s="101"/>
      <c r="E313" s="72"/>
      <c r="F313" s="172">
        <f>C313+D313+E313</f>
        <v>0</v>
      </c>
      <c r="G313" s="73"/>
      <c r="H313" s="217"/>
      <c r="I313" s="190">
        <f>F313+G313+H313</f>
        <v>0</v>
      </c>
      <c r="J313" s="239"/>
      <c r="K313" s="217"/>
      <c r="L313" s="190">
        <f>I313+J313+K313</f>
        <v>0</v>
      </c>
      <c r="M313" s="239"/>
      <c r="N313" s="217"/>
      <c r="O313" s="190">
        <f>L313+M313+N313</f>
        <v>0</v>
      </c>
      <c r="P313" s="276"/>
      <c r="Q313" s="273">
        <f>O313+P313</f>
        <v>0</v>
      </c>
    </row>
    <row r="314" spans="1:17" ht="12.75">
      <c r="A314" s="19" t="s">
        <v>223</v>
      </c>
      <c r="B314" s="59"/>
      <c r="C314" s="163">
        <v>800</v>
      </c>
      <c r="D314" s="154">
        <f>200</f>
        <v>200</v>
      </c>
      <c r="E314" s="80"/>
      <c r="F314" s="177">
        <f>C314+D314+E314</f>
        <v>1000</v>
      </c>
      <c r="G314" s="208"/>
      <c r="H314" s="223"/>
      <c r="I314" s="195">
        <f>F314+G314+H314</f>
        <v>1000</v>
      </c>
      <c r="J314" s="246"/>
      <c r="K314" s="223"/>
      <c r="L314" s="195">
        <f>I314+J314+K314</f>
        <v>1000</v>
      </c>
      <c r="M314" s="246"/>
      <c r="N314" s="223"/>
      <c r="O314" s="195">
        <f>L314+M314+N314</f>
        <v>1000</v>
      </c>
      <c r="P314" s="315"/>
      <c r="Q314" s="280">
        <f>O314+P314</f>
        <v>1000</v>
      </c>
    </row>
    <row r="315" spans="1:17" ht="12.75" hidden="1">
      <c r="A315" s="16" t="s">
        <v>224</v>
      </c>
      <c r="B315" s="56"/>
      <c r="C315" s="111"/>
      <c r="D315" s="101"/>
      <c r="E315" s="72"/>
      <c r="F315" s="172">
        <f>C315+D315+E315</f>
        <v>0</v>
      </c>
      <c r="G315" s="73"/>
      <c r="H315" s="217"/>
      <c r="I315" s="190">
        <f>F315+G315+H315</f>
        <v>0</v>
      </c>
      <c r="J315" s="239"/>
      <c r="K315" s="217"/>
      <c r="L315" s="190">
        <f>I315+J315+K315</f>
        <v>0</v>
      </c>
      <c r="M315" s="239"/>
      <c r="N315" s="217"/>
      <c r="O315" s="190">
        <f>L315+M315+N315</f>
        <v>0</v>
      </c>
      <c r="P315" s="276"/>
      <c r="Q315" s="273">
        <f>O315+P315</f>
        <v>0</v>
      </c>
    </row>
    <row r="316" spans="1:17" ht="12.75" hidden="1">
      <c r="A316" s="16" t="s">
        <v>49</v>
      </c>
      <c r="B316" s="56"/>
      <c r="C316" s="111"/>
      <c r="D316" s="101"/>
      <c r="E316" s="72"/>
      <c r="F316" s="172">
        <f>C316+D316+E316</f>
        <v>0</v>
      </c>
      <c r="G316" s="73"/>
      <c r="H316" s="217"/>
      <c r="I316" s="190">
        <f>F316+G316+H316</f>
        <v>0</v>
      </c>
      <c r="J316" s="239"/>
      <c r="K316" s="217"/>
      <c r="L316" s="190">
        <f>I316+J316+K316</f>
        <v>0</v>
      </c>
      <c r="M316" s="239"/>
      <c r="N316" s="217"/>
      <c r="O316" s="190">
        <f>L316+M316+N316</f>
        <v>0</v>
      </c>
      <c r="P316" s="276"/>
      <c r="Q316" s="273">
        <f>O316+P316</f>
        <v>0</v>
      </c>
    </row>
    <row r="317" spans="1:17" ht="12.75" hidden="1">
      <c r="A317" s="19" t="s">
        <v>51</v>
      </c>
      <c r="B317" s="59"/>
      <c r="C317" s="163"/>
      <c r="D317" s="154"/>
      <c r="E317" s="80"/>
      <c r="F317" s="177">
        <f>C317+D317+E317</f>
        <v>0</v>
      </c>
      <c r="G317" s="208"/>
      <c r="H317" s="223"/>
      <c r="I317" s="195">
        <f>F317+G317+H317</f>
        <v>0</v>
      </c>
      <c r="J317" s="246"/>
      <c r="K317" s="223"/>
      <c r="L317" s="195">
        <f>I317+J317+K317</f>
        <v>0</v>
      </c>
      <c r="M317" s="246"/>
      <c r="N317" s="223"/>
      <c r="O317" s="195">
        <f>L317+M317+N317</f>
        <v>0</v>
      </c>
      <c r="P317" s="276"/>
      <c r="Q317" s="273">
        <f>O317+P317</f>
        <v>0</v>
      </c>
    </row>
    <row r="318" spans="1:17" ht="12.75">
      <c r="A318" s="13" t="s">
        <v>227</v>
      </c>
      <c r="B318" s="60"/>
      <c r="C318" s="110">
        <f aca="true" t="shared" si="108" ref="C318:Q318">C319+C335</f>
        <v>491947.48</v>
      </c>
      <c r="D318" s="91">
        <f t="shared" si="108"/>
        <v>9355.5</v>
      </c>
      <c r="E318" s="71">
        <f t="shared" si="108"/>
        <v>0</v>
      </c>
      <c r="F318" s="171">
        <f t="shared" si="108"/>
        <v>501302.98</v>
      </c>
      <c r="G318" s="70">
        <f t="shared" si="108"/>
        <v>1996.97</v>
      </c>
      <c r="H318" s="216">
        <f t="shared" si="108"/>
        <v>0</v>
      </c>
      <c r="I318" s="189">
        <f t="shared" si="108"/>
        <v>503299.94999999995</v>
      </c>
      <c r="J318" s="238">
        <f t="shared" si="108"/>
        <v>0</v>
      </c>
      <c r="K318" s="216">
        <f t="shared" si="108"/>
        <v>0</v>
      </c>
      <c r="L318" s="189">
        <f t="shared" si="108"/>
        <v>503299.94999999995</v>
      </c>
      <c r="M318" s="238">
        <f t="shared" si="108"/>
        <v>10000</v>
      </c>
      <c r="N318" s="216">
        <f t="shared" si="108"/>
        <v>0</v>
      </c>
      <c r="O318" s="189">
        <f t="shared" si="108"/>
        <v>513299.94999999995</v>
      </c>
      <c r="P318" s="308">
        <f t="shared" si="108"/>
        <v>0</v>
      </c>
      <c r="Q318" s="272">
        <f t="shared" si="108"/>
        <v>513299.94999999995</v>
      </c>
    </row>
    <row r="319" spans="1:17" ht="12.75">
      <c r="A319" s="22" t="s">
        <v>46</v>
      </c>
      <c r="B319" s="60"/>
      <c r="C319" s="114">
        <f aca="true" t="shared" si="109" ref="C319:Q319">SUM(C321:C334)</f>
        <v>491947.48</v>
      </c>
      <c r="D319" s="104">
        <f t="shared" si="109"/>
        <v>9355.5</v>
      </c>
      <c r="E319" s="79">
        <f t="shared" si="109"/>
        <v>0</v>
      </c>
      <c r="F319" s="175">
        <f t="shared" si="109"/>
        <v>501302.98</v>
      </c>
      <c r="G319" s="78">
        <f t="shared" si="109"/>
        <v>1996.97</v>
      </c>
      <c r="H319" s="221">
        <f t="shared" si="109"/>
        <v>0</v>
      </c>
      <c r="I319" s="193">
        <f t="shared" si="109"/>
        <v>503299.94999999995</v>
      </c>
      <c r="J319" s="244">
        <f t="shared" si="109"/>
        <v>0</v>
      </c>
      <c r="K319" s="221">
        <f t="shared" si="109"/>
        <v>0</v>
      </c>
      <c r="L319" s="193">
        <f t="shared" si="109"/>
        <v>503299.94999999995</v>
      </c>
      <c r="M319" s="244">
        <f t="shared" si="109"/>
        <v>10000</v>
      </c>
      <c r="N319" s="221">
        <f t="shared" si="109"/>
        <v>0</v>
      </c>
      <c r="O319" s="193">
        <f t="shared" si="109"/>
        <v>513299.94999999995</v>
      </c>
      <c r="P319" s="311">
        <f t="shared" si="109"/>
        <v>0</v>
      </c>
      <c r="Q319" s="278">
        <f t="shared" si="109"/>
        <v>513299.94999999995</v>
      </c>
    </row>
    <row r="320" spans="1:17" ht="12.75">
      <c r="A320" s="18" t="s">
        <v>26</v>
      </c>
      <c r="B320" s="56"/>
      <c r="C320" s="111"/>
      <c r="D320" s="101"/>
      <c r="E320" s="72"/>
      <c r="F320" s="172"/>
      <c r="G320" s="73"/>
      <c r="H320" s="217"/>
      <c r="I320" s="190"/>
      <c r="J320" s="239"/>
      <c r="K320" s="217"/>
      <c r="L320" s="190"/>
      <c r="M320" s="239"/>
      <c r="N320" s="217"/>
      <c r="O320" s="190"/>
      <c r="P320" s="276"/>
      <c r="Q320" s="273"/>
    </row>
    <row r="321" spans="1:17" ht="12.75">
      <c r="A321" s="57" t="s">
        <v>125</v>
      </c>
      <c r="B321" s="56"/>
      <c r="C321" s="111">
        <v>286095.26</v>
      </c>
      <c r="D321" s="141">
        <f>1339.5</f>
        <v>1339.5</v>
      </c>
      <c r="E321" s="72"/>
      <c r="F321" s="172">
        <f aca="true" t="shared" si="110" ref="F321:F334">C321+D321+E321</f>
        <v>287434.76</v>
      </c>
      <c r="G321" s="73"/>
      <c r="H321" s="217"/>
      <c r="I321" s="190">
        <f>F321+G321+H321</f>
        <v>287434.76</v>
      </c>
      <c r="J321" s="239"/>
      <c r="K321" s="217"/>
      <c r="L321" s="190">
        <f>I321+J321+K321</f>
        <v>287434.76</v>
      </c>
      <c r="M321" s="239">
        <f>7283.11</f>
        <v>7283.11</v>
      </c>
      <c r="N321" s="217"/>
      <c r="O321" s="190">
        <f>L321+M321+N321</f>
        <v>294717.87</v>
      </c>
      <c r="P321" s="276"/>
      <c r="Q321" s="273">
        <f aca="true" t="shared" si="111" ref="Q321:Q333">O321+P321</f>
        <v>294717.87</v>
      </c>
    </row>
    <row r="322" spans="1:17" ht="12.75">
      <c r="A322" s="16" t="s">
        <v>47</v>
      </c>
      <c r="B322" s="56"/>
      <c r="C322" s="111">
        <v>96478.54</v>
      </c>
      <c r="D322" s="101"/>
      <c r="E322" s="72"/>
      <c r="F322" s="172">
        <f t="shared" si="110"/>
        <v>96478.54</v>
      </c>
      <c r="G322" s="73"/>
      <c r="H322" s="217"/>
      <c r="I322" s="190">
        <f aca="true" t="shared" si="112" ref="I322:I331">F322+G322+H322</f>
        <v>96478.54</v>
      </c>
      <c r="J322" s="239"/>
      <c r="K322" s="217"/>
      <c r="L322" s="190">
        <f aca="true" t="shared" si="113" ref="L322:L334">I322+J322+K322</f>
        <v>96478.54</v>
      </c>
      <c r="M322" s="239">
        <f>2462</f>
        <v>2462</v>
      </c>
      <c r="N322" s="217"/>
      <c r="O322" s="190">
        <f aca="true" t="shared" si="114" ref="O322:O334">L322+M322+N322</f>
        <v>98940.54</v>
      </c>
      <c r="P322" s="276"/>
      <c r="Q322" s="273">
        <f t="shared" si="111"/>
        <v>98940.54</v>
      </c>
    </row>
    <row r="323" spans="1:17" ht="12.75">
      <c r="A323" s="16" t="s">
        <v>222</v>
      </c>
      <c r="B323" s="56"/>
      <c r="C323" s="111">
        <v>196</v>
      </c>
      <c r="D323" s="101"/>
      <c r="E323" s="72"/>
      <c r="F323" s="172">
        <f t="shared" si="110"/>
        <v>196</v>
      </c>
      <c r="G323" s="73"/>
      <c r="H323" s="217"/>
      <c r="I323" s="190">
        <f t="shared" si="112"/>
        <v>196</v>
      </c>
      <c r="J323" s="239"/>
      <c r="K323" s="217"/>
      <c r="L323" s="190">
        <f t="shared" si="113"/>
        <v>196</v>
      </c>
      <c r="M323" s="239"/>
      <c r="N323" s="217"/>
      <c r="O323" s="190">
        <f t="shared" si="114"/>
        <v>196</v>
      </c>
      <c r="P323" s="276"/>
      <c r="Q323" s="273">
        <f t="shared" si="111"/>
        <v>196</v>
      </c>
    </row>
    <row r="324" spans="1:17" ht="12.75">
      <c r="A324" s="16" t="s">
        <v>48</v>
      </c>
      <c r="B324" s="56"/>
      <c r="C324" s="111">
        <v>44294.28</v>
      </c>
      <c r="D324" s="153">
        <f>3500</f>
        <v>3500</v>
      </c>
      <c r="E324" s="72"/>
      <c r="F324" s="172">
        <f t="shared" si="110"/>
        <v>47794.28</v>
      </c>
      <c r="G324" s="73">
        <f>505.74</f>
        <v>505.74</v>
      </c>
      <c r="H324" s="217"/>
      <c r="I324" s="190">
        <f t="shared" si="112"/>
        <v>48300.02</v>
      </c>
      <c r="J324" s="239"/>
      <c r="K324" s="217"/>
      <c r="L324" s="190">
        <f t="shared" si="113"/>
        <v>48300.02</v>
      </c>
      <c r="M324" s="239">
        <f>254.89</f>
        <v>254.89</v>
      </c>
      <c r="N324" s="217"/>
      <c r="O324" s="190">
        <f t="shared" si="114"/>
        <v>48554.909999999996</v>
      </c>
      <c r="P324" s="276"/>
      <c r="Q324" s="273">
        <f t="shared" si="111"/>
        <v>48554.909999999996</v>
      </c>
    </row>
    <row r="325" spans="1:17" ht="12.75">
      <c r="A325" s="16" t="s">
        <v>52</v>
      </c>
      <c r="B325" s="56">
        <v>1115</v>
      </c>
      <c r="C325" s="111">
        <v>343</v>
      </c>
      <c r="D325" s="101">
        <f>201</f>
        <v>201</v>
      </c>
      <c r="E325" s="72"/>
      <c r="F325" s="172">
        <f t="shared" si="110"/>
        <v>544</v>
      </c>
      <c r="G325" s="73"/>
      <c r="H325" s="217"/>
      <c r="I325" s="190">
        <f t="shared" si="112"/>
        <v>544</v>
      </c>
      <c r="J325" s="239"/>
      <c r="K325" s="217"/>
      <c r="L325" s="190">
        <f t="shared" si="113"/>
        <v>544</v>
      </c>
      <c r="M325" s="239"/>
      <c r="N325" s="217"/>
      <c r="O325" s="190">
        <f t="shared" si="114"/>
        <v>544</v>
      </c>
      <c r="P325" s="276"/>
      <c r="Q325" s="273">
        <f t="shared" si="111"/>
        <v>544</v>
      </c>
    </row>
    <row r="326" spans="1:17" ht="12.75">
      <c r="A326" s="16" t="s">
        <v>53</v>
      </c>
      <c r="B326" s="56">
        <v>51</v>
      </c>
      <c r="C326" s="111">
        <v>64540.4</v>
      </c>
      <c r="D326" s="101">
        <f>3500</f>
        <v>3500</v>
      </c>
      <c r="E326" s="72"/>
      <c r="F326" s="172">
        <f t="shared" si="110"/>
        <v>68040.4</v>
      </c>
      <c r="G326" s="73"/>
      <c r="H326" s="217"/>
      <c r="I326" s="190">
        <f t="shared" si="112"/>
        <v>68040.4</v>
      </c>
      <c r="J326" s="239"/>
      <c r="K326" s="217"/>
      <c r="L326" s="190">
        <f t="shared" si="113"/>
        <v>68040.4</v>
      </c>
      <c r="M326" s="239"/>
      <c r="N326" s="217"/>
      <c r="O326" s="190">
        <f t="shared" si="114"/>
        <v>68040.4</v>
      </c>
      <c r="P326" s="276"/>
      <c r="Q326" s="273">
        <f t="shared" si="111"/>
        <v>68040.4</v>
      </c>
    </row>
    <row r="327" spans="1:17" ht="12.75" hidden="1">
      <c r="A327" s="16" t="s">
        <v>69</v>
      </c>
      <c r="B327" s="56"/>
      <c r="C327" s="111"/>
      <c r="D327" s="101"/>
      <c r="E327" s="72"/>
      <c r="F327" s="172">
        <f t="shared" si="110"/>
        <v>0</v>
      </c>
      <c r="G327" s="73"/>
      <c r="H327" s="217"/>
      <c r="I327" s="190">
        <f t="shared" si="112"/>
        <v>0</v>
      </c>
      <c r="J327" s="239"/>
      <c r="K327" s="217"/>
      <c r="L327" s="190">
        <f t="shared" si="113"/>
        <v>0</v>
      </c>
      <c r="M327" s="239"/>
      <c r="N327" s="217"/>
      <c r="O327" s="190">
        <f t="shared" si="114"/>
        <v>0</v>
      </c>
      <c r="P327" s="276"/>
      <c r="Q327" s="273">
        <f t="shared" si="111"/>
        <v>0</v>
      </c>
    </row>
    <row r="328" spans="1:17" ht="12.75">
      <c r="A328" s="16" t="s">
        <v>338</v>
      </c>
      <c r="B328" s="56">
        <v>13015</v>
      </c>
      <c r="C328" s="111"/>
      <c r="D328" s="101"/>
      <c r="E328" s="72"/>
      <c r="F328" s="172">
        <f t="shared" si="110"/>
        <v>0</v>
      </c>
      <c r="G328" s="73">
        <f>976.23</f>
        <v>976.23</v>
      </c>
      <c r="H328" s="217"/>
      <c r="I328" s="190">
        <f t="shared" si="112"/>
        <v>976.23</v>
      </c>
      <c r="J328" s="239"/>
      <c r="K328" s="217"/>
      <c r="L328" s="190">
        <f t="shared" si="113"/>
        <v>976.23</v>
      </c>
      <c r="M328" s="239"/>
      <c r="N328" s="217"/>
      <c r="O328" s="190">
        <f t="shared" si="114"/>
        <v>976.23</v>
      </c>
      <c r="P328" s="276"/>
      <c r="Q328" s="273">
        <f t="shared" si="111"/>
        <v>976.23</v>
      </c>
    </row>
    <row r="329" spans="1:17" ht="12.75" hidden="1">
      <c r="A329" s="16" t="s">
        <v>54</v>
      </c>
      <c r="B329" s="56"/>
      <c r="C329" s="111"/>
      <c r="D329" s="101"/>
      <c r="E329" s="72"/>
      <c r="F329" s="172">
        <f t="shared" si="110"/>
        <v>0</v>
      </c>
      <c r="G329" s="73"/>
      <c r="H329" s="217"/>
      <c r="I329" s="190">
        <f t="shared" si="112"/>
        <v>0</v>
      </c>
      <c r="J329" s="239"/>
      <c r="K329" s="217"/>
      <c r="L329" s="190">
        <f t="shared" si="113"/>
        <v>0</v>
      </c>
      <c r="M329" s="239"/>
      <c r="N329" s="217"/>
      <c r="O329" s="190">
        <f t="shared" si="114"/>
        <v>0</v>
      </c>
      <c r="P329" s="276"/>
      <c r="Q329" s="273">
        <f t="shared" si="111"/>
        <v>0</v>
      </c>
    </row>
    <row r="330" spans="1:17" ht="12.75">
      <c r="A330" s="16" t="s">
        <v>230</v>
      </c>
      <c r="B330" s="56">
        <v>98008</v>
      </c>
      <c r="C330" s="111"/>
      <c r="D330" s="101">
        <f>800</f>
        <v>800</v>
      </c>
      <c r="E330" s="72"/>
      <c r="F330" s="172">
        <f t="shared" si="110"/>
        <v>800</v>
      </c>
      <c r="G330" s="73"/>
      <c r="H330" s="217"/>
      <c r="I330" s="190">
        <f t="shared" si="112"/>
        <v>800</v>
      </c>
      <c r="J330" s="239"/>
      <c r="K330" s="217"/>
      <c r="L330" s="190">
        <f t="shared" si="113"/>
        <v>800</v>
      </c>
      <c r="M330" s="239"/>
      <c r="N330" s="217"/>
      <c r="O330" s="190">
        <f t="shared" si="114"/>
        <v>800</v>
      </c>
      <c r="P330" s="276"/>
      <c r="Q330" s="273">
        <f t="shared" si="111"/>
        <v>800</v>
      </c>
    </row>
    <row r="331" spans="1:17" ht="12.75" hidden="1">
      <c r="A331" s="16" t="s">
        <v>231</v>
      </c>
      <c r="B331" s="56">
        <v>98071</v>
      </c>
      <c r="C331" s="111"/>
      <c r="D331" s="101"/>
      <c r="E331" s="72"/>
      <c r="F331" s="172">
        <f t="shared" si="110"/>
        <v>0</v>
      </c>
      <c r="G331" s="73"/>
      <c r="H331" s="217"/>
      <c r="I331" s="190">
        <f t="shared" si="112"/>
        <v>0</v>
      </c>
      <c r="J331" s="239"/>
      <c r="K331" s="217"/>
      <c r="L331" s="190">
        <f t="shared" si="113"/>
        <v>0</v>
      </c>
      <c r="M331" s="239"/>
      <c r="N331" s="217"/>
      <c r="O331" s="190">
        <f t="shared" si="114"/>
        <v>0</v>
      </c>
      <c r="P331" s="276"/>
      <c r="Q331" s="273">
        <f t="shared" si="111"/>
        <v>0</v>
      </c>
    </row>
    <row r="332" spans="1:17" ht="12.75">
      <c r="A332" s="16" t="s">
        <v>55</v>
      </c>
      <c r="B332" s="56">
        <v>98074</v>
      </c>
      <c r="C332" s="111"/>
      <c r="D332" s="101">
        <f>15</f>
        <v>15</v>
      </c>
      <c r="E332" s="72"/>
      <c r="F332" s="172">
        <f t="shared" si="110"/>
        <v>15</v>
      </c>
      <c r="G332" s="73">
        <f>15</f>
        <v>15</v>
      </c>
      <c r="H332" s="217"/>
      <c r="I332" s="190">
        <f>F332+G332+H332</f>
        <v>30</v>
      </c>
      <c r="J332" s="239"/>
      <c r="K332" s="217"/>
      <c r="L332" s="190">
        <f t="shared" si="113"/>
        <v>30</v>
      </c>
      <c r="M332" s="239"/>
      <c r="N332" s="217"/>
      <c r="O332" s="190">
        <f t="shared" si="114"/>
        <v>30</v>
      </c>
      <c r="P332" s="276"/>
      <c r="Q332" s="273">
        <f t="shared" si="111"/>
        <v>30</v>
      </c>
    </row>
    <row r="333" spans="1:17" ht="12.75" hidden="1">
      <c r="A333" s="16" t="s">
        <v>56</v>
      </c>
      <c r="B333" s="56"/>
      <c r="C333" s="111"/>
      <c r="D333" s="101"/>
      <c r="E333" s="72"/>
      <c r="F333" s="172">
        <f t="shared" si="110"/>
        <v>0</v>
      </c>
      <c r="G333" s="73"/>
      <c r="H333" s="217"/>
      <c r="I333" s="190">
        <f>F333+G333+H333</f>
        <v>0</v>
      </c>
      <c r="J333" s="239"/>
      <c r="K333" s="217"/>
      <c r="L333" s="190">
        <f t="shared" si="113"/>
        <v>0</v>
      </c>
      <c r="M333" s="239"/>
      <c r="N333" s="217"/>
      <c r="O333" s="190">
        <f t="shared" si="114"/>
        <v>0</v>
      </c>
      <c r="P333" s="276"/>
      <c r="Q333" s="273">
        <f t="shared" si="111"/>
        <v>0</v>
      </c>
    </row>
    <row r="334" spans="1:17" ht="12.75">
      <c r="A334" s="19" t="s">
        <v>57</v>
      </c>
      <c r="B334" s="59">
        <v>4001</v>
      </c>
      <c r="C334" s="163"/>
      <c r="D334" s="154"/>
      <c r="E334" s="80"/>
      <c r="F334" s="177">
        <f t="shared" si="110"/>
        <v>0</v>
      </c>
      <c r="G334" s="208">
        <f>500</f>
        <v>500</v>
      </c>
      <c r="H334" s="223"/>
      <c r="I334" s="195">
        <f>F334+G334+H334</f>
        <v>500</v>
      </c>
      <c r="J334" s="246"/>
      <c r="K334" s="223"/>
      <c r="L334" s="195">
        <f t="shared" si="113"/>
        <v>500</v>
      </c>
      <c r="M334" s="246"/>
      <c r="N334" s="223"/>
      <c r="O334" s="195">
        <f t="shared" si="114"/>
        <v>500</v>
      </c>
      <c r="P334" s="315"/>
      <c r="Q334" s="280">
        <f>O334+P334</f>
        <v>500</v>
      </c>
    </row>
    <row r="335" spans="1:17" ht="12.75" hidden="1">
      <c r="A335" s="22" t="s">
        <v>50</v>
      </c>
      <c r="B335" s="60"/>
      <c r="C335" s="114">
        <f>C338+C337</f>
        <v>0</v>
      </c>
      <c r="D335" s="104">
        <f aca="true" t="shared" si="115" ref="D335:Q335">D338+D337</f>
        <v>0</v>
      </c>
      <c r="E335" s="79">
        <f t="shared" si="115"/>
        <v>0</v>
      </c>
      <c r="F335" s="175">
        <f t="shared" si="115"/>
        <v>0</v>
      </c>
      <c r="G335" s="78">
        <f t="shared" si="115"/>
        <v>0</v>
      </c>
      <c r="H335" s="221">
        <f t="shared" si="115"/>
        <v>0</v>
      </c>
      <c r="I335" s="193">
        <f t="shared" si="115"/>
        <v>0</v>
      </c>
      <c r="J335" s="244">
        <f t="shared" si="115"/>
        <v>0</v>
      </c>
      <c r="K335" s="221">
        <f t="shared" si="115"/>
        <v>0</v>
      </c>
      <c r="L335" s="193">
        <f t="shared" si="115"/>
        <v>0</v>
      </c>
      <c r="M335" s="244">
        <f t="shared" si="115"/>
        <v>0</v>
      </c>
      <c r="N335" s="221">
        <f t="shared" si="115"/>
        <v>0</v>
      </c>
      <c r="O335" s="193">
        <f t="shared" si="115"/>
        <v>0</v>
      </c>
      <c r="P335" s="311">
        <f t="shared" si="115"/>
        <v>0</v>
      </c>
      <c r="Q335" s="278">
        <f t="shared" si="115"/>
        <v>0</v>
      </c>
    </row>
    <row r="336" spans="1:17" ht="12.75" hidden="1">
      <c r="A336" s="18" t="s">
        <v>26</v>
      </c>
      <c r="B336" s="56"/>
      <c r="C336" s="111"/>
      <c r="D336" s="101"/>
      <c r="E336" s="72"/>
      <c r="F336" s="171"/>
      <c r="G336" s="73"/>
      <c r="H336" s="217"/>
      <c r="I336" s="189"/>
      <c r="J336" s="239"/>
      <c r="K336" s="217"/>
      <c r="L336" s="189"/>
      <c r="M336" s="239"/>
      <c r="N336" s="217"/>
      <c r="O336" s="189"/>
      <c r="P336" s="276"/>
      <c r="Q336" s="273"/>
    </row>
    <row r="337" spans="1:17" ht="12.75" hidden="1">
      <c r="A337" s="15" t="s">
        <v>51</v>
      </c>
      <c r="B337" s="56"/>
      <c r="C337" s="111"/>
      <c r="D337" s="101"/>
      <c r="E337" s="72"/>
      <c r="F337" s="172">
        <f>C337+D337+E337</f>
        <v>0</v>
      </c>
      <c r="G337" s="73"/>
      <c r="H337" s="217"/>
      <c r="I337" s="190">
        <f>F337+G337+H337</f>
        <v>0</v>
      </c>
      <c r="J337" s="239"/>
      <c r="K337" s="217"/>
      <c r="L337" s="190">
        <f>I337+J337+K337</f>
        <v>0</v>
      </c>
      <c r="M337" s="239"/>
      <c r="N337" s="217"/>
      <c r="O337" s="190">
        <f>L337+M337+N337</f>
        <v>0</v>
      </c>
      <c r="P337" s="276"/>
      <c r="Q337" s="273">
        <f>O337+P337</f>
        <v>0</v>
      </c>
    </row>
    <row r="338" spans="1:17" ht="12.75" hidden="1">
      <c r="A338" s="19" t="s">
        <v>70</v>
      </c>
      <c r="B338" s="59"/>
      <c r="C338" s="163"/>
      <c r="D338" s="154"/>
      <c r="E338" s="80"/>
      <c r="F338" s="177">
        <f>C338+D338+E338</f>
        <v>0</v>
      </c>
      <c r="G338" s="208"/>
      <c r="H338" s="223"/>
      <c r="I338" s="195">
        <f>F338+G338+H338</f>
        <v>0</v>
      </c>
      <c r="J338" s="246"/>
      <c r="K338" s="223"/>
      <c r="L338" s="195">
        <f>I338+J338+K338</f>
        <v>0</v>
      </c>
      <c r="M338" s="246"/>
      <c r="N338" s="223"/>
      <c r="O338" s="195">
        <f>L338+M338+N338</f>
        <v>0</v>
      </c>
      <c r="P338" s="314"/>
      <c r="Q338" s="280">
        <f>O338+P338</f>
        <v>0</v>
      </c>
    </row>
    <row r="339" spans="1:17" ht="12.75">
      <c r="A339" s="27" t="s">
        <v>152</v>
      </c>
      <c r="B339" s="61"/>
      <c r="C339" s="110">
        <f aca="true" t="shared" si="116" ref="C339:Q339">C340+C370</f>
        <v>552007.16</v>
      </c>
      <c r="D339" s="91">
        <f t="shared" si="116"/>
        <v>1590894.3599999999</v>
      </c>
      <c r="E339" s="71">
        <f t="shared" si="116"/>
        <v>0</v>
      </c>
      <c r="F339" s="171">
        <f t="shared" si="116"/>
        <v>2142901.52</v>
      </c>
      <c r="G339" s="70">
        <f t="shared" si="116"/>
        <v>551502.7600000001</v>
      </c>
      <c r="H339" s="216">
        <f t="shared" si="116"/>
        <v>4610.66</v>
      </c>
      <c r="I339" s="189">
        <f t="shared" si="116"/>
        <v>2699014.94</v>
      </c>
      <c r="J339" s="238">
        <f t="shared" si="116"/>
        <v>170145.96</v>
      </c>
      <c r="K339" s="216">
        <f t="shared" si="116"/>
        <v>13641.18</v>
      </c>
      <c r="L339" s="189">
        <f t="shared" si="116"/>
        <v>2882802.08</v>
      </c>
      <c r="M339" s="238">
        <f t="shared" si="116"/>
        <v>334726.1</v>
      </c>
      <c r="N339" s="216">
        <f t="shared" si="116"/>
        <v>20325.13</v>
      </c>
      <c r="O339" s="189">
        <f t="shared" si="116"/>
        <v>3237853.31</v>
      </c>
      <c r="P339" s="308">
        <f t="shared" si="116"/>
        <v>-315671.36</v>
      </c>
      <c r="Q339" s="272">
        <f t="shared" si="116"/>
        <v>2922181.95</v>
      </c>
    </row>
    <row r="340" spans="1:17" ht="12.75">
      <c r="A340" s="22" t="s">
        <v>46</v>
      </c>
      <c r="B340" s="60"/>
      <c r="C340" s="114">
        <f aca="true" t="shared" si="117" ref="C340:Q340">SUM(C342:C358)</f>
        <v>95289.24</v>
      </c>
      <c r="D340" s="104">
        <f t="shared" si="117"/>
        <v>50573.979999999996</v>
      </c>
      <c r="E340" s="79">
        <f t="shared" si="117"/>
        <v>0</v>
      </c>
      <c r="F340" s="175">
        <f t="shared" si="117"/>
        <v>145863.22</v>
      </c>
      <c r="G340" s="78">
        <f t="shared" si="117"/>
        <v>8903.93</v>
      </c>
      <c r="H340" s="221">
        <f t="shared" si="117"/>
        <v>21.78</v>
      </c>
      <c r="I340" s="193">
        <f t="shared" si="117"/>
        <v>154788.93</v>
      </c>
      <c r="J340" s="244">
        <f t="shared" si="117"/>
        <v>27937.989999999998</v>
      </c>
      <c r="K340" s="221">
        <f t="shared" si="117"/>
        <v>21.78</v>
      </c>
      <c r="L340" s="193">
        <f t="shared" si="117"/>
        <v>182748.7</v>
      </c>
      <c r="M340" s="244">
        <f t="shared" si="117"/>
        <v>98729.89</v>
      </c>
      <c r="N340" s="221">
        <f t="shared" si="117"/>
        <v>540.31</v>
      </c>
      <c r="O340" s="193">
        <f t="shared" si="117"/>
        <v>282018.89999999997</v>
      </c>
      <c r="P340" s="311">
        <f t="shared" si="117"/>
        <v>-3591.3599999999997</v>
      </c>
      <c r="Q340" s="278">
        <f t="shared" si="117"/>
        <v>278427.54000000004</v>
      </c>
    </row>
    <row r="341" spans="1:17" ht="12.75">
      <c r="A341" s="18" t="s">
        <v>26</v>
      </c>
      <c r="B341" s="56"/>
      <c r="C341" s="114"/>
      <c r="D341" s="155"/>
      <c r="E341" s="89"/>
      <c r="F341" s="175"/>
      <c r="G341" s="73"/>
      <c r="H341" s="217"/>
      <c r="I341" s="190"/>
      <c r="J341" s="239"/>
      <c r="K341" s="217"/>
      <c r="L341" s="190"/>
      <c r="M341" s="242"/>
      <c r="N341" s="217"/>
      <c r="O341" s="190"/>
      <c r="P341" s="276"/>
      <c r="Q341" s="273"/>
    </row>
    <row r="342" spans="1:17" ht="12.75">
      <c r="A342" s="20" t="s">
        <v>48</v>
      </c>
      <c r="B342" s="56"/>
      <c r="C342" s="111">
        <v>10512.95</v>
      </c>
      <c r="D342" s="141">
        <f>3890.43+6647.9+1000</f>
        <v>11538.33</v>
      </c>
      <c r="E342" s="83"/>
      <c r="F342" s="172">
        <f aca="true" t="shared" si="118" ref="F342:F369">C342+D342+E342</f>
        <v>22051.28</v>
      </c>
      <c r="G342" s="73">
        <f>302.5+980</f>
        <v>1282.5</v>
      </c>
      <c r="H342" s="217"/>
      <c r="I342" s="190">
        <f aca="true" t="shared" si="119" ref="I342:I369">F342+G342+H342</f>
        <v>23333.78</v>
      </c>
      <c r="J342" s="239">
        <f>500</f>
        <v>500</v>
      </c>
      <c r="K342" s="217"/>
      <c r="L342" s="190">
        <f aca="true" t="shared" si="120" ref="L342:L357">I342+J342+K342</f>
        <v>23833.78</v>
      </c>
      <c r="M342" s="242">
        <f>-302.5-96</f>
        <v>-398.5</v>
      </c>
      <c r="N342" s="217"/>
      <c r="O342" s="190">
        <f aca="true" t="shared" si="121" ref="O342:O369">L342+M342+N342</f>
        <v>23435.28</v>
      </c>
      <c r="P342" s="276">
        <f>1210+228.93+120+888.96</f>
        <v>2447.8900000000003</v>
      </c>
      <c r="Q342" s="273">
        <f>O342+P342</f>
        <v>25883.17</v>
      </c>
    </row>
    <row r="343" spans="1:17" ht="12.75" hidden="1">
      <c r="A343" s="20" t="s">
        <v>307</v>
      </c>
      <c r="B343" s="56"/>
      <c r="C343" s="111"/>
      <c r="D343" s="141">
        <f>1246.76-1246.76</f>
        <v>0</v>
      </c>
      <c r="E343" s="83"/>
      <c r="F343" s="172">
        <f t="shared" si="118"/>
        <v>0</v>
      </c>
      <c r="G343" s="73"/>
      <c r="H343" s="217"/>
      <c r="I343" s="190">
        <f t="shared" si="119"/>
        <v>0</v>
      </c>
      <c r="J343" s="239"/>
      <c r="K343" s="217"/>
      <c r="L343" s="190"/>
      <c r="M343" s="242"/>
      <c r="N343" s="217"/>
      <c r="O343" s="190">
        <f t="shared" si="121"/>
        <v>0</v>
      </c>
      <c r="P343" s="276"/>
      <c r="Q343" s="273"/>
    </row>
    <row r="344" spans="1:17" ht="12.75">
      <c r="A344" s="20" t="s">
        <v>296</v>
      </c>
      <c r="B344" s="56">
        <v>1080</v>
      </c>
      <c r="C344" s="111">
        <v>1000</v>
      </c>
      <c r="D344" s="141"/>
      <c r="E344" s="83"/>
      <c r="F344" s="172">
        <f t="shared" si="118"/>
        <v>1000</v>
      </c>
      <c r="G344" s="73"/>
      <c r="H344" s="217"/>
      <c r="I344" s="190">
        <f t="shared" si="119"/>
        <v>1000</v>
      </c>
      <c r="J344" s="239"/>
      <c r="K344" s="217"/>
      <c r="L344" s="190">
        <f t="shared" si="120"/>
        <v>1000</v>
      </c>
      <c r="M344" s="242"/>
      <c r="N344" s="217"/>
      <c r="O344" s="190">
        <f t="shared" si="121"/>
        <v>1000</v>
      </c>
      <c r="P344" s="276"/>
      <c r="Q344" s="273">
        <f aca="true" t="shared" si="122" ref="Q344:Q369">O344+P344</f>
        <v>1000</v>
      </c>
    </row>
    <row r="345" spans="1:17" ht="12.75">
      <c r="A345" s="20" t="s">
        <v>299</v>
      </c>
      <c r="B345" s="56"/>
      <c r="C345" s="111"/>
      <c r="D345" s="141">
        <f>1246.76</f>
        <v>1246.76</v>
      </c>
      <c r="E345" s="83"/>
      <c r="F345" s="172">
        <f t="shared" si="118"/>
        <v>1246.76</v>
      </c>
      <c r="G345" s="73"/>
      <c r="H345" s="217"/>
      <c r="I345" s="190">
        <f t="shared" si="119"/>
        <v>1246.76</v>
      </c>
      <c r="J345" s="239"/>
      <c r="K345" s="217"/>
      <c r="L345" s="190">
        <f t="shared" si="120"/>
        <v>1246.76</v>
      </c>
      <c r="M345" s="242"/>
      <c r="N345" s="217"/>
      <c r="O345" s="190">
        <f t="shared" si="121"/>
        <v>1246.76</v>
      </c>
      <c r="P345" s="276"/>
      <c r="Q345" s="273">
        <f t="shared" si="122"/>
        <v>1246.76</v>
      </c>
    </row>
    <row r="346" spans="1:17" ht="12.75">
      <c r="A346" s="20" t="s">
        <v>158</v>
      </c>
      <c r="B346" s="108">
        <v>1081.1202</v>
      </c>
      <c r="C346" s="111"/>
      <c r="D346" s="141">
        <f>229.01</f>
        <v>229.01</v>
      </c>
      <c r="E346" s="83"/>
      <c r="F346" s="172">
        <f t="shared" si="118"/>
        <v>229.01</v>
      </c>
      <c r="G346" s="73"/>
      <c r="H346" s="217"/>
      <c r="I346" s="190">
        <f t="shared" si="119"/>
        <v>229.01</v>
      </c>
      <c r="J346" s="239">
        <f>154.5+500</f>
        <v>654.5</v>
      </c>
      <c r="K346" s="217"/>
      <c r="L346" s="190">
        <f t="shared" si="120"/>
        <v>883.51</v>
      </c>
      <c r="M346" s="242">
        <f>302.5</f>
        <v>302.5</v>
      </c>
      <c r="N346" s="217"/>
      <c r="O346" s="190">
        <f t="shared" si="121"/>
        <v>1186.01</v>
      </c>
      <c r="P346" s="276"/>
      <c r="Q346" s="273">
        <f t="shared" si="122"/>
        <v>1186.01</v>
      </c>
    </row>
    <row r="347" spans="1:17" ht="12.75">
      <c r="A347" s="20" t="s">
        <v>306</v>
      </c>
      <c r="B347" s="108"/>
      <c r="C347" s="111"/>
      <c r="D347" s="141">
        <f>300</f>
        <v>300</v>
      </c>
      <c r="E347" s="83"/>
      <c r="F347" s="172">
        <f t="shared" si="118"/>
        <v>300</v>
      </c>
      <c r="G347" s="73">
        <f>-12</f>
        <v>-12</v>
      </c>
      <c r="H347" s="217"/>
      <c r="I347" s="190">
        <f t="shared" si="119"/>
        <v>288</v>
      </c>
      <c r="J347" s="239"/>
      <c r="K347" s="217"/>
      <c r="L347" s="190">
        <f t="shared" si="120"/>
        <v>288</v>
      </c>
      <c r="M347" s="242"/>
      <c r="N347" s="217"/>
      <c r="O347" s="190">
        <f t="shared" si="121"/>
        <v>288</v>
      </c>
      <c r="P347" s="276"/>
      <c r="Q347" s="273">
        <f t="shared" si="122"/>
        <v>288</v>
      </c>
    </row>
    <row r="348" spans="1:17" ht="12.75" hidden="1">
      <c r="A348" s="57" t="s">
        <v>73</v>
      </c>
      <c r="B348" s="56"/>
      <c r="C348" s="111"/>
      <c r="D348" s="141"/>
      <c r="E348" s="83"/>
      <c r="F348" s="172">
        <f t="shared" si="118"/>
        <v>0</v>
      </c>
      <c r="G348" s="73"/>
      <c r="H348" s="217"/>
      <c r="I348" s="190">
        <f t="shared" si="119"/>
        <v>0</v>
      </c>
      <c r="J348" s="239"/>
      <c r="K348" s="217"/>
      <c r="L348" s="190">
        <f t="shared" si="120"/>
        <v>0</v>
      </c>
      <c r="M348" s="242"/>
      <c r="N348" s="217"/>
      <c r="O348" s="190">
        <f t="shared" si="121"/>
        <v>0</v>
      </c>
      <c r="P348" s="276"/>
      <c r="Q348" s="273">
        <f t="shared" si="122"/>
        <v>0</v>
      </c>
    </row>
    <row r="349" spans="1:17" ht="12.75">
      <c r="A349" s="16" t="s">
        <v>164</v>
      </c>
      <c r="B349" s="56"/>
      <c r="C349" s="111">
        <v>55101.29</v>
      </c>
      <c r="D349" s="141">
        <f>1000</f>
        <v>1000</v>
      </c>
      <c r="E349" s="83"/>
      <c r="F349" s="172">
        <f t="shared" si="118"/>
        <v>56101.29</v>
      </c>
      <c r="G349" s="73"/>
      <c r="H349" s="217"/>
      <c r="I349" s="190">
        <f t="shared" si="119"/>
        <v>56101.29</v>
      </c>
      <c r="J349" s="239"/>
      <c r="K349" s="217"/>
      <c r="L349" s="190">
        <f t="shared" si="120"/>
        <v>56101.29</v>
      </c>
      <c r="M349" s="242"/>
      <c r="N349" s="217"/>
      <c r="O349" s="190">
        <f t="shared" si="121"/>
        <v>56101.29</v>
      </c>
      <c r="P349" s="276"/>
      <c r="Q349" s="273">
        <f t="shared" si="122"/>
        <v>56101.29</v>
      </c>
    </row>
    <row r="350" spans="1:17" ht="12.75">
      <c r="A350" s="20" t="s">
        <v>208</v>
      </c>
      <c r="B350" s="56"/>
      <c r="C350" s="111"/>
      <c r="D350" s="141">
        <f>21331.5+100</f>
        <v>21431.5</v>
      </c>
      <c r="E350" s="83"/>
      <c r="F350" s="172">
        <f t="shared" si="118"/>
        <v>21431.5</v>
      </c>
      <c r="G350" s="73"/>
      <c r="H350" s="217"/>
      <c r="I350" s="190">
        <f t="shared" si="119"/>
        <v>21431.5</v>
      </c>
      <c r="J350" s="239"/>
      <c r="K350" s="217"/>
      <c r="L350" s="190">
        <f t="shared" si="120"/>
        <v>21431.5</v>
      </c>
      <c r="M350" s="242"/>
      <c r="N350" s="217"/>
      <c r="O350" s="190">
        <f t="shared" si="121"/>
        <v>21431.5</v>
      </c>
      <c r="P350" s="276">
        <f>-5500</f>
        <v>-5500</v>
      </c>
      <c r="Q350" s="273">
        <f t="shared" si="122"/>
        <v>15931.5</v>
      </c>
    </row>
    <row r="351" spans="1:17" ht="12.75">
      <c r="A351" s="16" t="s">
        <v>179</v>
      </c>
      <c r="B351" s="97">
        <v>212163</v>
      </c>
      <c r="C351" s="111"/>
      <c r="D351" s="141">
        <f>637.35</f>
        <v>637.35</v>
      </c>
      <c r="E351" s="83"/>
      <c r="F351" s="172">
        <f t="shared" si="118"/>
        <v>637.35</v>
      </c>
      <c r="G351" s="73"/>
      <c r="H351" s="217"/>
      <c r="I351" s="190">
        <f t="shared" si="119"/>
        <v>637.35</v>
      </c>
      <c r="J351" s="239"/>
      <c r="K351" s="217"/>
      <c r="L351" s="190">
        <f t="shared" si="120"/>
        <v>637.35</v>
      </c>
      <c r="M351" s="242"/>
      <c r="N351" s="217"/>
      <c r="O351" s="190">
        <f t="shared" si="121"/>
        <v>637.35</v>
      </c>
      <c r="P351" s="276"/>
      <c r="Q351" s="273">
        <f t="shared" si="122"/>
        <v>637.35</v>
      </c>
    </row>
    <row r="352" spans="1:17" ht="12.75" hidden="1">
      <c r="A352" s="20" t="s">
        <v>155</v>
      </c>
      <c r="B352" s="97">
        <v>212162</v>
      </c>
      <c r="C352" s="111"/>
      <c r="D352" s="141"/>
      <c r="E352" s="83"/>
      <c r="F352" s="172">
        <f t="shared" si="118"/>
        <v>0</v>
      </c>
      <c r="G352" s="73"/>
      <c r="H352" s="217"/>
      <c r="I352" s="190">
        <f t="shared" si="119"/>
        <v>0</v>
      </c>
      <c r="J352" s="239"/>
      <c r="K352" s="217"/>
      <c r="L352" s="190">
        <f t="shared" si="120"/>
        <v>0</v>
      </c>
      <c r="M352" s="242"/>
      <c r="N352" s="217"/>
      <c r="O352" s="190">
        <f t="shared" si="121"/>
        <v>0</v>
      </c>
      <c r="P352" s="276"/>
      <c r="Q352" s="273">
        <f t="shared" si="122"/>
        <v>0</v>
      </c>
    </row>
    <row r="353" spans="1:17" ht="12.75">
      <c r="A353" s="20" t="s">
        <v>270</v>
      </c>
      <c r="B353" s="97"/>
      <c r="C353" s="111"/>
      <c r="D353" s="141"/>
      <c r="E353" s="83"/>
      <c r="F353" s="172">
        <f t="shared" si="118"/>
        <v>0</v>
      </c>
      <c r="G353" s="73"/>
      <c r="H353" s="217"/>
      <c r="I353" s="190">
        <f t="shared" si="119"/>
        <v>0</v>
      </c>
      <c r="J353" s="239">
        <f>81.23</f>
        <v>81.23</v>
      </c>
      <c r="K353" s="217"/>
      <c r="L353" s="190">
        <f t="shared" si="120"/>
        <v>81.23</v>
      </c>
      <c r="M353" s="242"/>
      <c r="N353" s="217"/>
      <c r="O353" s="190">
        <f t="shared" si="121"/>
        <v>81.23</v>
      </c>
      <c r="P353" s="276">
        <f>718.51</f>
        <v>718.51</v>
      </c>
      <c r="Q353" s="273">
        <f t="shared" si="122"/>
        <v>799.74</v>
      </c>
    </row>
    <row r="354" spans="1:17" ht="12.75">
      <c r="A354" s="20" t="s">
        <v>281</v>
      </c>
      <c r="B354" s="97"/>
      <c r="C354" s="111"/>
      <c r="D354" s="141"/>
      <c r="E354" s="83"/>
      <c r="F354" s="172">
        <f t="shared" si="118"/>
        <v>0</v>
      </c>
      <c r="G354" s="73"/>
      <c r="H354" s="217"/>
      <c r="I354" s="190">
        <f t="shared" si="119"/>
        <v>0</v>
      </c>
      <c r="J354" s="239"/>
      <c r="K354" s="217"/>
      <c r="L354" s="190">
        <f t="shared" si="120"/>
        <v>0</v>
      </c>
      <c r="M354" s="242">
        <f>82000+12172.08</f>
        <v>94172.08</v>
      </c>
      <c r="N354" s="217"/>
      <c r="O354" s="190">
        <f t="shared" si="121"/>
        <v>94172.08</v>
      </c>
      <c r="P354" s="276"/>
      <c r="Q354" s="273">
        <f t="shared" si="122"/>
        <v>94172.08</v>
      </c>
    </row>
    <row r="355" spans="1:17" ht="12.75">
      <c r="A355" s="36" t="s">
        <v>352</v>
      </c>
      <c r="B355" s="97"/>
      <c r="C355" s="111"/>
      <c r="D355" s="141"/>
      <c r="E355" s="83"/>
      <c r="F355" s="172">
        <f t="shared" si="118"/>
        <v>0</v>
      </c>
      <c r="G355" s="73">
        <f>225.02</f>
        <v>225.02</v>
      </c>
      <c r="H355" s="217"/>
      <c r="I355" s="190">
        <f t="shared" si="119"/>
        <v>225.02</v>
      </c>
      <c r="J355" s="239"/>
      <c r="K355" s="217"/>
      <c r="L355" s="190">
        <f t="shared" si="120"/>
        <v>225.02</v>
      </c>
      <c r="M355" s="242"/>
      <c r="N355" s="217"/>
      <c r="O355" s="190">
        <f t="shared" si="121"/>
        <v>225.02</v>
      </c>
      <c r="P355" s="276"/>
      <c r="Q355" s="273">
        <f t="shared" si="122"/>
        <v>225.02</v>
      </c>
    </row>
    <row r="356" spans="1:17" ht="12.75">
      <c r="A356" s="36" t="s">
        <v>358</v>
      </c>
      <c r="B356" s="97"/>
      <c r="C356" s="111"/>
      <c r="D356" s="141"/>
      <c r="E356" s="83"/>
      <c r="F356" s="172">
        <f t="shared" si="118"/>
        <v>0</v>
      </c>
      <c r="G356" s="73"/>
      <c r="H356" s="217"/>
      <c r="I356" s="190">
        <f t="shared" si="119"/>
        <v>0</v>
      </c>
      <c r="J356" s="239">
        <f>5831.74</f>
        <v>5831.74</v>
      </c>
      <c r="K356" s="217"/>
      <c r="L356" s="190">
        <f t="shared" si="120"/>
        <v>5831.74</v>
      </c>
      <c r="M356" s="242"/>
      <c r="N356" s="217"/>
      <c r="O356" s="190">
        <f t="shared" si="121"/>
        <v>5831.74</v>
      </c>
      <c r="P356" s="276"/>
      <c r="Q356" s="273">
        <f t="shared" si="122"/>
        <v>5831.74</v>
      </c>
    </row>
    <row r="357" spans="1:17" ht="12.75" hidden="1">
      <c r="A357" s="20" t="s">
        <v>259</v>
      </c>
      <c r="B357" s="97"/>
      <c r="C357" s="111"/>
      <c r="D357" s="141"/>
      <c r="E357" s="83"/>
      <c r="F357" s="172">
        <f t="shared" si="118"/>
        <v>0</v>
      </c>
      <c r="G357" s="73"/>
      <c r="H357" s="217"/>
      <c r="I357" s="190">
        <f t="shared" si="119"/>
        <v>0</v>
      </c>
      <c r="J357" s="239"/>
      <c r="K357" s="217"/>
      <c r="L357" s="190">
        <f t="shared" si="120"/>
        <v>0</v>
      </c>
      <c r="M357" s="242"/>
      <c r="N357" s="217"/>
      <c r="O357" s="190">
        <f t="shared" si="121"/>
        <v>0</v>
      </c>
      <c r="P357" s="276"/>
      <c r="Q357" s="273">
        <f t="shared" si="122"/>
        <v>0</v>
      </c>
    </row>
    <row r="358" spans="1:17" ht="12.75">
      <c r="A358" s="16" t="s">
        <v>70</v>
      </c>
      <c r="B358" s="56"/>
      <c r="C358" s="116">
        <f>SUM(C359:C369)</f>
        <v>28675</v>
      </c>
      <c r="D358" s="141">
        <f aca="true" t="shared" si="123" ref="D358:Q358">SUM(D359:D369)</f>
        <v>14191.029999999999</v>
      </c>
      <c r="E358" s="83">
        <f t="shared" si="123"/>
        <v>0</v>
      </c>
      <c r="F358" s="178">
        <f t="shared" si="123"/>
        <v>42866.03</v>
      </c>
      <c r="G358" s="132">
        <f t="shared" si="123"/>
        <v>7408.410000000001</v>
      </c>
      <c r="H358" s="225">
        <f t="shared" si="123"/>
        <v>21.78</v>
      </c>
      <c r="I358" s="196">
        <f t="shared" si="123"/>
        <v>50296.22</v>
      </c>
      <c r="J358" s="242">
        <f t="shared" si="123"/>
        <v>20870.52</v>
      </c>
      <c r="K358" s="225">
        <f t="shared" si="123"/>
        <v>21.78</v>
      </c>
      <c r="L358" s="196">
        <f t="shared" si="123"/>
        <v>71188.52</v>
      </c>
      <c r="M358" s="242">
        <f t="shared" si="123"/>
        <v>4653.8099999999995</v>
      </c>
      <c r="N358" s="225">
        <f t="shared" si="123"/>
        <v>540.31</v>
      </c>
      <c r="O358" s="196">
        <f t="shared" si="123"/>
        <v>76382.64</v>
      </c>
      <c r="P358" s="281">
        <f t="shared" si="123"/>
        <v>-1257.7600000000002</v>
      </c>
      <c r="Q358" s="282">
        <f t="shared" si="123"/>
        <v>75124.88</v>
      </c>
    </row>
    <row r="359" spans="1:17" ht="12.75">
      <c r="A359" s="16" t="s">
        <v>195</v>
      </c>
      <c r="B359" s="56"/>
      <c r="C359" s="116">
        <v>7500</v>
      </c>
      <c r="D359" s="141">
        <f>1200</f>
        <v>1200</v>
      </c>
      <c r="E359" s="72"/>
      <c r="F359" s="172">
        <f t="shared" si="118"/>
        <v>8700</v>
      </c>
      <c r="G359" s="73"/>
      <c r="H359" s="217"/>
      <c r="I359" s="190">
        <f t="shared" si="119"/>
        <v>8700</v>
      </c>
      <c r="J359" s="239"/>
      <c r="K359" s="217"/>
      <c r="L359" s="190">
        <f aca="true" t="shared" si="124" ref="L359:L369">I359+J359+K359</f>
        <v>8700</v>
      </c>
      <c r="M359" s="242"/>
      <c r="N359" s="217"/>
      <c r="O359" s="190">
        <f t="shared" si="121"/>
        <v>8700</v>
      </c>
      <c r="P359" s="276"/>
      <c r="Q359" s="273">
        <f t="shared" si="122"/>
        <v>8700</v>
      </c>
    </row>
    <row r="360" spans="1:17" ht="12.75">
      <c r="A360" s="16" t="s">
        <v>163</v>
      </c>
      <c r="B360" s="56"/>
      <c r="C360" s="116"/>
      <c r="D360" s="141">
        <f>9848.17-1200-1000</f>
        <v>7648.17</v>
      </c>
      <c r="E360" s="72"/>
      <c r="F360" s="172">
        <f t="shared" si="118"/>
        <v>7648.17</v>
      </c>
      <c r="G360" s="73">
        <f>108.9+189.46-225.02</f>
        <v>73.34</v>
      </c>
      <c r="H360" s="217"/>
      <c r="I360" s="190">
        <f t="shared" si="119"/>
        <v>7721.51</v>
      </c>
      <c r="J360" s="239">
        <f>-500-500+7300</f>
        <v>6300</v>
      </c>
      <c r="K360" s="217"/>
      <c r="L360" s="190">
        <f t="shared" si="124"/>
        <v>14021.51</v>
      </c>
      <c r="M360" s="242"/>
      <c r="N360" s="217"/>
      <c r="O360" s="190">
        <f t="shared" si="121"/>
        <v>14021.51</v>
      </c>
      <c r="P360" s="276">
        <f>-1210-228.93-120</f>
        <v>-1558.93</v>
      </c>
      <c r="Q360" s="273">
        <f t="shared" si="122"/>
        <v>12462.58</v>
      </c>
    </row>
    <row r="361" spans="1:17" ht="12.75" hidden="1">
      <c r="A361" s="16" t="s">
        <v>242</v>
      </c>
      <c r="B361" s="56"/>
      <c r="C361" s="116"/>
      <c r="D361" s="156"/>
      <c r="E361" s="72"/>
      <c r="F361" s="172">
        <f t="shared" si="118"/>
        <v>0</v>
      </c>
      <c r="G361" s="73"/>
      <c r="H361" s="217"/>
      <c r="I361" s="190">
        <f t="shared" si="119"/>
        <v>0</v>
      </c>
      <c r="J361" s="239"/>
      <c r="K361" s="217"/>
      <c r="L361" s="190">
        <f t="shared" si="124"/>
        <v>0</v>
      </c>
      <c r="M361" s="242"/>
      <c r="N361" s="217"/>
      <c r="O361" s="190">
        <f t="shared" si="121"/>
        <v>0</v>
      </c>
      <c r="P361" s="276"/>
      <c r="Q361" s="273">
        <f t="shared" si="122"/>
        <v>0</v>
      </c>
    </row>
    <row r="362" spans="1:17" ht="12.75" hidden="1">
      <c r="A362" s="16" t="s">
        <v>187</v>
      </c>
      <c r="B362" s="56"/>
      <c r="C362" s="116"/>
      <c r="D362" s="141"/>
      <c r="E362" s="72"/>
      <c r="F362" s="172">
        <f t="shared" si="118"/>
        <v>0</v>
      </c>
      <c r="G362" s="73"/>
      <c r="H362" s="217"/>
      <c r="I362" s="190">
        <f t="shared" si="119"/>
        <v>0</v>
      </c>
      <c r="J362" s="239"/>
      <c r="K362" s="217"/>
      <c r="L362" s="190">
        <f t="shared" si="124"/>
        <v>0</v>
      </c>
      <c r="M362" s="242"/>
      <c r="N362" s="217"/>
      <c r="O362" s="190">
        <f t="shared" si="121"/>
        <v>0</v>
      </c>
      <c r="P362" s="276"/>
      <c r="Q362" s="273">
        <f t="shared" si="122"/>
        <v>0</v>
      </c>
    </row>
    <row r="363" spans="1:17" ht="12.75">
      <c r="A363" s="16" t="s">
        <v>207</v>
      </c>
      <c r="B363" s="56"/>
      <c r="C363" s="116"/>
      <c r="D363" s="141">
        <f>3732.11</f>
        <v>3732.11</v>
      </c>
      <c r="E363" s="72"/>
      <c r="F363" s="172">
        <f t="shared" si="118"/>
        <v>3732.11</v>
      </c>
      <c r="G363" s="73"/>
      <c r="H363" s="217"/>
      <c r="I363" s="190">
        <f t="shared" si="119"/>
        <v>3732.11</v>
      </c>
      <c r="J363" s="239">
        <f>10000</f>
        <v>10000</v>
      </c>
      <c r="K363" s="217"/>
      <c r="L363" s="190">
        <f t="shared" si="124"/>
        <v>13732.11</v>
      </c>
      <c r="M363" s="242"/>
      <c r="N363" s="217"/>
      <c r="O363" s="190">
        <f t="shared" si="121"/>
        <v>13732.11</v>
      </c>
      <c r="P363" s="276"/>
      <c r="Q363" s="273">
        <f t="shared" si="122"/>
        <v>13732.11</v>
      </c>
    </row>
    <row r="364" spans="1:17" ht="12.75">
      <c r="A364" s="16" t="s">
        <v>162</v>
      </c>
      <c r="B364" s="56"/>
      <c r="C364" s="116"/>
      <c r="D364" s="141">
        <f>735.39-36.3</f>
        <v>699.09</v>
      </c>
      <c r="E364" s="72"/>
      <c r="F364" s="172">
        <f t="shared" si="118"/>
        <v>699.09</v>
      </c>
      <c r="G364" s="73"/>
      <c r="H364" s="217">
        <f>21.78</f>
        <v>21.78</v>
      </c>
      <c r="I364" s="190">
        <f t="shared" si="119"/>
        <v>720.87</v>
      </c>
      <c r="J364" s="239"/>
      <c r="K364" s="217">
        <f>21.78</f>
        <v>21.78</v>
      </c>
      <c r="L364" s="190">
        <f t="shared" si="124"/>
        <v>742.65</v>
      </c>
      <c r="M364" s="242">
        <f>140.36</f>
        <v>140.36</v>
      </c>
      <c r="N364" s="217">
        <f>36.3</f>
        <v>36.3</v>
      </c>
      <c r="O364" s="190">
        <f t="shared" si="121"/>
        <v>919.31</v>
      </c>
      <c r="P364" s="276"/>
      <c r="Q364" s="273">
        <f t="shared" si="122"/>
        <v>919.31</v>
      </c>
    </row>
    <row r="365" spans="1:17" ht="12.75">
      <c r="A365" s="16" t="s">
        <v>280</v>
      </c>
      <c r="B365" s="56"/>
      <c r="C365" s="116"/>
      <c r="D365" s="141">
        <f>2416.38</f>
        <v>2416.38</v>
      </c>
      <c r="E365" s="72"/>
      <c r="F365" s="172">
        <f t="shared" si="118"/>
        <v>2416.38</v>
      </c>
      <c r="G365" s="73">
        <f>500+5000+18.85</f>
        <v>5518.85</v>
      </c>
      <c r="H365" s="217"/>
      <c r="I365" s="190">
        <f t="shared" si="119"/>
        <v>7935.2300000000005</v>
      </c>
      <c r="J365" s="239">
        <f>24.28+5.49+43.52</f>
        <v>73.29</v>
      </c>
      <c r="K365" s="217"/>
      <c r="L365" s="190">
        <f t="shared" si="124"/>
        <v>8008.52</v>
      </c>
      <c r="M365" s="242"/>
      <c r="N365" s="217">
        <f>504.01</f>
        <v>504.01</v>
      </c>
      <c r="O365" s="190">
        <f t="shared" si="121"/>
        <v>8512.53</v>
      </c>
      <c r="P365" s="276"/>
      <c r="Q365" s="273">
        <f t="shared" si="122"/>
        <v>8512.53</v>
      </c>
    </row>
    <row r="366" spans="1:17" ht="12.75">
      <c r="A366" s="16" t="s">
        <v>169</v>
      </c>
      <c r="B366" s="56"/>
      <c r="C366" s="116">
        <v>2000</v>
      </c>
      <c r="D366" s="141">
        <f>1773.96+6730</f>
        <v>8503.96</v>
      </c>
      <c r="E366" s="72"/>
      <c r="F366" s="172">
        <f t="shared" si="118"/>
        <v>10503.96</v>
      </c>
      <c r="G366" s="73">
        <f>166.22+150+1500</f>
        <v>1816.22</v>
      </c>
      <c r="H366" s="217"/>
      <c r="I366" s="190">
        <f t="shared" si="119"/>
        <v>12320.179999999998</v>
      </c>
      <c r="J366" s="239">
        <f>497.23</f>
        <v>497.23</v>
      </c>
      <c r="K366" s="217"/>
      <c r="L366" s="190">
        <f t="shared" si="124"/>
        <v>12817.409999999998</v>
      </c>
      <c r="M366" s="242">
        <f>411.4+72.6</f>
        <v>484</v>
      </c>
      <c r="N366" s="217"/>
      <c r="O366" s="190">
        <f t="shared" si="121"/>
        <v>13301.409999999998</v>
      </c>
      <c r="P366" s="276">
        <f>158.51+142.66</f>
        <v>301.16999999999996</v>
      </c>
      <c r="Q366" s="273">
        <f t="shared" si="122"/>
        <v>13602.579999999998</v>
      </c>
    </row>
    <row r="367" spans="1:17" ht="12.75">
      <c r="A367" s="16" t="s">
        <v>168</v>
      </c>
      <c r="B367" s="56"/>
      <c r="C367" s="116">
        <v>17200</v>
      </c>
      <c r="D367" s="141">
        <f>-17130+8721.32</f>
        <v>-8408.68</v>
      </c>
      <c r="E367" s="72"/>
      <c r="F367" s="172">
        <f t="shared" si="118"/>
        <v>8791.32</v>
      </c>
      <c r="G367" s="73"/>
      <c r="H367" s="217"/>
      <c r="I367" s="190">
        <f t="shared" si="119"/>
        <v>8791.32</v>
      </c>
      <c r="J367" s="239">
        <f>4000</f>
        <v>4000</v>
      </c>
      <c r="K367" s="217"/>
      <c r="L367" s="190">
        <f t="shared" si="124"/>
        <v>12791.32</v>
      </c>
      <c r="M367" s="242">
        <f>4404.45</f>
        <v>4404.45</v>
      </c>
      <c r="N367" s="217"/>
      <c r="O367" s="190">
        <f t="shared" si="121"/>
        <v>17195.77</v>
      </c>
      <c r="P367" s="276"/>
      <c r="Q367" s="273">
        <f t="shared" si="122"/>
        <v>17195.77</v>
      </c>
    </row>
    <row r="368" spans="1:17" ht="12.75">
      <c r="A368" s="16" t="s">
        <v>279</v>
      </c>
      <c r="B368" s="56"/>
      <c r="C368" s="116">
        <v>1975</v>
      </c>
      <c r="D368" s="141">
        <f>-1200-400</f>
        <v>-1600</v>
      </c>
      <c r="E368" s="72"/>
      <c r="F368" s="172">
        <f t="shared" si="118"/>
        <v>375</v>
      </c>
      <c r="G368" s="73"/>
      <c r="H368" s="217"/>
      <c r="I368" s="190">
        <f t="shared" si="119"/>
        <v>375</v>
      </c>
      <c r="J368" s="239"/>
      <c r="K368" s="217"/>
      <c r="L368" s="190">
        <f t="shared" si="124"/>
        <v>375</v>
      </c>
      <c r="M368" s="242">
        <f>-375</f>
        <v>-375</v>
      </c>
      <c r="N368" s="217"/>
      <c r="O368" s="190">
        <f t="shared" si="121"/>
        <v>0</v>
      </c>
      <c r="P368" s="276"/>
      <c r="Q368" s="273">
        <f t="shared" si="122"/>
        <v>0</v>
      </c>
    </row>
    <row r="369" spans="1:17" ht="12.75" hidden="1">
      <c r="A369" s="16" t="s">
        <v>217</v>
      </c>
      <c r="B369" s="56"/>
      <c r="C369" s="116"/>
      <c r="D369" s="156"/>
      <c r="E369" s="72"/>
      <c r="F369" s="172">
        <f t="shared" si="118"/>
        <v>0</v>
      </c>
      <c r="G369" s="73"/>
      <c r="H369" s="217"/>
      <c r="I369" s="190">
        <f t="shared" si="119"/>
        <v>0</v>
      </c>
      <c r="J369" s="239"/>
      <c r="K369" s="217"/>
      <c r="L369" s="190">
        <f t="shared" si="124"/>
        <v>0</v>
      </c>
      <c r="M369" s="242"/>
      <c r="N369" s="217"/>
      <c r="O369" s="190">
        <f t="shared" si="121"/>
        <v>0</v>
      </c>
      <c r="P369" s="276"/>
      <c r="Q369" s="273">
        <f t="shared" si="122"/>
        <v>0</v>
      </c>
    </row>
    <row r="370" spans="1:17" ht="12.75">
      <c r="A370" s="22" t="s">
        <v>50</v>
      </c>
      <c r="B370" s="60"/>
      <c r="C370" s="114">
        <f aca="true" t="shared" si="125" ref="C370:Q370">SUM(C372:C391)</f>
        <v>456717.92000000004</v>
      </c>
      <c r="D370" s="104">
        <f t="shared" si="125"/>
        <v>1540320.38</v>
      </c>
      <c r="E370" s="79">
        <f t="shared" si="125"/>
        <v>0</v>
      </c>
      <c r="F370" s="175">
        <f t="shared" si="125"/>
        <v>1997038.3</v>
      </c>
      <c r="G370" s="78">
        <f t="shared" si="125"/>
        <v>542598.8300000001</v>
      </c>
      <c r="H370" s="221">
        <f t="shared" si="125"/>
        <v>4588.88</v>
      </c>
      <c r="I370" s="193">
        <f t="shared" si="125"/>
        <v>2544226.01</v>
      </c>
      <c r="J370" s="244">
        <f t="shared" si="125"/>
        <v>142207.97</v>
      </c>
      <c r="K370" s="221">
        <f t="shared" si="125"/>
        <v>13619.4</v>
      </c>
      <c r="L370" s="193">
        <f t="shared" si="125"/>
        <v>2700053.38</v>
      </c>
      <c r="M370" s="244">
        <f t="shared" si="125"/>
        <v>235996.20999999996</v>
      </c>
      <c r="N370" s="221">
        <f t="shared" si="125"/>
        <v>19784.82</v>
      </c>
      <c r="O370" s="193">
        <f t="shared" si="125"/>
        <v>2955834.41</v>
      </c>
      <c r="P370" s="311">
        <f t="shared" si="125"/>
        <v>-312080</v>
      </c>
      <c r="Q370" s="278">
        <f t="shared" si="125"/>
        <v>2643754.41</v>
      </c>
    </row>
    <row r="371" spans="1:17" ht="12.75">
      <c r="A371" s="20" t="s">
        <v>26</v>
      </c>
      <c r="B371" s="56"/>
      <c r="C371" s="111"/>
      <c r="D371" s="101"/>
      <c r="E371" s="72"/>
      <c r="F371" s="172"/>
      <c r="G371" s="73"/>
      <c r="H371" s="217"/>
      <c r="I371" s="190"/>
      <c r="J371" s="239"/>
      <c r="K371" s="217"/>
      <c r="L371" s="190"/>
      <c r="M371" s="242"/>
      <c r="N371" s="217"/>
      <c r="O371" s="190"/>
      <c r="P371" s="276"/>
      <c r="Q371" s="273"/>
    </row>
    <row r="372" spans="1:17" ht="12.75" hidden="1">
      <c r="A372" s="20" t="s">
        <v>159</v>
      </c>
      <c r="B372" s="56"/>
      <c r="C372" s="111"/>
      <c r="D372" s="101"/>
      <c r="E372" s="72"/>
      <c r="F372" s="172">
        <f aca="true" t="shared" si="126" ref="F372:F405">C372+D372+E372</f>
        <v>0</v>
      </c>
      <c r="G372" s="73"/>
      <c r="H372" s="217"/>
      <c r="I372" s="190">
        <f aca="true" t="shared" si="127" ref="I372:I405">F372+G372+H372</f>
        <v>0</v>
      </c>
      <c r="J372" s="239"/>
      <c r="K372" s="217"/>
      <c r="L372" s="190">
        <f aca="true" t="shared" si="128" ref="L372:L405">I372+J372+K372</f>
        <v>0</v>
      </c>
      <c r="M372" s="242"/>
      <c r="N372" s="217"/>
      <c r="O372" s="190">
        <f aca="true" t="shared" si="129" ref="O372:O405">L372+M372+N372</f>
        <v>0</v>
      </c>
      <c r="P372" s="276"/>
      <c r="Q372" s="273">
        <f aca="true" t="shared" si="130" ref="Q372:Q405">O372+P372</f>
        <v>0</v>
      </c>
    </row>
    <row r="373" spans="1:17" ht="12.75">
      <c r="A373" s="20" t="s">
        <v>51</v>
      </c>
      <c r="B373" s="56"/>
      <c r="C373" s="111"/>
      <c r="D373" s="101">
        <f>1914.36</f>
        <v>1914.36</v>
      </c>
      <c r="E373" s="72"/>
      <c r="F373" s="172">
        <f t="shared" si="126"/>
        <v>1914.36</v>
      </c>
      <c r="G373" s="73"/>
      <c r="H373" s="217"/>
      <c r="I373" s="190">
        <f t="shared" si="127"/>
        <v>1914.36</v>
      </c>
      <c r="J373" s="239"/>
      <c r="K373" s="217"/>
      <c r="L373" s="190">
        <f t="shared" si="128"/>
        <v>1914.36</v>
      </c>
      <c r="M373" s="242"/>
      <c r="N373" s="217"/>
      <c r="O373" s="190">
        <f t="shared" si="129"/>
        <v>1914.36</v>
      </c>
      <c r="P373" s="276"/>
      <c r="Q373" s="273">
        <f t="shared" si="130"/>
        <v>1914.36</v>
      </c>
    </row>
    <row r="374" spans="1:17" ht="12.75" hidden="1">
      <c r="A374" s="20" t="s">
        <v>158</v>
      </c>
      <c r="B374" s="108">
        <v>1081.1202</v>
      </c>
      <c r="C374" s="111"/>
      <c r="D374" s="101">
        <f>457</f>
        <v>457</v>
      </c>
      <c r="E374" s="72"/>
      <c r="F374" s="172">
        <f t="shared" si="126"/>
        <v>457</v>
      </c>
      <c r="G374" s="73">
        <f>-302.5</f>
        <v>-302.5</v>
      </c>
      <c r="H374" s="217"/>
      <c r="I374" s="190">
        <f t="shared" si="127"/>
        <v>154.5</v>
      </c>
      <c r="J374" s="239">
        <f>-154.5</f>
        <v>-154.5</v>
      </c>
      <c r="K374" s="217"/>
      <c r="L374" s="190">
        <f t="shared" si="128"/>
        <v>0</v>
      </c>
      <c r="M374" s="242"/>
      <c r="N374" s="217"/>
      <c r="O374" s="190">
        <f t="shared" si="129"/>
        <v>0</v>
      </c>
      <c r="P374" s="276"/>
      <c r="Q374" s="273">
        <f t="shared" si="130"/>
        <v>0</v>
      </c>
    </row>
    <row r="375" spans="1:17" ht="12.75">
      <c r="A375" s="20" t="s">
        <v>154</v>
      </c>
      <c r="B375" s="56"/>
      <c r="C375" s="111">
        <v>19868.59</v>
      </c>
      <c r="D375" s="101">
        <f>688.28</f>
        <v>688.28</v>
      </c>
      <c r="E375" s="72"/>
      <c r="F375" s="172">
        <f t="shared" si="126"/>
        <v>20556.87</v>
      </c>
      <c r="G375" s="73"/>
      <c r="H375" s="217"/>
      <c r="I375" s="190">
        <f t="shared" si="127"/>
        <v>20556.87</v>
      </c>
      <c r="J375" s="239">
        <f>20000</f>
        <v>20000</v>
      </c>
      <c r="K375" s="217"/>
      <c r="L375" s="190">
        <f t="shared" si="128"/>
        <v>40556.869999999995</v>
      </c>
      <c r="M375" s="242"/>
      <c r="N375" s="217"/>
      <c r="O375" s="190">
        <f t="shared" si="129"/>
        <v>40556.869999999995</v>
      </c>
      <c r="P375" s="276"/>
      <c r="Q375" s="273">
        <f t="shared" si="130"/>
        <v>40556.869999999995</v>
      </c>
    </row>
    <row r="376" spans="1:17" ht="12.75">
      <c r="A376" s="20" t="s">
        <v>296</v>
      </c>
      <c r="B376" s="56"/>
      <c r="C376" s="111">
        <v>7000</v>
      </c>
      <c r="D376" s="101">
        <f>10000</f>
        <v>10000</v>
      </c>
      <c r="E376" s="72"/>
      <c r="F376" s="172">
        <f t="shared" si="126"/>
        <v>17000</v>
      </c>
      <c r="G376" s="73"/>
      <c r="H376" s="217"/>
      <c r="I376" s="190">
        <f t="shared" si="127"/>
        <v>17000</v>
      </c>
      <c r="J376" s="239"/>
      <c r="K376" s="217"/>
      <c r="L376" s="190">
        <f t="shared" si="128"/>
        <v>17000</v>
      </c>
      <c r="M376" s="242"/>
      <c r="N376" s="217"/>
      <c r="O376" s="190">
        <f t="shared" si="129"/>
        <v>17000</v>
      </c>
      <c r="P376" s="276"/>
      <c r="Q376" s="273">
        <f t="shared" si="130"/>
        <v>17000</v>
      </c>
    </row>
    <row r="377" spans="1:17" ht="12.75">
      <c r="A377" s="20" t="s">
        <v>299</v>
      </c>
      <c r="B377" s="56"/>
      <c r="C377" s="111">
        <v>10000</v>
      </c>
      <c r="D377" s="101">
        <f>10000</f>
        <v>10000</v>
      </c>
      <c r="E377" s="72"/>
      <c r="F377" s="172">
        <f t="shared" si="126"/>
        <v>20000</v>
      </c>
      <c r="G377" s="73"/>
      <c r="H377" s="217"/>
      <c r="I377" s="190">
        <f t="shared" si="127"/>
        <v>20000</v>
      </c>
      <c r="J377" s="239"/>
      <c r="K377" s="217"/>
      <c r="L377" s="190">
        <f t="shared" si="128"/>
        <v>20000</v>
      </c>
      <c r="M377" s="242"/>
      <c r="N377" s="217"/>
      <c r="O377" s="190">
        <f t="shared" si="129"/>
        <v>20000</v>
      </c>
      <c r="P377" s="276"/>
      <c r="Q377" s="273">
        <f t="shared" si="130"/>
        <v>20000</v>
      </c>
    </row>
    <row r="378" spans="1:17" ht="12.75" hidden="1">
      <c r="A378" s="20" t="s">
        <v>256</v>
      </c>
      <c r="B378" s="56"/>
      <c r="C378" s="111"/>
      <c r="D378" s="141"/>
      <c r="E378" s="83"/>
      <c r="F378" s="172">
        <f t="shared" si="126"/>
        <v>0</v>
      </c>
      <c r="G378" s="73"/>
      <c r="H378" s="217"/>
      <c r="I378" s="190">
        <f t="shared" si="127"/>
        <v>0</v>
      </c>
      <c r="J378" s="239"/>
      <c r="K378" s="217"/>
      <c r="L378" s="190">
        <f t="shared" si="128"/>
        <v>0</v>
      </c>
      <c r="M378" s="242"/>
      <c r="N378" s="217"/>
      <c r="O378" s="190">
        <f t="shared" si="129"/>
        <v>0</v>
      </c>
      <c r="P378" s="276"/>
      <c r="Q378" s="273">
        <f t="shared" si="130"/>
        <v>0</v>
      </c>
    </row>
    <row r="379" spans="1:17" ht="12.75">
      <c r="A379" s="95" t="s">
        <v>208</v>
      </c>
      <c r="B379" s="56"/>
      <c r="C379" s="111"/>
      <c r="D379" s="156">
        <f>5500+1744.52</f>
        <v>7244.52</v>
      </c>
      <c r="E379" s="90"/>
      <c r="F379" s="172">
        <f t="shared" si="126"/>
        <v>7244.52</v>
      </c>
      <c r="G379" s="73"/>
      <c r="H379" s="217"/>
      <c r="I379" s="190">
        <f t="shared" si="127"/>
        <v>7244.52</v>
      </c>
      <c r="J379" s="239"/>
      <c r="K379" s="217"/>
      <c r="L379" s="190">
        <f t="shared" si="128"/>
        <v>7244.52</v>
      </c>
      <c r="M379" s="242">
        <f>2100</f>
        <v>2100</v>
      </c>
      <c r="N379" s="217"/>
      <c r="O379" s="190">
        <f t="shared" si="129"/>
        <v>9344.52</v>
      </c>
      <c r="P379" s="276">
        <f>5500</f>
        <v>5500</v>
      </c>
      <c r="Q379" s="273">
        <f t="shared" si="130"/>
        <v>14844.52</v>
      </c>
    </row>
    <row r="380" spans="1:17" ht="12.75">
      <c r="A380" s="20" t="s">
        <v>297</v>
      </c>
      <c r="B380" s="97">
        <v>212163</v>
      </c>
      <c r="C380" s="111">
        <v>60000</v>
      </c>
      <c r="D380" s="141">
        <f>256306.21</f>
        <v>256306.21</v>
      </c>
      <c r="E380" s="83"/>
      <c r="F380" s="172">
        <f t="shared" si="126"/>
        <v>316306.20999999996</v>
      </c>
      <c r="G380" s="73"/>
      <c r="H380" s="217"/>
      <c r="I380" s="190">
        <f t="shared" si="127"/>
        <v>316306.20999999996</v>
      </c>
      <c r="J380" s="239"/>
      <c r="K380" s="217"/>
      <c r="L380" s="190">
        <f t="shared" si="128"/>
        <v>316306.20999999996</v>
      </c>
      <c r="M380" s="242"/>
      <c r="N380" s="217"/>
      <c r="O380" s="190">
        <f t="shared" si="129"/>
        <v>316306.20999999996</v>
      </c>
      <c r="P380" s="276"/>
      <c r="Q380" s="273">
        <f t="shared" si="130"/>
        <v>316306.20999999996</v>
      </c>
    </row>
    <row r="381" spans="1:17" ht="12.75" hidden="1">
      <c r="A381" s="20" t="s">
        <v>213</v>
      </c>
      <c r="B381" s="97">
        <v>22777</v>
      </c>
      <c r="C381" s="111"/>
      <c r="D381" s="141"/>
      <c r="E381" s="83"/>
      <c r="F381" s="172">
        <f t="shared" si="126"/>
        <v>0</v>
      </c>
      <c r="G381" s="73"/>
      <c r="H381" s="217"/>
      <c r="I381" s="190">
        <f t="shared" si="127"/>
        <v>0</v>
      </c>
      <c r="J381" s="239"/>
      <c r="K381" s="217"/>
      <c r="L381" s="190">
        <f t="shared" si="128"/>
        <v>0</v>
      </c>
      <c r="M381" s="242"/>
      <c r="N381" s="217"/>
      <c r="O381" s="190">
        <f t="shared" si="129"/>
        <v>0</v>
      </c>
      <c r="P381" s="276"/>
      <c r="Q381" s="273">
        <f t="shared" si="130"/>
        <v>0</v>
      </c>
    </row>
    <row r="382" spans="1:17" ht="12.75">
      <c r="A382" s="20" t="s">
        <v>155</v>
      </c>
      <c r="B382" s="97">
        <v>212162</v>
      </c>
      <c r="C382" s="111"/>
      <c r="D382" s="141">
        <f>2072.3</f>
        <v>2072.3</v>
      </c>
      <c r="E382" s="83"/>
      <c r="F382" s="172">
        <f t="shared" si="126"/>
        <v>2072.3</v>
      </c>
      <c r="G382" s="73"/>
      <c r="H382" s="217"/>
      <c r="I382" s="190">
        <f t="shared" si="127"/>
        <v>2072.3</v>
      </c>
      <c r="J382" s="239"/>
      <c r="K382" s="217"/>
      <c r="L382" s="190">
        <f t="shared" si="128"/>
        <v>2072.3</v>
      </c>
      <c r="M382" s="242"/>
      <c r="N382" s="217"/>
      <c r="O382" s="190">
        <f t="shared" si="129"/>
        <v>2072.3</v>
      </c>
      <c r="P382" s="276"/>
      <c r="Q382" s="273">
        <f t="shared" si="130"/>
        <v>2072.3</v>
      </c>
    </row>
    <row r="383" spans="1:17" ht="12.75">
      <c r="A383" s="36" t="s">
        <v>364</v>
      </c>
      <c r="B383" s="97">
        <v>17508</v>
      </c>
      <c r="C383" s="111"/>
      <c r="D383" s="141"/>
      <c r="E383" s="83"/>
      <c r="F383" s="172"/>
      <c r="G383" s="73"/>
      <c r="H383" s="217"/>
      <c r="I383" s="190">
        <f t="shared" si="127"/>
        <v>0</v>
      </c>
      <c r="J383" s="239">
        <f>200000</f>
        <v>200000</v>
      </c>
      <c r="K383" s="217"/>
      <c r="L383" s="190">
        <f t="shared" si="128"/>
        <v>200000</v>
      </c>
      <c r="M383" s="242"/>
      <c r="N383" s="217"/>
      <c r="O383" s="190">
        <f t="shared" si="129"/>
        <v>200000</v>
      </c>
      <c r="P383" s="276">
        <f>-139888.18</f>
        <v>-139888.18</v>
      </c>
      <c r="Q383" s="273">
        <f t="shared" si="130"/>
        <v>60111.82000000001</v>
      </c>
    </row>
    <row r="384" spans="1:17" ht="12.75">
      <c r="A384" s="36" t="s">
        <v>352</v>
      </c>
      <c r="B384" s="97"/>
      <c r="C384" s="111"/>
      <c r="D384" s="141"/>
      <c r="E384" s="83"/>
      <c r="F384" s="172">
        <f t="shared" si="126"/>
        <v>0</v>
      </c>
      <c r="G384" s="73">
        <f>274.76</f>
        <v>274.76</v>
      </c>
      <c r="H384" s="217"/>
      <c r="I384" s="190">
        <f t="shared" si="127"/>
        <v>274.76</v>
      </c>
      <c r="J384" s="239"/>
      <c r="K384" s="217"/>
      <c r="L384" s="190">
        <f t="shared" si="128"/>
        <v>274.76</v>
      </c>
      <c r="M384" s="242"/>
      <c r="N384" s="217"/>
      <c r="O384" s="190">
        <f t="shared" si="129"/>
        <v>274.76</v>
      </c>
      <c r="P384" s="276"/>
      <c r="Q384" s="273">
        <f t="shared" si="130"/>
        <v>274.76</v>
      </c>
    </row>
    <row r="385" spans="1:17" ht="12.75">
      <c r="A385" s="36" t="s">
        <v>358</v>
      </c>
      <c r="B385" s="97"/>
      <c r="C385" s="111"/>
      <c r="D385" s="141"/>
      <c r="E385" s="83"/>
      <c r="F385" s="172"/>
      <c r="G385" s="73"/>
      <c r="H385" s="217"/>
      <c r="I385" s="190">
        <f t="shared" si="127"/>
        <v>0</v>
      </c>
      <c r="J385" s="239">
        <f>55.18</f>
        <v>55.18</v>
      </c>
      <c r="K385" s="217"/>
      <c r="L385" s="190">
        <f t="shared" si="128"/>
        <v>55.18</v>
      </c>
      <c r="M385" s="242"/>
      <c r="N385" s="217"/>
      <c r="O385" s="190">
        <f t="shared" si="129"/>
        <v>55.18</v>
      </c>
      <c r="P385" s="276"/>
      <c r="Q385" s="273">
        <f t="shared" si="130"/>
        <v>55.18</v>
      </c>
    </row>
    <row r="386" spans="1:17" ht="12.75">
      <c r="A386" s="20" t="s">
        <v>270</v>
      </c>
      <c r="B386" s="97"/>
      <c r="C386" s="111"/>
      <c r="D386" s="141"/>
      <c r="E386" s="83"/>
      <c r="F386" s="172">
        <f t="shared" si="126"/>
        <v>0</v>
      </c>
      <c r="G386" s="73">
        <f>1337.82</f>
        <v>1337.82</v>
      </c>
      <c r="H386" s="217"/>
      <c r="I386" s="190">
        <f t="shared" si="127"/>
        <v>1337.82</v>
      </c>
      <c r="J386" s="239">
        <f>71.8+1052.12+47365.51</f>
        <v>48489.43</v>
      </c>
      <c r="K386" s="217"/>
      <c r="L386" s="190">
        <f t="shared" si="128"/>
        <v>49827.25</v>
      </c>
      <c r="M386" s="242"/>
      <c r="N386" s="217"/>
      <c r="O386" s="190">
        <f t="shared" si="129"/>
        <v>49827.25</v>
      </c>
      <c r="P386" s="276">
        <f>2362.42</f>
        <v>2362.42</v>
      </c>
      <c r="Q386" s="273">
        <f t="shared" si="130"/>
        <v>52189.67</v>
      </c>
    </row>
    <row r="387" spans="1:17" ht="12.75" hidden="1">
      <c r="A387" s="20" t="s">
        <v>259</v>
      </c>
      <c r="B387" s="97"/>
      <c r="C387" s="111"/>
      <c r="D387" s="141"/>
      <c r="E387" s="83"/>
      <c r="F387" s="172">
        <f t="shared" si="126"/>
        <v>0</v>
      </c>
      <c r="G387" s="73"/>
      <c r="H387" s="217"/>
      <c r="I387" s="190">
        <f t="shared" si="127"/>
        <v>0</v>
      </c>
      <c r="J387" s="239"/>
      <c r="K387" s="217"/>
      <c r="L387" s="190">
        <f t="shared" si="128"/>
        <v>0</v>
      </c>
      <c r="M387" s="242"/>
      <c r="N387" s="217"/>
      <c r="O387" s="190">
        <f t="shared" si="129"/>
        <v>0</v>
      </c>
      <c r="P387" s="276"/>
      <c r="Q387" s="273">
        <f t="shared" si="130"/>
        <v>0</v>
      </c>
    </row>
    <row r="388" spans="1:17" ht="12.75">
      <c r="A388" s="20" t="s">
        <v>260</v>
      </c>
      <c r="B388" s="97">
        <v>91628</v>
      </c>
      <c r="C388" s="111"/>
      <c r="D388" s="141">
        <f>360000</f>
        <v>360000</v>
      </c>
      <c r="E388" s="83"/>
      <c r="F388" s="172">
        <f t="shared" si="126"/>
        <v>360000</v>
      </c>
      <c r="G388" s="73">
        <f>19500</f>
        <v>19500</v>
      </c>
      <c r="H388" s="217"/>
      <c r="I388" s="190">
        <f t="shared" si="127"/>
        <v>379500</v>
      </c>
      <c r="J388" s="239">
        <f>-158500</f>
        <v>-158500</v>
      </c>
      <c r="K388" s="217"/>
      <c r="L388" s="190">
        <f t="shared" si="128"/>
        <v>221000</v>
      </c>
      <c r="M388" s="242"/>
      <c r="N388" s="217"/>
      <c r="O388" s="190">
        <f t="shared" si="129"/>
        <v>221000</v>
      </c>
      <c r="P388" s="276">
        <f>-90000-59493.11</f>
        <v>-149493.11</v>
      </c>
      <c r="Q388" s="273">
        <f t="shared" si="130"/>
        <v>71506.89000000001</v>
      </c>
    </row>
    <row r="389" spans="1:17" ht="12.75">
      <c r="A389" s="20" t="s">
        <v>281</v>
      </c>
      <c r="B389" s="97">
        <v>91628</v>
      </c>
      <c r="C389" s="111"/>
      <c r="D389" s="141"/>
      <c r="E389" s="83"/>
      <c r="F389" s="172">
        <f t="shared" si="126"/>
        <v>0</v>
      </c>
      <c r="G389" s="73">
        <f>12172.08+390825</f>
        <v>402997.08</v>
      </c>
      <c r="H389" s="217"/>
      <c r="I389" s="190">
        <f t="shared" si="127"/>
        <v>402997.08</v>
      </c>
      <c r="J389" s="239"/>
      <c r="K389" s="217"/>
      <c r="L389" s="190">
        <f t="shared" si="128"/>
        <v>402997.08</v>
      </c>
      <c r="M389" s="242">
        <f>-82000-12172.08</f>
        <v>-94172.08</v>
      </c>
      <c r="N389" s="217"/>
      <c r="O389" s="190">
        <f t="shared" si="129"/>
        <v>308825</v>
      </c>
      <c r="P389" s="276"/>
      <c r="Q389" s="273">
        <f t="shared" si="130"/>
        <v>308825</v>
      </c>
    </row>
    <row r="390" spans="1:17" ht="12.75" hidden="1">
      <c r="A390" s="20" t="s">
        <v>183</v>
      </c>
      <c r="B390" s="56"/>
      <c r="C390" s="111"/>
      <c r="D390" s="141"/>
      <c r="E390" s="83"/>
      <c r="F390" s="172">
        <f t="shared" si="126"/>
        <v>0</v>
      </c>
      <c r="G390" s="73"/>
      <c r="H390" s="217"/>
      <c r="I390" s="190">
        <f t="shared" si="127"/>
        <v>0</v>
      </c>
      <c r="J390" s="239"/>
      <c r="K390" s="217"/>
      <c r="L390" s="190">
        <f t="shared" si="128"/>
        <v>0</v>
      </c>
      <c r="M390" s="242"/>
      <c r="N390" s="217"/>
      <c r="O390" s="190">
        <f t="shared" si="129"/>
        <v>0</v>
      </c>
      <c r="P390" s="276"/>
      <c r="Q390" s="273">
        <f t="shared" si="130"/>
        <v>0</v>
      </c>
    </row>
    <row r="391" spans="1:17" ht="12.75">
      <c r="A391" s="20" t="s">
        <v>156</v>
      </c>
      <c r="B391" s="56"/>
      <c r="C391" s="111">
        <f>SUM(C392:C405)</f>
        <v>359849.33</v>
      </c>
      <c r="D391" s="101">
        <f aca="true" t="shared" si="131" ref="D391:Q391">SUM(D392:D405)</f>
        <v>891637.71</v>
      </c>
      <c r="E391" s="72">
        <f t="shared" si="131"/>
        <v>0</v>
      </c>
      <c r="F391" s="172">
        <f t="shared" si="131"/>
        <v>1251487.04</v>
      </c>
      <c r="G391" s="73">
        <f t="shared" si="131"/>
        <v>118791.67000000003</v>
      </c>
      <c r="H391" s="217">
        <f t="shared" si="131"/>
        <v>4588.88</v>
      </c>
      <c r="I391" s="190">
        <f t="shared" si="131"/>
        <v>1374867.59</v>
      </c>
      <c r="J391" s="239">
        <f t="shared" si="131"/>
        <v>32317.860000000015</v>
      </c>
      <c r="K391" s="217">
        <f t="shared" si="131"/>
        <v>13619.4</v>
      </c>
      <c r="L391" s="190">
        <f t="shared" si="131"/>
        <v>1420804.85</v>
      </c>
      <c r="M391" s="239">
        <f t="shared" si="131"/>
        <v>328068.29</v>
      </c>
      <c r="N391" s="217">
        <f t="shared" si="131"/>
        <v>19784.82</v>
      </c>
      <c r="O391" s="190">
        <f t="shared" si="131"/>
        <v>1768657.96</v>
      </c>
      <c r="P391" s="281">
        <f t="shared" si="131"/>
        <v>-30561.130000000005</v>
      </c>
      <c r="Q391" s="274">
        <f t="shared" si="131"/>
        <v>1738096.83</v>
      </c>
    </row>
    <row r="392" spans="1:17" ht="12.75">
      <c r="A392" s="16" t="s">
        <v>195</v>
      </c>
      <c r="B392" s="56"/>
      <c r="C392" s="116">
        <v>1500</v>
      </c>
      <c r="D392" s="141"/>
      <c r="E392" s="72"/>
      <c r="F392" s="172">
        <f>C392+D392+E392</f>
        <v>1500</v>
      </c>
      <c r="G392" s="73"/>
      <c r="H392" s="217"/>
      <c r="I392" s="190">
        <f t="shared" si="127"/>
        <v>1500</v>
      </c>
      <c r="J392" s="239"/>
      <c r="K392" s="217"/>
      <c r="L392" s="190">
        <f t="shared" si="128"/>
        <v>1500</v>
      </c>
      <c r="M392" s="242"/>
      <c r="N392" s="217"/>
      <c r="O392" s="190">
        <f t="shared" si="129"/>
        <v>1500</v>
      </c>
      <c r="P392" s="276"/>
      <c r="Q392" s="273">
        <f t="shared" si="130"/>
        <v>1500</v>
      </c>
    </row>
    <row r="393" spans="1:17" ht="12.75">
      <c r="A393" s="16" t="s">
        <v>163</v>
      </c>
      <c r="B393" s="56"/>
      <c r="C393" s="116">
        <v>10000</v>
      </c>
      <c r="D393" s="141">
        <f>92311.3+1000</f>
        <v>93311.3</v>
      </c>
      <c r="E393" s="72"/>
      <c r="F393" s="172">
        <f>C393+D393+E393</f>
        <v>103311.3</v>
      </c>
      <c r="G393" s="73">
        <f>-108.9+1186.41-274.76-980</f>
        <v>-177.25</v>
      </c>
      <c r="H393" s="217"/>
      <c r="I393" s="190">
        <f t="shared" si="127"/>
        <v>103134.05</v>
      </c>
      <c r="J393" s="239">
        <f>11.34+379.46-981.69-7300</f>
        <v>-7890.89</v>
      </c>
      <c r="K393" s="217"/>
      <c r="L393" s="190">
        <f t="shared" si="128"/>
        <v>95243.16</v>
      </c>
      <c r="M393" s="242"/>
      <c r="N393" s="217"/>
      <c r="O393" s="190">
        <f t="shared" si="129"/>
        <v>95243.16</v>
      </c>
      <c r="P393" s="276">
        <f>-888.96</f>
        <v>-888.96</v>
      </c>
      <c r="Q393" s="273">
        <f t="shared" si="130"/>
        <v>94354.2</v>
      </c>
    </row>
    <row r="394" spans="1:17" ht="12.75">
      <c r="A394" s="16" t="s">
        <v>273</v>
      </c>
      <c r="B394" s="56"/>
      <c r="C394" s="116">
        <v>5000</v>
      </c>
      <c r="D394" s="141">
        <f>5229</f>
        <v>5229</v>
      </c>
      <c r="E394" s="72"/>
      <c r="F394" s="172">
        <f>C394+D394+E394</f>
        <v>10229</v>
      </c>
      <c r="G394" s="73"/>
      <c r="H394" s="217"/>
      <c r="I394" s="190">
        <f t="shared" si="127"/>
        <v>10229</v>
      </c>
      <c r="J394" s="239"/>
      <c r="K394" s="217"/>
      <c r="L394" s="190">
        <f t="shared" si="128"/>
        <v>10229</v>
      </c>
      <c r="M394" s="242"/>
      <c r="N394" s="217"/>
      <c r="O394" s="190">
        <f t="shared" si="129"/>
        <v>10229</v>
      </c>
      <c r="P394" s="276"/>
      <c r="Q394" s="273">
        <f t="shared" si="130"/>
        <v>10229</v>
      </c>
    </row>
    <row r="395" spans="1:17" ht="12.75" hidden="1">
      <c r="A395" s="16" t="s">
        <v>293</v>
      </c>
      <c r="B395" s="56"/>
      <c r="C395" s="116"/>
      <c r="D395" s="141"/>
      <c r="E395" s="72"/>
      <c r="F395" s="172">
        <f>C395+D395+E395</f>
        <v>0</v>
      </c>
      <c r="G395" s="73"/>
      <c r="H395" s="217"/>
      <c r="I395" s="190">
        <f t="shared" si="127"/>
        <v>0</v>
      </c>
      <c r="J395" s="239"/>
      <c r="K395" s="217"/>
      <c r="L395" s="190">
        <f t="shared" si="128"/>
        <v>0</v>
      </c>
      <c r="M395" s="242"/>
      <c r="N395" s="217"/>
      <c r="O395" s="190">
        <f t="shared" si="129"/>
        <v>0</v>
      </c>
      <c r="P395" s="276"/>
      <c r="Q395" s="273">
        <f t="shared" si="130"/>
        <v>0</v>
      </c>
    </row>
    <row r="396" spans="1:17" ht="12.75" hidden="1">
      <c r="A396" s="16" t="s">
        <v>242</v>
      </c>
      <c r="B396" s="56"/>
      <c r="C396" s="116"/>
      <c r="D396" s="141"/>
      <c r="E396" s="72"/>
      <c r="F396" s="172">
        <f t="shared" si="126"/>
        <v>0</v>
      </c>
      <c r="G396" s="73"/>
      <c r="H396" s="217"/>
      <c r="I396" s="190">
        <f t="shared" si="127"/>
        <v>0</v>
      </c>
      <c r="J396" s="239"/>
      <c r="K396" s="217"/>
      <c r="L396" s="190">
        <f t="shared" si="128"/>
        <v>0</v>
      </c>
      <c r="M396" s="242"/>
      <c r="N396" s="217"/>
      <c r="O396" s="190">
        <f t="shared" si="129"/>
        <v>0</v>
      </c>
      <c r="P396" s="276"/>
      <c r="Q396" s="273">
        <f t="shared" si="130"/>
        <v>0</v>
      </c>
    </row>
    <row r="397" spans="1:17" ht="12.75">
      <c r="A397" s="16" t="s">
        <v>207</v>
      </c>
      <c r="B397" s="56"/>
      <c r="C397" s="116">
        <v>120000</v>
      </c>
      <c r="D397" s="141">
        <f>76570.33+14500-6449.08+50000</f>
        <v>134621.25</v>
      </c>
      <c r="E397" s="72"/>
      <c r="F397" s="172">
        <f t="shared" si="126"/>
        <v>254621.25</v>
      </c>
      <c r="G397" s="73">
        <f>35000+2173.09</f>
        <v>37173.09</v>
      </c>
      <c r="H397" s="217"/>
      <c r="I397" s="190">
        <f t="shared" si="127"/>
        <v>291794.33999999997</v>
      </c>
      <c r="J397" s="239">
        <f>-10000+25000</f>
        <v>15000</v>
      </c>
      <c r="K397" s="217"/>
      <c r="L397" s="190">
        <f t="shared" si="128"/>
        <v>306794.33999999997</v>
      </c>
      <c r="M397" s="242">
        <f>16118.74+3175.81+155668.24+11771.07-2173.09</f>
        <v>184560.77</v>
      </c>
      <c r="N397" s="217"/>
      <c r="O397" s="190">
        <f t="shared" si="129"/>
        <v>491355.11</v>
      </c>
      <c r="P397" s="276">
        <f>-3357+431.51</f>
        <v>-2925.49</v>
      </c>
      <c r="Q397" s="273">
        <f t="shared" si="130"/>
        <v>488429.62</v>
      </c>
    </row>
    <row r="398" spans="1:17" ht="12.75">
      <c r="A398" s="16" t="s">
        <v>162</v>
      </c>
      <c r="B398" s="56"/>
      <c r="C398" s="116">
        <v>32130</v>
      </c>
      <c r="D398" s="141">
        <f>-700+7984.48+1348.06+83.43+29.04+3463.62+41.14+2772.35+1052.12+3620.21-5109.34+23.23</f>
        <v>14608.34</v>
      </c>
      <c r="E398" s="72"/>
      <c r="F398" s="172">
        <f t="shared" si="126"/>
        <v>46738.34</v>
      </c>
      <c r="G398" s="73">
        <f>86.52+1130.22+41.14+856.23+23.23+2780.7+181.5+4948.57+23.23+160.93+1257.52+7175.11+48.5+1105.72+5829.13+1391.5</f>
        <v>27039.750000000004</v>
      </c>
      <c r="H398" s="217">
        <f>4588.88</f>
        <v>4588.88</v>
      </c>
      <c r="I398" s="190">
        <f t="shared" si="127"/>
        <v>78366.97</v>
      </c>
      <c r="J398" s="239">
        <f>40.66+41.14+1544.55+60.26+1947.32+31.46+1159.16+23.23+5513.06+1358.25+960.73+2303.6+7369.61-7175.11</f>
        <v>15177.919999999998</v>
      </c>
      <c r="K398" s="217">
        <f>13619.4</f>
        <v>13619.4</v>
      </c>
      <c r="L398" s="190">
        <f t="shared" si="128"/>
        <v>107164.29</v>
      </c>
      <c r="M398" s="242">
        <f>1178.89+2103.29+1114+5275.69+7233.44+2087.5+2183.09+26710.61+116.9+908.05+182.68+947.62+1637.21</f>
        <v>51678.97</v>
      </c>
      <c r="N398" s="217">
        <f>16814.43</f>
        <v>16814.43</v>
      </c>
      <c r="O398" s="190">
        <f t="shared" si="129"/>
        <v>175657.69</v>
      </c>
      <c r="P398" s="276">
        <f>747.24+5.62+5120.98+1599.32+2424.82+344.85+521.33</f>
        <v>10764.16</v>
      </c>
      <c r="Q398" s="273">
        <f t="shared" si="130"/>
        <v>186421.85</v>
      </c>
    </row>
    <row r="399" spans="1:17" ht="13.5" thickBot="1">
      <c r="A399" s="302" t="s">
        <v>165</v>
      </c>
      <c r="B399" s="291"/>
      <c r="C399" s="304">
        <v>15030</v>
      </c>
      <c r="D399" s="301">
        <f>-530+90916.15</f>
        <v>90386.15</v>
      </c>
      <c r="E399" s="294"/>
      <c r="F399" s="295">
        <f t="shared" si="126"/>
        <v>105416.15</v>
      </c>
      <c r="G399" s="296">
        <f>668.91-500-5000-20000+370.24</f>
        <v>-24460.85</v>
      </c>
      <c r="H399" s="297"/>
      <c r="I399" s="298">
        <f t="shared" si="127"/>
        <v>80955.29999999999</v>
      </c>
      <c r="J399" s="299">
        <f>370.46</f>
        <v>370.46</v>
      </c>
      <c r="K399" s="297"/>
      <c r="L399" s="298">
        <f t="shared" si="128"/>
        <v>81325.76</v>
      </c>
      <c r="M399" s="303"/>
      <c r="N399" s="297">
        <f>2970.39</f>
        <v>2970.39</v>
      </c>
      <c r="O399" s="298">
        <f t="shared" si="129"/>
        <v>84296.15</v>
      </c>
      <c r="P399" s="312"/>
      <c r="Q399" s="289">
        <f t="shared" si="130"/>
        <v>84296.15</v>
      </c>
    </row>
    <row r="400" spans="1:17" ht="12.75">
      <c r="A400" s="16" t="s">
        <v>169</v>
      </c>
      <c r="B400" s="56"/>
      <c r="C400" s="116">
        <v>29900</v>
      </c>
      <c r="D400" s="141">
        <f>5303.09+37101.69+4498.66+24270</f>
        <v>71173.44</v>
      </c>
      <c r="E400" s="72"/>
      <c r="F400" s="172">
        <f t="shared" si="126"/>
        <v>101073.44</v>
      </c>
      <c r="G400" s="73">
        <f>1508.27+55.06-150+5684+17500+47500+8000+20000</f>
        <v>100097.33</v>
      </c>
      <c r="H400" s="217"/>
      <c r="I400" s="190">
        <f t="shared" si="127"/>
        <v>201170.77000000002</v>
      </c>
      <c r="J400" s="242">
        <f>854.15+25000</f>
        <v>25854.15</v>
      </c>
      <c r="K400" s="217"/>
      <c r="L400" s="190">
        <f t="shared" si="128"/>
        <v>227024.92</v>
      </c>
      <c r="M400" s="242">
        <f>30676.64-72.6</f>
        <v>30604.04</v>
      </c>
      <c r="N400" s="217"/>
      <c r="O400" s="190">
        <f t="shared" si="129"/>
        <v>257628.96000000002</v>
      </c>
      <c r="P400" s="276">
        <f>-158.51+1265.2-142.66+3111.72</f>
        <v>4075.75</v>
      </c>
      <c r="Q400" s="273">
        <f t="shared" si="130"/>
        <v>261704.71000000002</v>
      </c>
    </row>
    <row r="401" spans="1:17" ht="12.75">
      <c r="A401" s="16" t="s">
        <v>168</v>
      </c>
      <c r="B401" s="56"/>
      <c r="C401" s="116">
        <v>46200</v>
      </c>
      <c r="D401" s="101">
        <f>111229.84+1787.28+1140.79+2788.49+2538.29</f>
        <v>119484.68999999999</v>
      </c>
      <c r="E401" s="72"/>
      <c r="F401" s="172">
        <f t="shared" si="126"/>
        <v>165684.69</v>
      </c>
      <c r="G401" s="73">
        <f>222.33+4827.41+3484.44+48.4+2262.04+291.51+2915.35+384.44+2533.28+4735.91-10474.59+20000</f>
        <v>31230.52</v>
      </c>
      <c r="H401" s="217"/>
      <c r="I401" s="190">
        <f t="shared" si="127"/>
        <v>196915.21</v>
      </c>
      <c r="J401" s="239">
        <f>1894.44+3794.41+266.2+121+271.67+1460.85+1957.5+12095.31+2127.17+2216.3-4000</f>
        <v>22204.849999999995</v>
      </c>
      <c r="K401" s="217"/>
      <c r="L401" s="190">
        <f t="shared" si="128"/>
        <v>219120.06</v>
      </c>
      <c r="M401" s="242">
        <f>3268.49+479.08+624.43+497.34+154.28+0.02-4404.45+2409.76+1390.72</f>
        <v>4419.670000000001</v>
      </c>
      <c r="N401" s="217"/>
      <c r="O401" s="190">
        <f t="shared" si="129"/>
        <v>223539.73</v>
      </c>
      <c r="P401" s="276">
        <f>11378.58</f>
        <v>11378.58</v>
      </c>
      <c r="Q401" s="273">
        <f t="shared" si="130"/>
        <v>234918.31</v>
      </c>
    </row>
    <row r="402" spans="1:17" ht="12.75" hidden="1">
      <c r="A402" s="16" t="s">
        <v>279</v>
      </c>
      <c r="B402" s="56"/>
      <c r="C402" s="116"/>
      <c r="D402" s="101"/>
      <c r="E402" s="72"/>
      <c r="F402" s="172">
        <f t="shared" si="126"/>
        <v>0</v>
      </c>
      <c r="G402" s="73"/>
      <c r="H402" s="217"/>
      <c r="I402" s="190">
        <f t="shared" si="127"/>
        <v>0</v>
      </c>
      <c r="J402" s="239"/>
      <c r="K402" s="217"/>
      <c r="L402" s="190">
        <f t="shared" si="128"/>
        <v>0</v>
      </c>
      <c r="M402" s="242"/>
      <c r="N402" s="217"/>
      <c r="O402" s="190">
        <f t="shared" si="129"/>
        <v>0</v>
      </c>
      <c r="P402" s="276"/>
      <c r="Q402" s="273">
        <f t="shared" si="130"/>
        <v>0</v>
      </c>
    </row>
    <row r="403" spans="1:17" ht="12.75">
      <c r="A403" s="16" t="s">
        <v>250</v>
      </c>
      <c r="B403" s="56">
        <v>2088</v>
      </c>
      <c r="C403" s="116"/>
      <c r="D403" s="101">
        <f>1620.82+51333.31</f>
        <v>52954.13</v>
      </c>
      <c r="E403" s="72"/>
      <c r="F403" s="172">
        <f t="shared" si="126"/>
        <v>52954.13</v>
      </c>
      <c r="G403" s="73">
        <f>56521.93</f>
        <v>56521.93</v>
      </c>
      <c r="H403" s="217"/>
      <c r="I403" s="190">
        <f t="shared" si="127"/>
        <v>109476.06</v>
      </c>
      <c r="J403" s="239">
        <f>35904.66</f>
        <v>35904.66</v>
      </c>
      <c r="K403" s="217"/>
      <c r="L403" s="190">
        <f t="shared" si="128"/>
        <v>145380.72</v>
      </c>
      <c r="M403" s="242">
        <f>121639.93-155668.24</f>
        <v>-34028.31</v>
      </c>
      <c r="N403" s="217"/>
      <c r="O403" s="190">
        <f t="shared" si="129"/>
        <v>111352.41</v>
      </c>
      <c r="P403" s="276"/>
      <c r="Q403" s="273">
        <f t="shared" si="130"/>
        <v>111352.41</v>
      </c>
    </row>
    <row r="404" spans="1:17" ht="12.75">
      <c r="A404" s="20" t="s">
        <v>217</v>
      </c>
      <c r="B404" s="56">
        <v>2077</v>
      </c>
      <c r="C404" s="116">
        <v>100089.33</v>
      </c>
      <c r="D404" s="101">
        <f>183392.29-1000-3900-36.44-7132.51-1338.77-49.4-13.79-1746.12-29.52-2758.22-491.12-3608.52+6449.08+4741.14+404.5-13.94-100-50000-400</f>
        <v>122368.66000000003</v>
      </c>
      <c r="E404" s="72"/>
      <c r="F404" s="172">
        <f t="shared" si="126"/>
        <v>222457.99000000005</v>
      </c>
      <c r="G404" s="73">
        <f>-51.91-569.78-29.52-53.11-513.74-13.94-1401.84-229.9-15219.74-2494.73-13.94-160.93+3314.05-633.96-105.02-339.5-4155.58-4000-663.43-103.63-2938.65</f>
        <v>-30378.8</v>
      </c>
      <c r="H404" s="217"/>
      <c r="I404" s="190">
        <f t="shared" si="127"/>
        <v>192079.19000000006</v>
      </c>
      <c r="J404" s="239">
        <f>-738.33-19.17-29.53-266.2-121-926.73-24.32-1947.32-114.19-13444.34-31.46-728.07-13.94-3175.48-814.95+4156.41-1230.55-960.73-1382.16-5636.34</f>
        <v>-27448.399999999998</v>
      </c>
      <c r="K404" s="217"/>
      <c r="L404" s="190">
        <f t="shared" si="128"/>
        <v>164630.79000000007</v>
      </c>
      <c r="M404" s="242">
        <f>-740.46-1180.34-699.7-5236.97-7208.43-1252.5-1567.79-584.97-182.68-595.2-1637.21</f>
        <v>-20886.250000000004</v>
      </c>
      <c r="N404" s="217"/>
      <c r="O404" s="190">
        <f t="shared" si="129"/>
        <v>143744.54000000007</v>
      </c>
      <c r="P404" s="276">
        <f>-448.34-5.62-6.66-5120.98-1104.68-2008.22-344.85-486.72-0.1</f>
        <v>-9526.17</v>
      </c>
      <c r="Q404" s="273">
        <f t="shared" si="130"/>
        <v>134218.37000000005</v>
      </c>
    </row>
    <row r="405" spans="1:17" ht="12.75">
      <c r="A405" s="26" t="s">
        <v>251</v>
      </c>
      <c r="B405" s="59">
        <v>2099</v>
      </c>
      <c r="C405" s="163"/>
      <c r="D405" s="154">
        <f>13200+106180.49+3900+34500-2000-4000-37101.69-206.47-10630.94-9.29-34.03-15.25-1787.28-1140.79-1717.5-11.62-14.13+1016.76-2445.98-2782.99-1052.12-4498.66-11.69-2788.49+500+3000-2538.29-9.29+50000+50000</f>
        <v>187500.75</v>
      </c>
      <c r="E405" s="80"/>
      <c r="F405" s="177">
        <f t="shared" si="126"/>
        <v>187500.75</v>
      </c>
      <c r="G405" s="208">
        <f>636.11+179.45+185.45-55.06+13713.98+18707.82-34.61-560.44-11.62-300.94-4827.41-3484.44-342.49-9.29-1378.86-1674.49-2262.04-291.51-668.91-2915.35-1000-82279.84-2453.84-9.29+750+550+1127.46-384.44-2533.28-623.56-4735.91-595.09+1600.68+1337.82-389.09-442.29-932.65-300-2890.48+1344.4</f>
        <v>-78254.04999999997</v>
      </c>
      <c r="H405" s="223">
        <f>-4610.66+4610.66</f>
        <v>0</v>
      </c>
      <c r="I405" s="195">
        <f t="shared" si="127"/>
        <v>109246.70000000003</v>
      </c>
      <c r="J405" s="246">
        <f>-2000-1351.38-4172.83-1894.44-3794.41-394.74-21.49-11.61-617.82-35.94-271.67-5.49-647.07-1500-76184.59-1460.85-1957.5-12095.31-431.09-9.29-2337.58-543.3+47365.51+90.64+13.38+1052.12+457.69+19982.75+19379.21+22.33-6954.72-43.52-921.44-1733.27-2127.17+1300-5000-200-2800-5000</f>
        <v>-46854.889999999985</v>
      </c>
      <c r="K405" s="223">
        <f>-13641.18+13641.18</f>
        <v>0</v>
      </c>
      <c r="L405" s="195">
        <f t="shared" si="128"/>
        <v>62391.81000000004</v>
      </c>
      <c r="M405" s="265">
        <f>994.87-3268.49-479.08-438.43-922.95-2000-414.3-38.72-624.43-25.01-835-615.3-76.5-411.4-497.34-26850.97+26850.97-116.9+116.9+49.01+6313.95-323.08-30676.64+21.89+6029.17+2662.98-352.42-154.28+85.3-20000-6000-5000+1220.82+171295.26-2409.76-1390.72</f>
        <v>111719.40000000001</v>
      </c>
      <c r="N405" s="223">
        <f>-3474.4+3474.4-16850.73+16850.73</f>
        <v>0</v>
      </c>
      <c r="O405" s="195">
        <f t="shared" si="129"/>
        <v>174111.21000000005</v>
      </c>
      <c r="P405" s="314">
        <f>15309.43+2563.33+3687.12-298.9-64000-59.89-494.64-416.6+2442.66-34.61-2000-0.91-1265.2-3111.72+3080.93+1160</f>
        <v>-43439.00000000001</v>
      </c>
      <c r="Q405" s="280">
        <f t="shared" si="130"/>
        <v>130672.21000000005</v>
      </c>
    </row>
    <row r="406" spans="1:17" ht="12.75">
      <c r="A406" s="13" t="s">
        <v>82</v>
      </c>
      <c r="B406" s="60"/>
      <c r="C406" s="110">
        <f aca="true" t="shared" si="132" ref="C406:Q406">C407+C440</f>
        <v>371434</v>
      </c>
      <c r="D406" s="91">
        <f t="shared" si="132"/>
        <v>1602417.67</v>
      </c>
      <c r="E406" s="71">
        <f t="shared" si="132"/>
        <v>0</v>
      </c>
      <c r="F406" s="171">
        <f t="shared" si="132"/>
        <v>1973851.6700000002</v>
      </c>
      <c r="G406" s="70">
        <f t="shared" si="132"/>
        <v>8301.439999999999</v>
      </c>
      <c r="H406" s="216">
        <f t="shared" si="132"/>
        <v>0</v>
      </c>
      <c r="I406" s="189">
        <f t="shared" si="132"/>
        <v>1982153.1099999999</v>
      </c>
      <c r="J406" s="238">
        <f t="shared" si="132"/>
        <v>31938.64</v>
      </c>
      <c r="K406" s="216">
        <f t="shared" si="132"/>
        <v>0</v>
      </c>
      <c r="L406" s="189">
        <f t="shared" si="132"/>
        <v>2014091.75</v>
      </c>
      <c r="M406" s="238">
        <f>M407+M440</f>
        <v>26834.8</v>
      </c>
      <c r="N406" s="216">
        <f t="shared" si="132"/>
        <v>0</v>
      </c>
      <c r="O406" s="189">
        <f t="shared" si="132"/>
        <v>2040926.5499999998</v>
      </c>
      <c r="P406" s="308">
        <f t="shared" si="132"/>
        <v>84737.85</v>
      </c>
      <c r="Q406" s="272">
        <f t="shared" si="132"/>
        <v>2125664.4</v>
      </c>
    </row>
    <row r="407" spans="1:17" ht="12.75">
      <c r="A407" s="22" t="s">
        <v>46</v>
      </c>
      <c r="B407" s="60"/>
      <c r="C407" s="114">
        <f aca="true" t="shared" si="133" ref="C407:Q407">SUM(C409:C439)</f>
        <v>371434</v>
      </c>
      <c r="D407" s="104">
        <f t="shared" si="133"/>
        <v>1588097.17</v>
      </c>
      <c r="E407" s="79">
        <f t="shared" si="133"/>
        <v>0</v>
      </c>
      <c r="F407" s="175">
        <f t="shared" si="133"/>
        <v>1959531.1700000002</v>
      </c>
      <c r="G407" s="78">
        <f t="shared" si="133"/>
        <v>1765.1599999999999</v>
      </c>
      <c r="H407" s="221">
        <f t="shared" si="133"/>
        <v>0</v>
      </c>
      <c r="I407" s="193">
        <f t="shared" si="133"/>
        <v>1961296.3299999998</v>
      </c>
      <c r="J407" s="244">
        <f t="shared" si="133"/>
        <v>31938.64</v>
      </c>
      <c r="K407" s="221">
        <f t="shared" si="133"/>
        <v>0</v>
      </c>
      <c r="L407" s="193">
        <f t="shared" si="133"/>
        <v>1993234.97</v>
      </c>
      <c r="M407" s="244">
        <f t="shared" si="133"/>
        <v>26834.8</v>
      </c>
      <c r="N407" s="221">
        <f t="shared" si="133"/>
        <v>0</v>
      </c>
      <c r="O407" s="193">
        <f t="shared" si="133"/>
        <v>2020069.7699999998</v>
      </c>
      <c r="P407" s="311">
        <f t="shared" si="133"/>
        <v>84737.85</v>
      </c>
      <c r="Q407" s="278">
        <f t="shared" si="133"/>
        <v>2104807.62</v>
      </c>
    </row>
    <row r="408" spans="1:17" ht="12.75">
      <c r="A408" s="18" t="s">
        <v>26</v>
      </c>
      <c r="B408" s="56"/>
      <c r="C408" s="111"/>
      <c r="D408" s="101"/>
      <c r="E408" s="72"/>
      <c r="F408" s="172"/>
      <c r="G408" s="73"/>
      <c r="H408" s="217"/>
      <c r="I408" s="190"/>
      <c r="J408" s="239"/>
      <c r="K408" s="217"/>
      <c r="L408" s="190"/>
      <c r="M408" s="239"/>
      <c r="N408" s="217"/>
      <c r="O408" s="190"/>
      <c r="P408" s="276"/>
      <c r="Q408" s="273"/>
    </row>
    <row r="409" spans="1:17" ht="12.75">
      <c r="A409" s="126" t="s">
        <v>83</v>
      </c>
      <c r="B409" s="62"/>
      <c r="C409" s="111">
        <v>286700</v>
      </c>
      <c r="D409" s="101">
        <f>23000</f>
        <v>23000</v>
      </c>
      <c r="E409" s="72"/>
      <c r="F409" s="131">
        <f aca="true" t="shared" si="134" ref="F409:F439">C409+D409+E409</f>
        <v>309700</v>
      </c>
      <c r="G409" s="73"/>
      <c r="H409" s="217"/>
      <c r="I409" s="190">
        <f>F409+G409+H409</f>
        <v>309700</v>
      </c>
      <c r="J409" s="239"/>
      <c r="K409" s="217"/>
      <c r="L409" s="190">
        <f>I409+J409+K409</f>
        <v>309700</v>
      </c>
      <c r="M409" s="239">
        <f>-78482.33</f>
        <v>-78482.33</v>
      </c>
      <c r="N409" s="217">
        <f>-13850</f>
        <v>-13850</v>
      </c>
      <c r="O409" s="190">
        <f>L409+M409+N409</f>
        <v>217367.66999999998</v>
      </c>
      <c r="P409" s="276">
        <f>-50</f>
        <v>-50</v>
      </c>
      <c r="Q409" s="273">
        <f>O409+P409</f>
        <v>217317.66999999998</v>
      </c>
    </row>
    <row r="410" spans="1:17" ht="12.75" hidden="1">
      <c r="A410" s="57" t="s">
        <v>188</v>
      </c>
      <c r="B410" s="62"/>
      <c r="C410" s="111"/>
      <c r="D410" s="101"/>
      <c r="E410" s="72"/>
      <c r="F410" s="172">
        <f t="shared" si="134"/>
        <v>0</v>
      </c>
      <c r="G410" s="73"/>
      <c r="H410" s="217"/>
      <c r="I410" s="190">
        <f aca="true" t="shared" si="135" ref="I410:I439">F410+G410+H410</f>
        <v>0</v>
      </c>
      <c r="J410" s="239"/>
      <c r="K410" s="217"/>
      <c r="L410" s="190">
        <f aca="true" t="shared" si="136" ref="L410:L439">I410+J410+K410</f>
        <v>0</v>
      </c>
      <c r="M410" s="239"/>
      <c r="N410" s="217"/>
      <c r="O410" s="190">
        <f aca="true" t="shared" si="137" ref="O410:O439">L410+M410+N410</f>
        <v>0</v>
      </c>
      <c r="P410" s="276"/>
      <c r="Q410" s="273">
        <f aca="true" t="shared" si="138" ref="Q410:Q439">O410+P410</f>
        <v>0</v>
      </c>
    </row>
    <row r="411" spans="1:17" ht="12.75" hidden="1">
      <c r="A411" s="16" t="s">
        <v>133</v>
      </c>
      <c r="B411" s="56"/>
      <c r="C411" s="111"/>
      <c r="D411" s="101"/>
      <c r="E411" s="72"/>
      <c r="F411" s="172">
        <f t="shared" si="134"/>
        <v>0</v>
      </c>
      <c r="G411" s="73"/>
      <c r="H411" s="217"/>
      <c r="I411" s="190">
        <f t="shared" si="135"/>
        <v>0</v>
      </c>
      <c r="J411" s="239"/>
      <c r="K411" s="217"/>
      <c r="L411" s="190">
        <f t="shared" si="136"/>
        <v>0</v>
      </c>
      <c r="M411" s="239"/>
      <c r="N411" s="217"/>
      <c r="O411" s="190">
        <f t="shared" si="137"/>
        <v>0</v>
      </c>
      <c r="P411" s="276"/>
      <c r="Q411" s="273">
        <f t="shared" si="138"/>
        <v>0</v>
      </c>
    </row>
    <row r="412" spans="1:17" ht="12.75">
      <c r="A412" s="16" t="s">
        <v>149</v>
      </c>
      <c r="B412" s="56"/>
      <c r="C412" s="111">
        <v>70000</v>
      </c>
      <c r="D412" s="101">
        <f>-981+5192.63</f>
        <v>4211.63</v>
      </c>
      <c r="E412" s="72"/>
      <c r="F412" s="172">
        <f t="shared" si="134"/>
        <v>74211.63</v>
      </c>
      <c r="G412" s="73">
        <f>822.03-180</f>
        <v>642.03</v>
      </c>
      <c r="H412" s="217"/>
      <c r="I412" s="190">
        <f t="shared" si="135"/>
        <v>74853.66</v>
      </c>
      <c r="J412" s="239">
        <f>-200-60</f>
        <v>-260</v>
      </c>
      <c r="K412" s="217"/>
      <c r="L412" s="190">
        <f t="shared" si="136"/>
        <v>74593.66</v>
      </c>
      <c r="M412" s="239">
        <f>78482.33</f>
        <v>78482.33</v>
      </c>
      <c r="N412" s="217">
        <f>13850</f>
        <v>13850</v>
      </c>
      <c r="O412" s="190">
        <f t="shared" si="137"/>
        <v>166925.99</v>
      </c>
      <c r="P412" s="276">
        <f>50+981</f>
        <v>1031</v>
      </c>
      <c r="Q412" s="273">
        <f t="shared" si="138"/>
        <v>167956.99</v>
      </c>
    </row>
    <row r="413" spans="1:17" ht="12.75">
      <c r="A413" s="16" t="s">
        <v>48</v>
      </c>
      <c r="B413" s="56"/>
      <c r="C413" s="111">
        <v>14244</v>
      </c>
      <c r="D413" s="101">
        <f>-5500</f>
        <v>-5500</v>
      </c>
      <c r="E413" s="72"/>
      <c r="F413" s="172">
        <f t="shared" si="134"/>
        <v>8744</v>
      </c>
      <c r="G413" s="73"/>
      <c r="H413" s="217"/>
      <c r="I413" s="190">
        <f t="shared" si="135"/>
        <v>8744</v>
      </c>
      <c r="J413" s="239"/>
      <c r="K413" s="217"/>
      <c r="L413" s="190">
        <f t="shared" si="136"/>
        <v>8744</v>
      </c>
      <c r="M413" s="239">
        <f>950.98</f>
        <v>950.98</v>
      </c>
      <c r="N413" s="217"/>
      <c r="O413" s="190">
        <f t="shared" si="137"/>
        <v>9694.98</v>
      </c>
      <c r="P413" s="276"/>
      <c r="Q413" s="273">
        <f t="shared" si="138"/>
        <v>9694.98</v>
      </c>
    </row>
    <row r="414" spans="1:17" ht="12.75" hidden="1">
      <c r="A414" s="16" t="s">
        <v>60</v>
      </c>
      <c r="B414" s="56"/>
      <c r="C414" s="111"/>
      <c r="D414" s="101"/>
      <c r="E414" s="72"/>
      <c r="F414" s="172">
        <f t="shared" si="134"/>
        <v>0</v>
      </c>
      <c r="G414" s="73"/>
      <c r="H414" s="217"/>
      <c r="I414" s="190">
        <f t="shared" si="135"/>
        <v>0</v>
      </c>
      <c r="J414" s="239"/>
      <c r="K414" s="217"/>
      <c r="L414" s="190">
        <f t="shared" si="136"/>
        <v>0</v>
      </c>
      <c r="M414" s="239"/>
      <c r="N414" s="217"/>
      <c r="O414" s="190">
        <f t="shared" si="137"/>
        <v>0</v>
      </c>
      <c r="P414" s="276"/>
      <c r="Q414" s="273">
        <f t="shared" si="138"/>
        <v>0</v>
      </c>
    </row>
    <row r="415" spans="1:17" ht="12.75" hidden="1">
      <c r="A415" s="16" t="s">
        <v>238</v>
      </c>
      <c r="B415" s="56">
        <v>13013</v>
      </c>
      <c r="C415" s="111"/>
      <c r="D415" s="101"/>
      <c r="E415" s="72"/>
      <c r="F415" s="172">
        <f t="shared" si="134"/>
        <v>0</v>
      </c>
      <c r="G415" s="73"/>
      <c r="H415" s="217"/>
      <c r="I415" s="190">
        <f t="shared" si="135"/>
        <v>0</v>
      </c>
      <c r="J415" s="239"/>
      <c r="K415" s="217"/>
      <c r="L415" s="190">
        <f t="shared" si="136"/>
        <v>0</v>
      </c>
      <c r="M415" s="239"/>
      <c r="N415" s="217"/>
      <c r="O415" s="190">
        <f t="shared" si="137"/>
        <v>0</v>
      </c>
      <c r="P415" s="276"/>
      <c r="Q415" s="273">
        <f t="shared" si="138"/>
        <v>0</v>
      </c>
    </row>
    <row r="416" spans="1:17" ht="12.75" hidden="1">
      <c r="A416" s="57" t="s">
        <v>290</v>
      </c>
      <c r="B416" s="56">
        <v>2178</v>
      </c>
      <c r="C416" s="111"/>
      <c r="D416" s="101"/>
      <c r="E416" s="72"/>
      <c r="F416" s="172">
        <f t="shared" si="134"/>
        <v>0</v>
      </c>
      <c r="G416" s="73"/>
      <c r="H416" s="217"/>
      <c r="I416" s="190">
        <f t="shared" si="135"/>
        <v>0</v>
      </c>
      <c r="J416" s="239"/>
      <c r="K416" s="217"/>
      <c r="L416" s="190">
        <f t="shared" si="136"/>
        <v>0</v>
      </c>
      <c r="M416" s="239"/>
      <c r="N416" s="217"/>
      <c r="O416" s="190">
        <f t="shared" si="137"/>
        <v>0</v>
      </c>
      <c r="P416" s="276"/>
      <c r="Q416" s="273">
        <f t="shared" si="138"/>
        <v>0</v>
      </c>
    </row>
    <row r="417" spans="1:17" ht="12.75" hidden="1">
      <c r="A417" s="16" t="s">
        <v>291</v>
      </c>
      <c r="B417" s="56">
        <v>2073</v>
      </c>
      <c r="C417" s="111"/>
      <c r="D417" s="101"/>
      <c r="E417" s="72"/>
      <c r="F417" s="172">
        <f t="shared" si="134"/>
        <v>0</v>
      </c>
      <c r="G417" s="73"/>
      <c r="H417" s="217"/>
      <c r="I417" s="190">
        <f t="shared" si="135"/>
        <v>0</v>
      </c>
      <c r="J417" s="239"/>
      <c r="K417" s="217"/>
      <c r="L417" s="190">
        <f t="shared" si="136"/>
        <v>0</v>
      </c>
      <c r="M417" s="239"/>
      <c r="N417" s="217"/>
      <c r="O417" s="190">
        <f t="shared" si="137"/>
        <v>0</v>
      </c>
      <c r="P417" s="276"/>
      <c r="Q417" s="273">
        <f t="shared" si="138"/>
        <v>0</v>
      </c>
    </row>
    <row r="418" spans="1:17" ht="12.75" hidden="1">
      <c r="A418" s="16" t="s">
        <v>288</v>
      </c>
      <c r="B418" s="56"/>
      <c r="C418" s="111"/>
      <c r="D418" s="101"/>
      <c r="E418" s="72"/>
      <c r="F418" s="172">
        <f t="shared" si="134"/>
        <v>0</v>
      </c>
      <c r="G418" s="73"/>
      <c r="H418" s="217"/>
      <c r="I418" s="190">
        <f t="shared" si="135"/>
        <v>0</v>
      </c>
      <c r="J418" s="239"/>
      <c r="K418" s="217"/>
      <c r="L418" s="190">
        <f t="shared" si="136"/>
        <v>0</v>
      </c>
      <c r="M418" s="239"/>
      <c r="N418" s="217"/>
      <c r="O418" s="190">
        <f t="shared" si="137"/>
        <v>0</v>
      </c>
      <c r="P418" s="276"/>
      <c r="Q418" s="273">
        <f t="shared" si="138"/>
        <v>0</v>
      </c>
    </row>
    <row r="419" spans="1:17" ht="12.75">
      <c r="A419" s="16" t="s">
        <v>321</v>
      </c>
      <c r="B419" s="56">
        <v>1230</v>
      </c>
      <c r="C419" s="111"/>
      <c r="D419" s="101">
        <f>3334.03</f>
        <v>3334.03</v>
      </c>
      <c r="E419" s="72"/>
      <c r="F419" s="172">
        <f t="shared" si="134"/>
        <v>3334.03</v>
      </c>
      <c r="G419" s="73">
        <f>-2748.43</f>
        <v>-2748.43</v>
      </c>
      <c r="H419" s="217"/>
      <c r="I419" s="190">
        <f t="shared" si="135"/>
        <v>585.6000000000004</v>
      </c>
      <c r="J419" s="239"/>
      <c r="K419" s="217"/>
      <c r="L419" s="190">
        <f t="shared" si="136"/>
        <v>585.6000000000004</v>
      </c>
      <c r="M419" s="239"/>
      <c r="N419" s="217"/>
      <c r="O419" s="190">
        <f t="shared" si="137"/>
        <v>585.6000000000004</v>
      </c>
      <c r="P419" s="276"/>
      <c r="Q419" s="273">
        <f t="shared" si="138"/>
        <v>585.6000000000004</v>
      </c>
    </row>
    <row r="420" spans="1:17" ht="12.75">
      <c r="A420" s="16" t="s">
        <v>322</v>
      </c>
      <c r="B420" s="56">
        <v>1238</v>
      </c>
      <c r="C420" s="111"/>
      <c r="D420" s="101">
        <f>72093.82</f>
        <v>72093.82</v>
      </c>
      <c r="E420" s="72"/>
      <c r="F420" s="172">
        <f t="shared" si="134"/>
        <v>72093.82</v>
      </c>
      <c r="G420" s="73"/>
      <c r="H420" s="217"/>
      <c r="I420" s="190">
        <f t="shared" si="135"/>
        <v>72093.82</v>
      </c>
      <c r="J420" s="239"/>
      <c r="K420" s="217"/>
      <c r="L420" s="190">
        <f t="shared" si="136"/>
        <v>72093.82</v>
      </c>
      <c r="M420" s="239"/>
      <c r="N420" s="217"/>
      <c r="O420" s="190">
        <f t="shared" si="137"/>
        <v>72093.82</v>
      </c>
      <c r="P420" s="276"/>
      <c r="Q420" s="273">
        <f t="shared" si="138"/>
        <v>72093.82</v>
      </c>
    </row>
    <row r="421" spans="1:17" ht="12.75">
      <c r="A421" s="16" t="s">
        <v>301</v>
      </c>
      <c r="B421" s="56"/>
      <c r="C421" s="111"/>
      <c r="D421" s="101">
        <f>47237.11</f>
        <v>47237.11</v>
      </c>
      <c r="E421" s="72"/>
      <c r="F421" s="172">
        <f t="shared" si="134"/>
        <v>47237.11</v>
      </c>
      <c r="G421" s="73"/>
      <c r="H421" s="217"/>
      <c r="I421" s="190">
        <f t="shared" si="135"/>
        <v>47237.11</v>
      </c>
      <c r="J421" s="239">
        <f>24274.87</f>
        <v>24274.87</v>
      </c>
      <c r="K421" s="217"/>
      <c r="L421" s="190">
        <f t="shared" si="136"/>
        <v>71511.98</v>
      </c>
      <c r="M421" s="239">
        <f>12191.02</f>
        <v>12191.02</v>
      </c>
      <c r="N421" s="217"/>
      <c r="O421" s="190">
        <f t="shared" si="137"/>
        <v>83703</v>
      </c>
      <c r="P421" s="276"/>
      <c r="Q421" s="273">
        <f t="shared" si="138"/>
        <v>83703</v>
      </c>
    </row>
    <row r="422" spans="1:17" ht="12.75">
      <c r="A422" s="25" t="s">
        <v>302</v>
      </c>
      <c r="B422" s="56">
        <v>2090</v>
      </c>
      <c r="C422" s="111"/>
      <c r="D422" s="101">
        <f>5532.56</f>
        <v>5532.56</v>
      </c>
      <c r="E422" s="72"/>
      <c r="F422" s="172">
        <f t="shared" si="134"/>
        <v>5532.56</v>
      </c>
      <c r="G422" s="73"/>
      <c r="H422" s="217"/>
      <c r="I422" s="190">
        <f t="shared" si="135"/>
        <v>5532.56</v>
      </c>
      <c r="J422" s="239"/>
      <c r="K422" s="217"/>
      <c r="L422" s="190">
        <f t="shared" si="136"/>
        <v>5532.56</v>
      </c>
      <c r="M422" s="239">
        <f>712.02</f>
        <v>712.02</v>
      </c>
      <c r="N422" s="217"/>
      <c r="O422" s="190">
        <f t="shared" si="137"/>
        <v>6244.58</v>
      </c>
      <c r="P422" s="276"/>
      <c r="Q422" s="273">
        <f t="shared" si="138"/>
        <v>6244.58</v>
      </c>
    </row>
    <row r="423" spans="1:17" ht="12.75">
      <c r="A423" s="16" t="s">
        <v>318</v>
      </c>
      <c r="B423" s="56">
        <v>1240</v>
      </c>
      <c r="C423" s="111"/>
      <c r="D423" s="101">
        <f>9050.52</f>
        <v>9050.52</v>
      </c>
      <c r="E423" s="72"/>
      <c r="F423" s="172">
        <f t="shared" si="134"/>
        <v>9050.52</v>
      </c>
      <c r="G423" s="73"/>
      <c r="H423" s="217"/>
      <c r="I423" s="190">
        <f t="shared" si="135"/>
        <v>9050.52</v>
      </c>
      <c r="J423" s="239"/>
      <c r="K423" s="217"/>
      <c r="L423" s="190">
        <f t="shared" si="136"/>
        <v>9050.52</v>
      </c>
      <c r="M423" s="239"/>
      <c r="N423" s="217"/>
      <c r="O423" s="190">
        <f t="shared" si="137"/>
        <v>9050.52</v>
      </c>
      <c r="P423" s="276"/>
      <c r="Q423" s="273">
        <f t="shared" si="138"/>
        <v>9050.52</v>
      </c>
    </row>
    <row r="424" spans="1:17" ht="12.75">
      <c r="A424" s="16" t="s">
        <v>359</v>
      </c>
      <c r="B424" s="56"/>
      <c r="C424" s="111"/>
      <c r="D424" s="101"/>
      <c r="E424" s="72"/>
      <c r="F424" s="172">
        <f t="shared" si="134"/>
        <v>0</v>
      </c>
      <c r="G424" s="73"/>
      <c r="H424" s="217"/>
      <c r="I424" s="190">
        <f t="shared" si="135"/>
        <v>0</v>
      </c>
      <c r="J424" s="239">
        <f>45.65</f>
        <v>45.65</v>
      </c>
      <c r="K424" s="217"/>
      <c r="L424" s="190">
        <f t="shared" si="136"/>
        <v>45.65</v>
      </c>
      <c r="M424" s="239"/>
      <c r="N424" s="217"/>
      <c r="O424" s="190">
        <f t="shared" si="137"/>
        <v>45.65</v>
      </c>
      <c r="P424" s="276">
        <f>4046.99</f>
        <v>4046.99</v>
      </c>
      <c r="Q424" s="273">
        <f t="shared" si="138"/>
        <v>4092.64</v>
      </c>
    </row>
    <row r="425" spans="1:17" ht="12.75">
      <c r="A425" s="16" t="s">
        <v>319</v>
      </c>
      <c r="B425" s="56">
        <v>1235</v>
      </c>
      <c r="C425" s="111"/>
      <c r="D425" s="101">
        <f>5055.88</f>
        <v>5055.88</v>
      </c>
      <c r="E425" s="72"/>
      <c r="F425" s="172">
        <f t="shared" si="134"/>
        <v>5055.88</v>
      </c>
      <c r="G425" s="73"/>
      <c r="H425" s="217"/>
      <c r="I425" s="190">
        <f t="shared" si="135"/>
        <v>5055.88</v>
      </c>
      <c r="J425" s="239"/>
      <c r="K425" s="217"/>
      <c r="L425" s="190">
        <f t="shared" si="136"/>
        <v>5055.88</v>
      </c>
      <c r="M425" s="239"/>
      <c r="N425" s="217"/>
      <c r="O425" s="190">
        <f t="shared" si="137"/>
        <v>5055.88</v>
      </c>
      <c r="P425" s="276"/>
      <c r="Q425" s="273">
        <f t="shared" si="138"/>
        <v>5055.88</v>
      </c>
    </row>
    <row r="426" spans="1:17" ht="12.75">
      <c r="A426" s="16" t="s">
        <v>357</v>
      </c>
      <c r="B426" s="56"/>
      <c r="C426" s="111"/>
      <c r="D426" s="101"/>
      <c r="E426" s="72"/>
      <c r="F426" s="172"/>
      <c r="G426" s="73"/>
      <c r="H426" s="217"/>
      <c r="I426" s="190">
        <f t="shared" si="135"/>
        <v>0</v>
      </c>
      <c r="J426" s="239">
        <f>8898.72</f>
        <v>8898.72</v>
      </c>
      <c r="K426" s="217"/>
      <c r="L426" s="190">
        <f t="shared" si="136"/>
        <v>8898.72</v>
      </c>
      <c r="M426" s="239">
        <f>7727.61</f>
        <v>7727.61</v>
      </c>
      <c r="N426" s="217"/>
      <c r="O426" s="190">
        <f t="shared" si="137"/>
        <v>16626.329999999998</v>
      </c>
      <c r="P426" s="276"/>
      <c r="Q426" s="273">
        <f t="shared" si="138"/>
        <v>16626.329999999998</v>
      </c>
    </row>
    <row r="427" spans="1:17" ht="12.75">
      <c r="A427" s="16" t="s">
        <v>320</v>
      </c>
      <c r="B427" s="56">
        <v>1236</v>
      </c>
      <c r="C427" s="111"/>
      <c r="D427" s="101">
        <f>11477.99</f>
        <v>11477.99</v>
      </c>
      <c r="E427" s="72"/>
      <c r="F427" s="172">
        <f t="shared" si="134"/>
        <v>11477.99</v>
      </c>
      <c r="G427" s="73"/>
      <c r="H427" s="217"/>
      <c r="I427" s="190">
        <f t="shared" si="135"/>
        <v>11477.99</v>
      </c>
      <c r="J427" s="239"/>
      <c r="K427" s="217"/>
      <c r="L427" s="190">
        <f t="shared" si="136"/>
        <v>11477.99</v>
      </c>
      <c r="M427" s="239"/>
      <c r="N427" s="217"/>
      <c r="O427" s="190">
        <f t="shared" si="137"/>
        <v>11477.99</v>
      </c>
      <c r="P427" s="276"/>
      <c r="Q427" s="273">
        <f t="shared" si="138"/>
        <v>11477.99</v>
      </c>
    </row>
    <row r="428" spans="1:17" ht="12.75">
      <c r="A428" s="16" t="s">
        <v>340</v>
      </c>
      <c r="B428" s="56"/>
      <c r="C428" s="111"/>
      <c r="D428" s="101"/>
      <c r="E428" s="72"/>
      <c r="F428" s="172">
        <f t="shared" si="134"/>
        <v>0</v>
      </c>
      <c r="G428" s="73">
        <f>1667.33</f>
        <v>1667.33</v>
      </c>
      <c r="H428" s="217"/>
      <c r="I428" s="190">
        <f t="shared" si="135"/>
        <v>1667.33</v>
      </c>
      <c r="J428" s="239"/>
      <c r="K428" s="217"/>
      <c r="L428" s="190">
        <f t="shared" si="136"/>
        <v>1667.33</v>
      </c>
      <c r="M428" s="239">
        <f>3457.85</f>
        <v>3457.85</v>
      </c>
      <c r="N428" s="217"/>
      <c r="O428" s="190">
        <f t="shared" si="137"/>
        <v>5125.18</v>
      </c>
      <c r="P428" s="276"/>
      <c r="Q428" s="273">
        <f t="shared" si="138"/>
        <v>5125.18</v>
      </c>
    </row>
    <row r="429" spans="1:17" ht="12.75">
      <c r="A429" s="16" t="s">
        <v>374</v>
      </c>
      <c r="B429" s="56"/>
      <c r="C429" s="111"/>
      <c r="D429" s="101"/>
      <c r="E429" s="72"/>
      <c r="F429" s="172"/>
      <c r="G429" s="73"/>
      <c r="H429" s="217"/>
      <c r="I429" s="190"/>
      <c r="J429" s="239"/>
      <c r="K429" s="217"/>
      <c r="L429" s="190">
        <f t="shared" si="136"/>
        <v>0</v>
      </c>
      <c r="M429" s="239"/>
      <c r="N429" s="217"/>
      <c r="O429" s="190">
        <f t="shared" si="137"/>
        <v>0</v>
      </c>
      <c r="P429" s="276">
        <f>14539.86</f>
        <v>14539.86</v>
      </c>
      <c r="Q429" s="273">
        <f t="shared" si="138"/>
        <v>14539.86</v>
      </c>
    </row>
    <row r="430" spans="1:17" ht="12.75">
      <c r="A430" s="25" t="s">
        <v>323</v>
      </c>
      <c r="B430" s="56">
        <v>1237</v>
      </c>
      <c r="C430" s="111"/>
      <c r="D430" s="101">
        <f>2664.02</f>
        <v>2664.02</v>
      </c>
      <c r="E430" s="72"/>
      <c r="F430" s="172">
        <f t="shared" si="134"/>
        <v>2664.02</v>
      </c>
      <c r="G430" s="73"/>
      <c r="H430" s="217"/>
      <c r="I430" s="190">
        <f t="shared" si="135"/>
        <v>2664.02</v>
      </c>
      <c r="J430" s="239"/>
      <c r="K430" s="217"/>
      <c r="L430" s="190">
        <f t="shared" si="136"/>
        <v>2664.02</v>
      </c>
      <c r="M430" s="239"/>
      <c r="N430" s="217"/>
      <c r="O430" s="190">
        <f t="shared" si="137"/>
        <v>2664.02</v>
      </c>
      <c r="P430" s="276"/>
      <c r="Q430" s="273">
        <f t="shared" si="138"/>
        <v>2664.02</v>
      </c>
    </row>
    <row r="431" spans="1:17" ht="12.75">
      <c r="A431" s="16" t="s">
        <v>339</v>
      </c>
      <c r="B431" s="56"/>
      <c r="C431" s="111"/>
      <c r="D431" s="101"/>
      <c r="E431" s="72"/>
      <c r="F431" s="172">
        <f t="shared" si="134"/>
        <v>0</v>
      </c>
      <c r="G431" s="73">
        <f>102.41</f>
        <v>102.41</v>
      </c>
      <c r="H431" s="217"/>
      <c r="I431" s="190">
        <f t="shared" si="135"/>
        <v>102.41</v>
      </c>
      <c r="J431" s="239"/>
      <c r="K431" s="217"/>
      <c r="L431" s="190">
        <f t="shared" si="136"/>
        <v>102.41</v>
      </c>
      <c r="M431" s="239">
        <f>795.32</f>
        <v>795.32</v>
      </c>
      <c r="N431" s="217"/>
      <c r="O431" s="190">
        <f t="shared" si="137"/>
        <v>897.73</v>
      </c>
      <c r="P431" s="276"/>
      <c r="Q431" s="273">
        <f t="shared" si="138"/>
        <v>897.73</v>
      </c>
    </row>
    <row r="432" spans="1:17" ht="12.75">
      <c r="A432" s="16" t="s">
        <v>324</v>
      </c>
      <c r="B432" s="56">
        <v>1241</v>
      </c>
      <c r="C432" s="111"/>
      <c r="D432" s="101">
        <f>1533.66</f>
        <v>1533.66</v>
      </c>
      <c r="E432" s="72"/>
      <c r="F432" s="172">
        <f t="shared" si="134"/>
        <v>1533.66</v>
      </c>
      <c r="G432" s="73"/>
      <c r="H432" s="217"/>
      <c r="I432" s="190">
        <f t="shared" si="135"/>
        <v>1533.66</v>
      </c>
      <c r="J432" s="239"/>
      <c r="K432" s="217"/>
      <c r="L432" s="190">
        <f t="shared" si="136"/>
        <v>1533.66</v>
      </c>
      <c r="M432" s="239"/>
      <c r="N432" s="217"/>
      <c r="O432" s="190">
        <f t="shared" si="137"/>
        <v>1533.66</v>
      </c>
      <c r="P432" s="276"/>
      <c r="Q432" s="273">
        <f t="shared" si="138"/>
        <v>1533.66</v>
      </c>
    </row>
    <row r="433" spans="1:17" ht="12.75">
      <c r="A433" s="16" t="s">
        <v>356</v>
      </c>
      <c r="B433" s="56"/>
      <c r="C433" s="111"/>
      <c r="D433" s="101"/>
      <c r="E433" s="72"/>
      <c r="F433" s="172"/>
      <c r="G433" s="73"/>
      <c r="H433" s="217"/>
      <c r="I433" s="190">
        <f t="shared" si="135"/>
        <v>0</v>
      </c>
      <c r="J433" s="239">
        <f>279.4</f>
        <v>279.4</v>
      </c>
      <c r="K433" s="217"/>
      <c r="L433" s="190">
        <f t="shared" si="136"/>
        <v>279.4</v>
      </c>
      <c r="M433" s="239"/>
      <c r="N433" s="217"/>
      <c r="O433" s="190">
        <f t="shared" si="137"/>
        <v>279.4</v>
      </c>
      <c r="P433" s="276"/>
      <c r="Q433" s="273">
        <f t="shared" si="138"/>
        <v>279.4</v>
      </c>
    </row>
    <row r="434" spans="1:17" ht="12.75">
      <c r="A434" s="57" t="s">
        <v>184</v>
      </c>
      <c r="B434" s="56">
        <v>13305</v>
      </c>
      <c r="C434" s="111"/>
      <c r="D434" s="101">
        <f>1355855.4</f>
        <v>1355855.4</v>
      </c>
      <c r="E434" s="72"/>
      <c r="F434" s="172">
        <f t="shared" si="134"/>
        <v>1355855.4</v>
      </c>
      <c r="G434" s="73"/>
      <c r="H434" s="217"/>
      <c r="I434" s="190">
        <f t="shared" si="135"/>
        <v>1355855.4</v>
      </c>
      <c r="J434" s="239"/>
      <c r="K434" s="217"/>
      <c r="L434" s="190">
        <f t="shared" si="136"/>
        <v>1355855.4</v>
      </c>
      <c r="M434" s="239"/>
      <c r="N434" s="217"/>
      <c r="O434" s="190">
        <f t="shared" si="137"/>
        <v>1355855.4</v>
      </c>
      <c r="P434" s="276"/>
      <c r="Q434" s="273">
        <f t="shared" si="138"/>
        <v>1355855.4</v>
      </c>
    </row>
    <row r="435" spans="1:17" ht="12.75">
      <c r="A435" s="16" t="s">
        <v>84</v>
      </c>
      <c r="B435" s="56">
        <v>13307</v>
      </c>
      <c r="C435" s="111"/>
      <c r="D435" s="101">
        <f>13300</f>
        <v>13300</v>
      </c>
      <c r="E435" s="72"/>
      <c r="F435" s="172">
        <f t="shared" si="134"/>
        <v>13300</v>
      </c>
      <c r="G435" s="73"/>
      <c r="H435" s="217"/>
      <c r="I435" s="190">
        <f t="shared" si="135"/>
        <v>13300</v>
      </c>
      <c r="J435" s="239"/>
      <c r="K435" s="217"/>
      <c r="L435" s="190">
        <f t="shared" si="136"/>
        <v>13300</v>
      </c>
      <c r="M435" s="239">
        <f>1000</f>
        <v>1000</v>
      </c>
      <c r="N435" s="217"/>
      <c r="O435" s="190">
        <f t="shared" si="137"/>
        <v>14300</v>
      </c>
      <c r="P435" s="276"/>
      <c r="Q435" s="273">
        <f t="shared" si="138"/>
        <v>14300</v>
      </c>
    </row>
    <row r="436" spans="1:17" ht="12.75">
      <c r="A436" s="16" t="s">
        <v>379</v>
      </c>
      <c r="B436" s="56"/>
      <c r="C436" s="111"/>
      <c r="D436" s="101"/>
      <c r="E436" s="72"/>
      <c r="F436" s="172"/>
      <c r="G436" s="73"/>
      <c r="H436" s="217"/>
      <c r="I436" s="190"/>
      <c r="J436" s="239"/>
      <c r="K436" s="217"/>
      <c r="L436" s="190">
        <f t="shared" si="136"/>
        <v>0</v>
      </c>
      <c r="M436" s="239"/>
      <c r="N436" s="217"/>
      <c r="O436" s="190">
        <f t="shared" si="137"/>
        <v>0</v>
      </c>
      <c r="P436" s="276">
        <f>1170</f>
        <v>1170</v>
      </c>
      <c r="Q436" s="273">
        <f t="shared" si="138"/>
        <v>1170</v>
      </c>
    </row>
    <row r="437" spans="1:17" ht="12.75">
      <c r="A437" s="16" t="s">
        <v>132</v>
      </c>
      <c r="B437" s="56">
        <v>14032</v>
      </c>
      <c r="C437" s="111"/>
      <c r="D437" s="101"/>
      <c r="E437" s="72"/>
      <c r="F437" s="172">
        <f t="shared" si="134"/>
        <v>0</v>
      </c>
      <c r="G437" s="73">
        <f>206.4</f>
        <v>206.4</v>
      </c>
      <c r="H437" s="217"/>
      <c r="I437" s="190">
        <f t="shared" si="135"/>
        <v>206.4</v>
      </c>
      <c r="J437" s="239"/>
      <c r="K437" s="217"/>
      <c r="L437" s="190">
        <f t="shared" si="136"/>
        <v>206.4</v>
      </c>
      <c r="M437" s="239"/>
      <c r="N437" s="217"/>
      <c r="O437" s="190">
        <f t="shared" si="137"/>
        <v>206.4</v>
      </c>
      <c r="P437" s="276"/>
      <c r="Q437" s="273">
        <f t="shared" si="138"/>
        <v>206.4</v>
      </c>
    </row>
    <row r="438" spans="1:17" ht="12.75">
      <c r="A438" s="57" t="s">
        <v>139</v>
      </c>
      <c r="B438" s="56">
        <v>4359</v>
      </c>
      <c r="C438" s="111"/>
      <c r="D438" s="101"/>
      <c r="E438" s="72"/>
      <c r="F438" s="172">
        <f t="shared" si="134"/>
        <v>0</v>
      </c>
      <c r="G438" s="73">
        <f>565+510</f>
        <v>1075</v>
      </c>
      <c r="H438" s="217"/>
      <c r="I438" s="190">
        <f t="shared" si="135"/>
        <v>1075</v>
      </c>
      <c r="J438" s="239"/>
      <c r="K438" s="217"/>
      <c r="L438" s="190">
        <f t="shared" si="136"/>
        <v>1075</v>
      </c>
      <c r="M438" s="239"/>
      <c r="N438" s="217"/>
      <c r="O438" s="190">
        <f t="shared" si="137"/>
        <v>1075</v>
      </c>
      <c r="P438" s="276"/>
      <c r="Q438" s="273">
        <f t="shared" si="138"/>
        <v>1075</v>
      </c>
    </row>
    <row r="439" spans="1:17" ht="12.75">
      <c r="A439" s="16" t="s">
        <v>69</v>
      </c>
      <c r="B439" s="56"/>
      <c r="C439" s="111">
        <v>490</v>
      </c>
      <c r="D439" s="101">
        <f>17130+34500-34500+5500+981+213.31+2879.42+2070.43+747.3+2486.73+5444.59+940.14+857.63</f>
        <v>39250.549999999996</v>
      </c>
      <c r="E439" s="72"/>
      <c r="F439" s="172">
        <f t="shared" si="134"/>
        <v>39740.549999999996</v>
      </c>
      <c r="G439" s="73">
        <f>1000+2748.43+86.04-5314.05+700+700+600+300</f>
        <v>820.4199999999996</v>
      </c>
      <c r="H439" s="217"/>
      <c r="I439" s="190">
        <f t="shared" si="135"/>
        <v>40560.969999999994</v>
      </c>
      <c r="J439" s="239">
        <f>-1300</f>
        <v>-1300</v>
      </c>
      <c r="K439" s="217"/>
      <c r="L439" s="190">
        <f t="shared" si="136"/>
        <v>39260.969999999994</v>
      </c>
      <c r="M439" s="239"/>
      <c r="N439" s="217"/>
      <c r="O439" s="190">
        <f t="shared" si="137"/>
        <v>39260.969999999994</v>
      </c>
      <c r="P439" s="276">
        <f>64000</f>
        <v>64000</v>
      </c>
      <c r="Q439" s="273">
        <f t="shared" si="138"/>
        <v>103260.97</v>
      </c>
    </row>
    <row r="440" spans="1:17" ht="12.75">
      <c r="A440" s="22" t="s">
        <v>50</v>
      </c>
      <c r="B440" s="60"/>
      <c r="C440" s="114">
        <f>SUM(C442:C444)</f>
        <v>0</v>
      </c>
      <c r="D440" s="104">
        <f aca="true" t="shared" si="139" ref="D440:Q440">SUM(D442:D444)</f>
        <v>14320.5</v>
      </c>
      <c r="E440" s="79">
        <f t="shared" si="139"/>
        <v>0</v>
      </c>
      <c r="F440" s="175">
        <f t="shared" si="139"/>
        <v>14320.5</v>
      </c>
      <c r="G440" s="78">
        <f t="shared" si="139"/>
        <v>6536.28</v>
      </c>
      <c r="H440" s="221">
        <f t="shared" si="139"/>
        <v>0</v>
      </c>
      <c r="I440" s="193">
        <f t="shared" si="139"/>
        <v>20856.78</v>
      </c>
      <c r="J440" s="244">
        <f t="shared" si="139"/>
        <v>0</v>
      </c>
      <c r="K440" s="221">
        <f t="shared" si="139"/>
        <v>0</v>
      </c>
      <c r="L440" s="193">
        <f t="shared" si="139"/>
        <v>20856.78</v>
      </c>
      <c r="M440" s="244">
        <f t="shared" si="139"/>
        <v>0</v>
      </c>
      <c r="N440" s="221">
        <f t="shared" si="139"/>
        <v>0</v>
      </c>
      <c r="O440" s="193">
        <f t="shared" si="139"/>
        <v>20856.78</v>
      </c>
      <c r="P440" s="311">
        <f t="shared" si="139"/>
        <v>0</v>
      </c>
      <c r="Q440" s="278">
        <f t="shared" si="139"/>
        <v>20856.78</v>
      </c>
    </row>
    <row r="441" spans="1:17" ht="12.75">
      <c r="A441" s="18" t="s">
        <v>26</v>
      </c>
      <c r="B441" s="56"/>
      <c r="C441" s="111"/>
      <c r="D441" s="101"/>
      <c r="E441" s="72"/>
      <c r="F441" s="172"/>
      <c r="G441" s="73"/>
      <c r="H441" s="217"/>
      <c r="I441" s="190"/>
      <c r="J441" s="239"/>
      <c r="K441" s="217"/>
      <c r="L441" s="190"/>
      <c r="M441" s="239"/>
      <c r="N441" s="217"/>
      <c r="O441" s="190"/>
      <c r="P441" s="276"/>
      <c r="Q441" s="273"/>
    </row>
    <row r="442" spans="1:17" ht="12.75" hidden="1">
      <c r="A442" s="16" t="s">
        <v>77</v>
      </c>
      <c r="B442" s="56"/>
      <c r="C442" s="111"/>
      <c r="D442" s="101"/>
      <c r="E442" s="72"/>
      <c r="F442" s="172">
        <f>C442+D442+E442</f>
        <v>0</v>
      </c>
      <c r="G442" s="73"/>
      <c r="H442" s="217"/>
      <c r="I442" s="190">
        <f>F442+G442+H442</f>
        <v>0</v>
      </c>
      <c r="J442" s="239"/>
      <c r="K442" s="217"/>
      <c r="L442" s="190">
        <f>I442+J442+K442</f>
        <v>0</v>
      </c>
      <c r="M442" s="239"/>
      <c r="N442" s="217"/>
      <c r="O442" s="190">
        <f>L442+M442+N442</f>
        <v>0</v>
      </c>
      <c r="P442" s="276"/>
      <c r="Q442" s="273">
        <f>O442+P442</f>
        <v>0</v>
      </c>
    </row>
    <row r="443" spans="1:17" ht="12.75">
      <c r="A443" s="16" t="s">
        <v>51</v>
      </c>
      <c r="B443" s="56"/>
      <c r="C443" s="111"/>
      <c r="D443" s="101">
        <f>14320.5</f>
        <v>14320.5</v>
      </c>
      <c r="E443" s="72"/>
      <c r="F443" s="172">
        <f>C443+D443+E443</f>
        <v>14320.5</v>
      </c>
      <c r="G443" s="132">
        <f>5500</f>
        <v>5500</v>
      </c>
      <c r="H443" s="217"/>
      <c r="I443" s="190">
        <f>F443+G443+H443</f>
        <v>19820.5</v>
      </c>
      <c r="J443" s="239"/>
      <c r="K443" s="217"/>
      <c r="L443" s="190">
        <f>I443+J443+K443</f>
        <v>19820.5</v>
      </c>
      <c r="M443" s="239"/>
      <c r="N443" s="217"/>
      <c r="O443" s="190">
        <f>L443+M443+N443</f>
        <v>19820.5</v>
      </c>
      <c r="P443" s="276"/>
      <c r="Q443" s="273">
        <f>O443+P443</f>
        <v>19820.5</v>
      </c>
    </row>
    <row r="444" spans="1:17" ht="12.75">
      <c r="A444" s="19" t="s">
        <v>69</v>
      </c>
      <c r="B444" s="59"/>
      <c r="C444" s="163"/>
      <c r="D444" s="154"/>
      <c r="E444" s="80"/>
      <c r="F444" s="177">
        <f>C444+D444+E444</f>
        <v>0</v>
      </c>
      <c r="G444" s="208">
        <f>1036.28</f>
        <v>1036.28</v>
      </c>
      <c r="H444" s="223"/>
      <c r="I444" s="195">
        <f>F444+G444+H444</f>
        <v>1036.28</v>
      </c>
      <c r="J444" s="246"/>
      <c r="K444" s="223"/>
      <c r="L444" s="195">
        <f>I444+J444+K444</f>
        <v>1036.28</v>
      </c>
      <c r="M444" s="246"/>
      <c r="N444" s="223"/>
      <c r="O444" s="195">
        <f>L444+M444+N444</f>
        <v>1036.28</v>
      </c>
      <c r="P444" s="314"/>
      <c r="Q444" s="280">
        <f>O444+P444</f>
        <v>1036.28</v>
      </c>
    </row>
    <row r="445" spans="1:17" ht="12.75">
      <c r="A445" s="17" t="s">
        <v>278</v>
      </c>
      <c r="B445" s="60"/>
      <c r="C445" s="110">
        <f>C446+C457</f>
        <v>9532.35</v>
      </c>
      <c r="D445" s="91">
        <f aca="true" t="shared" si="140" ref="D445:Q445">D446+D457</f>
        <v>14285.8</v>
      </c>
      <c r="E445" s="71">
        <f t="shared" si="140"/>
        <v>0</v>
      </c>
      <c r="F445" s="171">
        <f t="shared" si="140"/>
        <v>23818.149999999998</v>
      </c>
      <c r="G445" s="70">
        <f t="shared" si="140"/>
        <v>8187.969999999999</v>
      </c>
      <c r="H445" s="216">
        <f t="shared" si="140"/>
        <v>0</v>
      </c>
      <c r="I445" s="189">
        <f t="shared" si="140"/>
        <v>32006.119999999995</v>
      </c>
      <c r="J445" s="238">
        <f t="shared" si="140"/>
        <v>7800</v>
      </c>
      <c r="K445" s="216">
        <f t="shared" si="140"/>
        <v>0</v>
      </c>
      <c r="L445" s="189">
        <f t="shared" si="140"/>
        <v>39806.119999999995</v>
      </c>
      <c r="M445" s="238">
        <f t="shared" si="140"/>
        <v>30905.82</v>
      </c>
      <c r="N445" s="216">
        <f t="shared" si="140"/>
        <v>0</v>
      </c>
      <c r="O445" s="189">
        <f t="shared" si="140"/>
        <v>70711.94</v>
      </c>
      <c r="P445" s="308">
        <f t="shared" si="140"/>
        <v>269.95</v>
      </c>
      <c r="Q445" s="272">
        <f t="shared" si="140"/>
        <v>70981.89</v>
      </c>
    </row>
    <row r="446" spans="1:17" ht="12.75">
      <c r="A446" s="22" t="s">
        <v>46</v>
      </c>
      <c r="B446" s="60"/>
      <c r="C446" s="114">
        <f>SUM(C448:C456)</f>
        <v>9532.35</v>
      </c>
      <c r="D446" s="104">
        <f aca="true" t="shared" si="141" ref="D446:Q446">SUM(D448:D456)</f>
        <v>14285.8</v>
      </c>
      <c r="E446" s="79">
        <f t="shared" si="141"/>
        <v>0</v>
      </c>
      <c r="F446" s="175">
        <f t="shared" si="141"/>
        <v>23818.149999999998</v>
      </c>
      <c r="G446" s="78">
        <f t="shared" si="141"/>
        <v>3582.56</v>
      </c>
      <c r="H446" s="221">
        <f t="shared" si="141"/>
        <v>0</v>
      </c>
      <c r="I446" s="193">
        <f t="shared" si="141"/>
        <v>27400.709999999995</v>
      </c>
      <c r="J446" s="244">
        <f t="shared" si="141"/>
        <v>7800</v>
      </c>
      <c r="K446" s="221">
        <f t="shared" si="141"/>
        <v>-5000</v>
      </c>
      <c r="L446" s="193">
        <f t="shared" si="141"/>
        <v>30200.709999999995</v>
      </c>
      <c r="M446" s="244">
        <f t="shared" si="141"/>
        <v>1220.82</v>
      </c>
      <c r="N446" s="221">
        <f t="shared" si="141"/>
        <v>0</v>
      </c>
      <c r="O446" s="193">
        <f t="shared" si="141"/>
        <v>31421.529999999995</v>
      </c>
      <c r="P446" s="311">
        <f t="shared" si="141"/>
        <v>269.95</v>
      </c>
      <c r="Q446" s="278">
        <f t="shared" si="141"/>
        <v>31691.479999999996</v>
      </c>
    </row>
    <row r="447" spans="1:17" ht="12.75">
      <c r="A447" s="18" t="s">
        <v>26</v>
      </c>
      <c r="B447" s="56"/>
      <c r="C447" s="111"/>
      <c r="D447" s="101"/>
      <c r="E447" s="72"/>
      <c r="F447" s="171"/>
      <c r="G447" s="73"/>
      <c r="H447" s="217"/>
      <c r="I447" s="189"/>
      <c r="J447" s="239"/>
      <c r="K447" s="217"/>
      <c r="L447" s="189"/>
      <c r="M447" s="239"/>
      <c r="N447" s="217"/>
      <c r="O447" s="189"/>
      <c r="P447" s="276"/>
      <c r="Q447" s="273"/>
    </row>
    <row r="448" spans="1:17" ht="12.75">
      <c r="A448" s="16" t="s">
        <v>48</v>
      </c>
      <c r="B448" s="56"/>
      <c r="C448" s="111">
        <v>9532.35</v>
      </c>
      <c r="D448" s="101">
        <f>10000+1123</f>
        <v>11123</v>
      </c>
      <c r="E448" s="72"/>
      <c r="F448" s="172">
        <f aca="true" t="shared" si="142" ref="F448:F456">C448+D448+E448</f>
        <v>20655.35</v>
      </c>
      <c r="G448" s="73">
        <f>62.64+400+392.46+1600</f>
        <v>2455.1</v>
      </c>
      <c r="H448" s="217"/>
      <c r="I448" s="190">
        <f>F448+G448+H448</f>
        <v>23110.449999999997</v>
      </c>
      <c r="J448" s="239"/>
      <c r="K448" s="217"/>
      <c r="L448" s="190">
        <f>I448+J448+K448</f>
        <v>23110.449999999997</v>
      </c>
      <c r="M448" s="239"/>
      <c r="N448" s="217"/>
      <c r="O448" s="190">
        <f>L448+M448+N448</f>
        <v>23110.449999999997</v>
      </c>
      <c r="P448" s="276"/>
      <c r="Q448" s="273">
        <f>O448+P448</f>
        <v>23110.449999999997</v>
      </c>
    </row>
    <row r="449" spans="1:17" ht="12.75">
      <c r="A449" s="16" t="s">
        <v>69</v>
      </c>
      <c r="B449" s="56"/>
      <c r="C449" s="111"/>
      <c r="D449" s="156">
        <f>400+2445.98</f>
        <v>2845.98</v>
      </c>
      <c r="E449" s="72"/>
      <c r="F449" s="172">
        <f t="shared" si="142"/>
        <v>2845.98</v>
      </c>
      <c r="G449" s="73"/>
      <c r="H449" s="217"/>
      <c r="I449" s="190">
        <f aca="true" t="shared" si="143" ref="I449:I456">F449+G449+H449</f>
        <v>2845.98</v>
      </c>
      <c r="J449" s="239">
        <f>2800+5000</f>
        <v>7800</v>
      </c>
      <c r="K449" s="217">
        <f>-5000</f>
        <v>-5000</v>
      </c>
      <c r="L449" s="190">
        <f aca="true" t="shared" si="144" ref="L449:L456">I449+J449+K449</f>
        <v>5645.98</v>
      </c>
      <c r="M449" s="239"/>
      <c r="N449" s="217"/>
      <c r="O449" s="190">
        <f aca="true" t="shared" si="145" ref="O449:O456">L449+M449+N449</f>
        <v>5645.98</v>
      </c>
      <c r="P449" s="276"/>
      <c r="Q449" s="273">
        <f aca="true" t="shared" si="146" ref="Q449:Q456">O449+P449</f>
        <v>5645.98</v>
      </c>
    </row>
    <row r="450" spans="1:17" ht="12.75" hidden="1">
      <c r="A450" s="16" t="s">
        <v>60</v>
      </c>
      <c r="B450" s="56"/>
      <c r="C450" s="111"/>
      <c r="D450" s="101"/>
      <c r="E450" s="72"/>
      <c r="F450" s="172">
        <f t="shared" si="142"/>
        <v>0</v>
      </c>
      <c r="G450" s="73"/>
      <c r="H450" s="217"/>
      <c r="I450" s="190">
        <f t="shared" si="143"/>
        <v>0</v>
      </c>
      <c r="J450" s="242"/>
      <c r="K450" s="217"/>
      <c r="L450" s="190">
        <f t="shared" si="144"/>
        <v>0</v>
      </c>
      <c r="M450" s="239"/>
      <c r="N450" s="217"/>
      <c r="O450" s="190">
        <f t="shared" si="145"/>
        <v>0</v>
      </c>
      <c r="P450" s="276"/>
      <c r="Q450" s="273">
        <f t="shared" si="146"/>
        <v>0</v>
      </c>
    </row>
    <row r="451" spans="1:17" ht="12.75" hidden="1">
      <c r="A451" s="16" t="s">
        <v>145</v>
      </c>
      <c r="B451" s="56"/>
      <c r="C451" s="111"/>
      <c r="D451" s="101"/>
      <c r="E451" s="72"/>
      <c r="F451" s="172">
        <f t="shared" si="142"/>
        <v>0</v>
      </c>
      <c r="G451" s="73"/>
      <c r="H451" s="217"/>
      <c r="I451" s="190">
        <f t="shared" si="143"/>
        <v>0</v>
      </c>
      <c r="J451" s="242"/>
      <c r="K451" s="217"/>
      <c r="L451" s="190">
        <f t="shared" si="144"/>
        <v>0</v>
      </c>
      <c r="M451" s="239"/>
      <c r="N451" s="217"/>
      <c r="O451" s="190">
        <f t="shared" si="145"/>
        <v>0</v>
      </c>
      <c r="P451" s="276"/>
      <c r="Q451" s="273">
        <f t="shared" si="146"/>
        <v>0</v>
      </c>
    </row>
    <row r="452" spans="1:17" ht="12.75">
      <c r="A452" s="25" t="s">
        <v>328</v>
      </c>
      <c r="B452" s="56"/>
      <c r="C452" s="111"/>
      <c r="D452" s="101">
        <f>316.82</f>
        <v>316.82</v>
      </c>
      <c r="E452" s="72"/>
      <c r="F452" s="172">
        <f t="shared" si="142"/>
        <v>316.82</v>
      </c>
      <c r="G452" s="73"/>
      <c r="H452" s="217"/>
      <c r="I452" s="190">
        <f t="shared" si="143"/>
        <v>316.82</v>
      </c>
      <c r="J452" s="242"/>
      <c r="K452" s="217"/>
      <c r="L452" s="190">
        <f t="shared" si="144"/>
        <v>316.82</v>
      </c>
      <c r="M452" s="239"/>
      <c r="N452" s="217"/>
      <c r="O452" s="190">
        <f t="shared" si="145"/>
        <v>316.82</v>
      </c>
      <c r="P452" s="276">
        <f>269.95</f>
        <v>269.95</v>
      </c>
      <c r="Q452" s="273">
        <f t="shared" si="146"/>
        <v>586.77</v>
      </c>
    </row>
    <row r="453" spans="1:17" ht="13.5" customHeight="1" hidden="1">
      <c r="A453" s="16" t="s">
        <v>261</v>
      </c>
      <c r="B453" s="56">
        <v>14034</v>
      </c>
      <c r="C453" s="111"/>
      <c r="D453" s="101"/>
      <c r="E453" s="72"/>
      <c r="F453" s="172">
        <f t="shared" si="142"/>
        <v>0</v>
      </c>
      <c r="G453" s="73"/>
      <c r="H453" s="217"/>
      <c r="I453" s="190">
        <f t="shared" si="143"/>
        <v>0</v>
      </c>
      <c r="J453" s="242"/>
      <c r="K453" s="217"/>
      <c r="L453" s="190">
        <f t="shared" si="144"/>
        <v>0</v>
      </c>
      <c r="M453" s="239"/>
      <c r="N453" s="217"/>
      <c r="O453" s="190">
        <f t="shared" si="145"/>
        <v>0</v>
      </c>
      <c r="P453" s="276"/>
      <c r="Q453" s="273">
        <f t="shared" si="146"/>
        <v>0</v>
      </c>
    </row>
    <row r="454" spans="1:17" ht="12.75" hidden="1">
      <c r="A454" s="16" t="s">
        <v>229</v>
      </c>
      <c r="B454" s="56">
        <v>98035</v>
      </c>
      <c r="C454" s="111"/>
      <c r="D454" s="101"/>
      <c r="E454" s="72"/>
      <c r="F454" s="172">
        <f t="shared" si="142"/>
        <v>0</v>
      </c>
      <c r="G454" s="73"/>
      <c r="H454" s="217"/>
      <c r="I454" s="190">
        <f t="shared" si="143"/>
        <v>0</v>
      </c>
      <c r="J454" s="242"/>
      <c r="K454" s="217"/>
      <c r="L454" s="190">
        <f t="shared" si="144"/>
        <v>0</v>
      </c>
      <c r="M454" s="239"/>
      <c r="N454" s="217"/>
      <c r="O454" s="190">
        <f t="shared" si="145"/>
        <v>0</v>
      </c>
      <c r="P454" s="276"/>
      <c r="Q454" s="273">
        <f t="shared" si="146"/>
        <v>0</v>
      </c>
    </row>
    <row r="455" spans="1:17" ht="12.75">
      <c r="A455" s="16" t="s">
        <v>210</v>
      </c>
      <c r="B455" s="100" t="s">
        <v>211</v>
      </c>
      <c r="C455" s="111"/>
      <c r="D455" s="101"/>
      <c r="E455" s="72"/>
      <c r="F455" s="172">
        <f t="shared" si="142"/>
        <v>0</v>
      </c>
      <c r="G455" s="73">
        <f>1127.46</f>
        <v>1127.46</v>
      </c>
      <c r="H455" s="217"/>
      <c r="I455" s="190">
        <f t="shared" si="143"/>
        <v>1127.46</v>
      </c>
      <c r="J455" s="242"/>
      <c r="K455" s="217"/>
      <c r="L455" s="190">
        <f t="shared" si="144"/>
        <v>1127.46</v>
      </c>
      <c r="M455" s="239">
        <f>1220.82</f>
        <v>1220.82</v>
      </c>
      <c r="N455" s="217"/>
      <c r="O455" s="190">
        <f t="shared" si="145"/>
        <v>2348.2799999999997</v>
      </c>
      <c r="P455" s="276"/>
      <c r="Q455" s="273">
        <f t="shared" si="146"/>
        <v>2348.2799999999997</v>
      </c>
    </row>
    <row r="456" spans="1:17" ht="12.75" hidden="1">
      <c r="A456" s="16" t="s">
        <v>209</v>
      </c>
      <c r="B456" s="56">
        <v>33064</v>
      </c>
      <c r="C456" s="111"/>
      <c r="D456" s="101"/>
      <c r="E456" s="72"/>
      <c r="F456" s="172">
        <f t="shared" si="142"/>
        <v>0</v>
      </c>
      <c r="G456" s="73"/>
      <c r="H456" s="217"/>
      <c r="I456" s="190">
        <f t="shared" si="143"/>
        <v>0</v>
      </c>
      <c r="J456" s="242"/>
      <c r="K456" s="217"/>
      <c r="L456" s="190">
        <f t="shared" si="144"/>
        <v>0</v>
      </c>
      <c r="M456" s="239"/>
      <c r="N456" s="217"/>
      <c r="O456" s="190">
        <f t="shared" si="145"/>
        <v>0</v>
      </c>
      <c r="P456" s="276"/>
      <c r="Q456" s="273">
        <f t="shared" si="146"/>
        <v>0</v>
      </c>
    </row>
    <row r="457" spans="1:17" ht="12.75">
      <c r="A457" s="22" t="s">
        <v>50</v>
      </c>
      <c r="B457" s="60"/>
      <c r="C457" s="114">
        <f>SUM(C459:C465)</f>
        <v>0</v>
      </c>
      <c r="D457" s="104">
        <f aca="true" t="shared" si="147" ref="D457:Q457">SUM(D459:D465)</f>
        <v>0</v>
      </c>
      <c r="E457" s="79">
        <f t="shared" si="147"/>
        <v>0</v>
      </c>
      <c r="F457" s="175">
        <f t="shared" si="147"/>
        <v>0</v>
      </c>
      <c r="G457" s="78">
        <f t="shared" si="147"/>
        <v>4605.41</v>
      </c>
      <c r="H457" s="221">
        <f t="shared" si="147"/>
        <v>0</v>
      </c>
      <c r="I457" s="193">
        <f t="shared" si="147"/>
        <v>4605.41</v>
      </c>
      <c r="J457" s="244">
        <f t="shared" si="147"/>
        <v>0</v>
      </c>
      <c r="K457" s="221">
        <f t="shared" si="147"/>
        <v>5000</v>
      </c>
      <c r="L457" s="193">
        <f t="shared" si="147"/>
        <v>9605.41</v>
      </c>
      <c r="M457" s="244">
        <f t="shared" si="147"/>
        <v>29685</v>
      </c>
      <c r="N457" s="221">
        <f t="shared" si="147"/>
        <v>0</v>
      </c>
      <c r="O457" s="193">
        <f t="shared" si="147"/>
        <v>39290.41</v>
      </c>
      <c r="P457" s="311">
        <f t="shared" si="147"/>
        <v>0</v>
      </c>
      <c r="Q457" s="278">
        <f t="shared" si="147"/>
        <v>39290.41</v>
      </c>
    </row>
    <row r="458" spans="1:17" ht="12.75">
      <c r="A458" s="18" t="s">
        <v>26</v>
      </c>
      <c r="B458" s="56"/>
      <c r="C458" s="111"/>
      <c r="D458" s="101"/>
      <c r="E458" s="72"/>
      <c r="F458" s="172"/>
      <c r="G458" s="73"/>
      <c r="H458" s="217"/>
      <c r="I458" s="190"/>
      <c r="J458" s="239"/>
      <c r="K458" s="217"/>
      <c r="L458" s="190"/>
      <c r="M458" s="239"/>
      <c r="N458" s="217"/>
      <c r="O458" s="190"/>
      <c r="P458" s="276"/>
      <c r="Q458" s="273"/>
    </row>
    <row r="459" spans="1:17" ht="12.75" hidden="1">
      <c r="A459" s="20" t="s">
        <v>62</v>
      </c>
      <c r="B459" s="56"/>
      <c r="C459" s="111"/>
      <c r="D459" s="101"/>
      <c r="E459" s="72"/>
      <c r="F459" s="172">
        <f aca="true" t="shared" si="148" ref="F459:F465">C459+D459+E459</f>
        <v>0</v>
      </c>
      <c r="G459" s="73"/>
      <c r="H459" s="217"/>
      <c r="I459" s="190">
        <f aca="true" t="shared" si="149" ref="I459:I465">F459+G459+H459</f>
        <v>0</v>
      </c>
      <c r="J459" s="239"/>
      <c r="K459" s="217"/>
      <c r="L459" s="190">
        <f aca="true" t="shared" si="150" ref="L459:L465">I459+J459+K459</f>
        <v>0</v>
      </c>
      <c r="M459" s="239"/>
      <c r="N459" s="217"/>
      <c r="O459" s="190">
        <f aca="true" t="shared" si="151" ref="O459:O465">L459+M459+N459</f>
        <v>0</v>
      </c>
      <c r="P459" s="276"/>
      <c r="Q459" s="273">
        <f aca="true" t="shared" si="152" ref="Q459:Q465">O459+P459</f>
        <v>0</v>
      </c>
    </row>
    <row r="460" spans="1:17" ht="12.75">
      <c r="A460" s="51" t="s">
        <v>349</v>
      </c>
      <c r="B460" s="56"/>
      <c r="C460" s="111"/>
      <c r="D460" s="101"/>
      <c r="E460" s="72"/>
      <c r="F460" s="172">
        <f t="shared" si="148"/>
        <v>0</v>
      </c>
      <c r="G460" s="73">
        <f>4605.41</f>
        <v>4605.41</v>
      </c>
      <c r="H460" s="217"/>
      <c r="I460" s="190">
        <f t="shared" si="149"/>
        <v>4605.41</v>
      </c>
      <c r="J460" s="239"/>
      <c r="K460" s="217"/>
      <c r="L460" s="190">
        <f t="shared" si="150"/>
        <v>4605.41</v>
      </c>
      <c r="M460" s="239"/>
      <c r="N460" s="217"/>
      <c r="O460" s="190">
        <f t="shared" si="151"/>
        <v>4605.41</v>
      </c>
      <c r="P460" s="276"/>
      <c r="Q460" s="273">
        <f t="shared" si="152"/>
        <v>4605.41</v>
      </c>
    </row>
    <row r="461" spans="1:17" ht="12.75" hidden="1">
      <c r="A461" s="20" t="s">
        <v>174</v>
      </c>
      <c r="B461" s="56"/>
      <c r="C461" s="111"/>
      <c r="D461" s="101"/>
      <c r="E461" s="72"/>
      <c r="F461" s="172">
        <f t="shared" si="148"/>
        <v>0</v>
      </c>
      <c r="G461" s="73"/>
      <c r="H461" s="217"/>
      <c r="I461" s="190">
        <f t="shared" si="149"/>
        <v>0</v>
      </c>
      <c r="J461" s="239"/>
      <c r="K461" s="217"/>
      <c r="L461" s="190">
        <f t="shared" si="150"/>
        <v>0</v>
      </c>
      <c r="M461" s="239"/>
      <c r="N461" s="217"/>
      <c r="O461" s="190">
        <f t="shared" si="151"/>
        <v>0</v>
      </c>
      <c r="P461" s="276"/>
      <c r="Q461" s="273">
        <f t="shared" si="152"/>
        <v>0</v>
      </c>
    </row>
    <row r="462" spans="1:17" ht="12.75" hidden="1">
      <c r="A462" s="20" t="s">
        <v>166</v>
      </c>
      <c r="B462" s="56"/>
      <c r="C462" s="111"/>
      <c r="D462" s="101"/>
      <c r="E462" s="72"/>
      <c r="F462" s="172">
        <f t="shared" si="148"/>
        <v>0</v>
      </c>
      <c r="G462" s="73"/>
      <c r="H462" s="217"/>
      <c r="I462" s="190">
        <f t="shared" si="149"/>
        <v>0</v>
      </c>
      <c r="J462" s="239"/>
      <c r="K462" s="217"/>
      <c r="L462" s="190">
        <f t="shared" si="150"/>
        <v>0</v>
      </c>
      <c r="M462" s="239"/>
      <c r="N462" s="217"/>
      <c r="O462" s="190">
        <f t="shared" si="151"/>
        <v>0</v>
      </c>
      <c r="P462" s="276"/>
      <c r="Q462" s="273">
        <f t="shared" si="152"/>
        <v>0</v>
      </c>
    </row>
    <row r="463" spans="1:17" ht="12.75">
      <c r="A463" s="16" t="s">
        <v>51</v>
      </c>
      <c r="B463" s="56"/>
      <c r="C463" s="111"/>
      <c r="D463" s="101"/>
      <c r="E463" s="72"/>
      <c r="F463" s="172">
        <f t="shared" si="148"/>
        <v>0</v>
      </c>
      <c r="G463" s="73"/>
      <c r="H463" s="217"/>
      <c r="I463" s="190">
        <f t="shared" si="149"/>
        <v>0</v>
      </c>
      <c r="J463" s="239"/>
      <c r="K463" s="217"/>
      <c r="L463" s="190">
        <f t="shared" si="150"/>
        <v>0</v>
      </c>
      <c r="M463" s="239">
        <f>3685</f>
        <v>3685</v>
      </c>
      <c r="N463" s="217"/>
      <c r="O463" s="190">
        <f t="shared" si="151"/>
        <v>3685</v>
      </c>
      <c r="P463" s="276"/>
      <c r="Q463" s="273">
        <f t="shared" si="152"/>
        <v>3685</v>
      </c>
    </row>
    <row r="464" spans="1:17" ht="12.75">
      <c r="A464" s="19" t="s">
        <v>69</v>
      </c>
      <c r="B464" s="59"/>
      <c r="C464" s="163"/>
      <c r="D464" s="154"/>
      <c r="E464" s="80"/>
      <c r="F464" s="177">
        <f t="shared" si="148"/>
        <v>0</v>
      </c>
      <c r="G464" s="208"/>
      <c r="H464" s="223"/>
      <c r="I464" s="195">
        <f t="shared" si="149"/>
        <v>0</v>
      </c>
      <c r="J464" s="246"/>
      <c r="K464" s="223">
        <f>5000</f>
        <v>5000</v>
      </c>
      <c r="L464" s="195">
        <f t="shared" si="150"/>
        <v>5000</v>
      </c>
      <c r="M464" s="246">
        <f>20000+6000</f>
        <v>26000</v>
      </c>
      <c r="N464" s="223"/>
      <c r="O464" s="195">
        <f t="shared" si="151"/>
        <v>31000</v>
      </c>
      <c r="P464" s="315"/>
      <c r="Q464" s="280">
        <f t="shared" si="152"/>
        <v>31000</v>
      </c>
    </row>
    <row r="465" spans="1:17" ht="12.75" hidden="1">
      <c r="A465" s="125" t="s">
        <v>167</v>
      </c>
      <c r="B465" s="59"/>
      <c r="C465" s="163"/>
      <c r="D465" s="154"/>
      <c r="E465" s="80"/>
      <c r="F465" s="177">
        <f t="shared" si="148"/>
        <v>0</v>
      </c>
      <c r="G465" s="208"/>
      <c r="H465" s="223"/>
      <c r="I465" s="195">
        <f t="shared" si="149"/>
        <v>0</v>
      </c>
      <c r="J465" s="246"/>
      <c r="K465" s="223"/>
      <c r="L465" s="195">
        <f t="shared" si="150"/>
        <v>0</v>
      </c>
      <c r="M465" s="246"/>
      <c r="N465" s="223"/>
      <c r="O465" s="195">
        <f t="shared" si="151"/>
        <v>0</v>
      </c>
      <c r="P465" s="314"/>
      <c r="Q465" s="280">
        <f t="shared" si="152"/>
        <v>0</v>
      </c>
    </row>
    <row r="466" spans="1:17" ht="12.75">
      <c r="A466" s="13" t="s">
        <v>85</v>
      </c>
      <c r="B466" s="60"/>
      <c r="C466" s="110">
        <f>C467+C470</f>
        <v>3238.8</v>
      </c>
      <c r="D466" s="91">
        <f aca="true" t="shared" si="153" ref="D466:Q466">D467+D470</f>
        <v>0</v>
      </c>
      <c r="E466" s="71">
        <f t="shared" si="153"/>
        <v>0</v>
      </c>
      <c r="F466" s="171">
        <f t="shared" si="153"/>
        <v>3238.8</v>
      </c>
      <c r="G466" s="70">
        <f t="shared" si="153"/>
        <v>0</v>
      </c>
      <c r="H466" s="216">
        <f t="shared" si="153"/>
        <v>0</v>
      </c>
      <c r="I466" s="189">
        <f t="shared" si="153"/>
        <v>3238.8</v>
      </c>
      <c r="J466" s="238">
        <f t="shared" si="153"/>
        <v>0</v>
      </c>
      <c r="K466" s="216">
        <f t="shared" si="153"/>
        <v>0</v>
      </c>
      <c r="L466" s="189">
        <f t="shared" si="153"/>
        <v>3238.8</v>
      </c>
      <c r="M466" s="238">
        <f t="shared" si="153"/>
        <v>0</v>
      </c>
      <c r="N466" s="216">
        <f t="shared" si="153"/>
        <v>0</v>
      </c>
      <c r="O466" s="189">
        <f t="shared" si="153"/>
        <v>3238.8</v>
      </c>
      <c r="P466" s="308">
        <f t="shared" si="153"/>
        <v>0</v>
      </c>
      <c r="Q466" s="272">
        <f t="shared" si="153"/>
        <v>3238.8</v>
      </c>
    </row>
    <row r="467" spans="1:17" ht="12.75">
      <c r="A467" s="22" t="s">
        <v>46</v>
      </c>
      <c r="B467" s="60"/>
      <c r="C467" s="114">
        <f>SUM(C469:C469)</f>
        <v>3238.8</v>
      </c>
      <c r="D467" s="104">
        <f aca="true" t="shared" si="154" ref="D467:Q467">SUM(D469:D469)</f>
        <v>0</v>
      </c>
      <c r="E467" s="79">
        <f t="shared" si="154"/>
        <v>0</v>
      </c>
      <c r="F467" s="175">
        <f t="shared" si="154"/>
        <v>3238.8</v>
      </c>
      <c r="G467" s="78">
        <f t="shared" si="154"/>
        <v>0</v>
      </c>
      <c r="H467" s="221">
        <f t="shared" si="154"/>
        <v>0</v>
      </c>
      <c r="I467" s="193">
        <f t="shared" si="154"/>
        <v>3238.8</v>
      </c>
      <c r="J467" s="244">
        <f t="shared" si="154"/>
        <v>0</v>
      </c>
      <c r="K467" s="221">
        <f t="shared" si="154"/>
        <v>0</v>
      </c>
      <c r="L467" s="193">
        <f t="shared" si="154"/>
        <v>3238.8</v>
      </c>
      <c r="M467" s="244">
        <f t="shared" si="154"/>
        <v>0</v>
      </c>
      <c r="N467" s="221">
        <f t="shared" si="154"/>
        <v>0</v>
      </c>
      <c r="O467" s="193">
        <f t="shared" si="154"/>
        <v>3238.8</v>
      </c>
      <c r="P467" s="311">
        <f t="shared" si="154"/>
        <v>0</v>
      </c>
      <c r="Q467" s="278">
        <f t="shared" si="154"/>
        <v>3238.8</v>
      </c>
    </row>
    <row r="468" spans="1:17" ht="12.75">
      <c r="A468" s="18" t="s">
        <v>26</v>
      </c>
      <c r="B468" s="56"/>
      <c r="C468" s="111"/>
      <c r="D468" s="101"/>
      <c r="E468" s="72"/>
      <c r="F468" s="171"/>
      <c r="G468" s="73"/>
      <c r="H468" s="217"/>
      <c r="I468" s="189"/>
      <c r="J468" s="239"/>
      <c r="K468" s="217"/>
      <c r="L468" s="189"/>
      <c r="M468" s="239"/>
      <c r="N468" s="217"/>
      <c r="O468" s="189"/>
      <c r="P468" s="276"/>
      <c r="Q468" s="273"/>
    </row>
    <row r="469" spans="1:17" ht="12.75">
      <c r="A469" s="19" t="s">
        <v>48</v>
      </c>
      <c r="B469" s="59"/>
      <c r="C469" s="167">
        <v>3238.8</v>
      </c>
      <c r="D469" s="154"/>
      <c r="E469" s="80"/>
      <c r="F469" s="177">
        <f>C469+D469+E469</f>
        <v>3238.8</v>
      </c>
      <c r="G469" s="208"/>
      <c r="H469" s="223"/>
      <c r="I469" s="195">
        <f>F469+G469+H469</f>
        <v>3238.8</v>
      </c>
      <c r="J469" s="246"/>
      <c r="K469" s="223"/>
      <c r="L469" s="195">
        <f>I469+J469+K469</f>
        <v>3238.8</v>
      </c>
      <c r="M469" s="246"/>
      <c r="N469" s="223"/>
      <c r="O469" s="195">
        <f>L469+M469+N469</f>
        <v>3238.8</v>
      </c>
      <c r="P469" s="315"/>
      <c r="Q469" s="280">
        <f>O469+P469</f>
        <v>3238.8</v>
      </c>
    </row>
    <row r="470" spans="1:17" ht="15" customHeight="1" hidden="1">
      <c r="A470" s="22" t="s">
        <v>50</v>
      </c>
      <c r="B470" s="60"/>
      <c r="C470" s="114">
        <f aca="true" t="shared" si="155" ref="C470:Q470">SUM(C472:C472)</f>
        <v>0</v>
      </c>
      <c r="D470" s="104">
        <f t="shared" si="155"/>
        <v>0</v>
      </c>
      <c r="E470" s="79">
        <f t="shared" si="155"/>
        <v>0</v>
      </c>
      <c r="F470" s="175">
        <f t="shared" si="155"/>
        <v>0</v>
      </c>
      <c r="G470" s="78">
        <f t="shared" si="155"/>
        <v>0</v>
      </c>
      <c r="H470" s="221">
        <f t="shared" si="155"/>
        <v>0</v>
      </c>
      <c r="I470" s="193">
        <f t="shared" si="155"/>
        <v>0</v>
      </c>
      <c r="J470" s="244">
        <f t="shared" si="155"/>
        <v>0</v>
      </c>
      <c r="K470" s="221">
        <f t="shared" si="155"/>
        <v>0</v>
      </c>
      <c r="L470" s="193">
        <f t="shared" si="155"/>
        <v>0</v>
      </c>
      <c r="M470" s="244">
        <f t="shared" si="155"/>
        <v>0</v>
      </c>
      <c r="N470" s="221">
        <f t="shared" si="155"/>
        <v>0</v>
      </c>
      <c r="O470" s="193">
        <f t="shared" si="155"/>
        <v>0</v>
      </c>
      <c r="P470" s="311">
        <f t="shared" si="155"/>
        <v>0</v>
      </c>
      <c r="Q470" s="278">
        <f t="shared" si="155"/>
        <v>0</v>
      </c>
    </row>
    <row r="471" spans="1:17" ht="12.75" hidden="1">
      <c r="A471" s="18" t="s">
        <v>26</v>
      </c>
      <c r="B471" s="56"/>
      <c r="C471" s="111"/>
      <c r="D471" s="101"/>
      <c r="E471" s="72"/>
      <c r="F471" s="172"/>
      <c r="G471" s="73"/>
      <c r="H471" s="217"/>
      <c r="I471" s="190"/>
      <c r="J471" s="239"/>
      <c r="K471" s="217"/>
      <c r="L471" s="190"/>
      <c r="M471" s="239"/>
      <c r="N471" s="217"/>
      <c r="O471" s="190"/>
      <c r="P471" s="276"/>
      <c r="Q471" s="273"/>
    </row>
    <row r="472" spans="1:17" ht="12.75" hidden="1">
      <c r="A472" s="19" t="s">
        <v>51</v>
      </c>
      <c r="B472" s="59"/>
      <c r="C472" s="163"/>
      <c r="D472" s="154"/>
      <c r="E472" s="80"/>
      <c r="F472" s="177">
        <f>C472+D472+E472</f>
        <v>0</v>
      </c>
      <c r="G472" s="208"/>
      <c r="H472" s="223"/>
      <c r="I472" s="195">
        <f>F472+G472+H472</f>
        <v>0</v>
      </c>
      <c r="J472" s="246"/>
      <c r="K472" s="223"/>
      <c r="L472" s="195">
        <f>I472+J472+K472</f>
        <v>0</v>
      </c>
      <c r="M472" s="246"/>
      <c r="N472" s="223"/>
      <c r="O472" s="195">
        <f>L472+M472+N472</f>
        <v>0</v>
      </c>
      <c r="P472" s="314"/>
      <c r="Q472" s="280">
        <f>O472+P472</f>
        <v>0</v>
      </c>
    </row>
    <row r="473" spans="1:17" ht="12.75">
      <c r="A473" s="13" t="s">
        <v>86</v>
      </c>
      <c r="B473" s="60"/>
      <c r="C473" s="110">
        <f aca="true" t="shared" si="156" ref="C473:Q473">C474</f>
        <v>245035.05</v>
      </c>
      <c r="D473" s="91">
        <f t="shared" si="156"/>
        <v>-154582.38999999998</v>
      </c>
      <c r="E473" s="71">
        <f t="shared" si="156"/>
        <v>0</v>
      </c>
      <c r="F473" s="171">
        <f t="shared" si="156"/>
        <v>90452.66000000002</v>
      </c>
      <c r="G473" s="70">
        <f t="shared" si="156"/>
        <v>73231.82</v>
      </c>
      <c r="H473" s="216">
        <f t="shared" si="156"/>
        <v>212152.59</v>
      </c>
      <c r="I473" s="189">
        <f t="shared" si="156"/>
        <v>375837.07</v>
      </c>
      <c r="J473" s="238">
        <f t="shared" si="156"/>
        <v>64856.869999999995</v>
      </c>
      <c r="K473" s="216">
        <f t="shared" si="156"/>
        <v>0</v>
      </c>
      <c r="L473" s="189">
        <f t="shared" si="156"/>
        <v>440693.94</v>
      </c>
      <c r="M473" s="238">
        <f t="shared" si="156"/>
        <v>11014</v>
      </c>
      <c r="N473" s="216">
        <f t="shared" si="156"/>
        <v>112376.97</v>
      </c>
      <c r="O473" s="189">
        <f t="shared" si="156"/>
        <v>564084.9100000001</v>
      </c>
      <c r="P473" s="308">
        <f t="shared" si="156"/>
        <v>22243.39</v>
      </c>
      <c r="Q473" s="272">
        <f t="shared" si="156"/>
        <v>586328.3</v>
      </c>
    </row>
    <row r="474" spans="1:17" ht="12.75">
      <c r="A474" s="22" t="s">
        <v>46</v>
      </c>
      <c r="B474" s="60"/>
      <c r="C474" s="114">
        <f>SUM(C476:C480)</f>
        <v>245035.05</v>
      </c>
      <c r="D474" s="104">
        <f aca="true" t="shared" si="157" ref="D474:Q474">SUM(D476:D480)</f>
        <v>-154582.38999999998</v>
      </c>
      <c r="E474" s="79">
        <f t="shared" si="157"/>
        <v>0</v>
      </c>
      <c r="F474" s="175">
        <f t="shared" si="157"/>
        <v>90452.66000000002</v>
      </c>
      <c r="G474" s="78">
        <f t="shared" si="157"/>
        <v>73231.82</v>
      </c>
      <c r="H474" s="221">
        <f t="shared" si="157"/>
        <v>212152.59</v>
      </c>
      <c r="I474" s="193">
        <f t="shared" si="157"/>
        <v>375837.07</v>
      </c>
      <c r="J474" s="244">
        <f t="shared" si="157"/>
        <v>64856.869999999995</v>
      </c>
      <c r="K474" s="221">
        <f t="shared" si="157"/>
        <v>0</v>
      </c>
      <c r="L474" s="193">
        <f t="shared" si="157"/>
        <v>440693.94</v>
      </c>
      <c r="M474" s="244">
        <f t="shared" si="157"/>
        <v>11014</v>
      </c>
      <c r="N474" s="221">
        <f t="shared" si="157"/>
        <v>112376.97</v>
      </c>
      <c r="O474" s="193">
        <f t="shared" si="157"/>
        <v>564084.9100000001</v>
      </c>
      <c r="P474" s="311">
        <f t="shared" si="157"/>
        <v>22243.39</v>
      </c>
      <c r="Q474" s="278">
        <f t="shared" si="157"/>
        <v>586328.3</v>
      </c>
    </row>
    <row r="475" spans="1:17" ht="12.75">
      <c r="A475" s="18" t="s">
        <v>26</v>
      </c>
      <c r="B475" s="56"/>
      <c r="C475" s="110"/>
      <c r="D475" s="91"/>
      <c r="E475" s="71"/>
      <c r="F475" s="171"/>
      <c r="G475" s="70"/>
      <c r="H475" s="216"/>
      <c r="I475" s="189"/>
      <c r="J475" s="238"/>
      <c r="K475" s="216"/>
      <c r="L475" s="189"/>
      <c r="M475" s="238"/>
      <c r="N475" s="216"/>
      <c r="O475" s="189"/>
      <c r="P475" s="276"/>
      <c r="Q475" s="273"/>
    </row>
    <row r="476" spans="1:17" ht="12.75">
      <c r="A476" s="57" t="s">
        <v>175</v>
      </c>
      <c r="B476" s="56"/>
      <c r="C476" s="111">
        <v>9535.05</v>
      </c>
      <c r="D476" s="101"/>
      <c r="E476" s="72"/>
      <c r="F476" s="172">
        <f>C476+D476+E476</f>
        <v>9535.05</v>
      </c>
      <c r="G476" s="73">
        <f>33331.85+72.68-505.74-680+32659</f>
        <v>64877.79</v>
      </c>
      <c r="H476" s="217">
        <f>212152.59</f>
        <v>212152.59</v>
      </c>
      <c r="I476" s="190">
        <f>F476+G476+H476</f>
        <v>286565.43</v>
      </c>
      <c r="J476" s="242">
        <f>31636.6+3898.25+101.75+109.92+29110.35</f>
        <v>64856.869999999995</v>
      </c>
      <c r="K476" s="217"/>
      <c r="L476" s="190">
        <f>I476+J476+K476</f>
        <v>351422.3</v>
      </c>
      <c r="M476" s="239">
        <f>11845.75+732+8886.25-450-10000</f>
        <v>11014</v>
      </c>
      <c r="N476" s="217">
        <f>108760.97+3616</f>
        <v>112376.97</v>
      </c>
      <c r="O476" s="190">
        <f>L476+M476+N476</f>
        <v>474813.27</v>
      </c>
      <c r="P476" s="276">
        <f>21301.85+941.54</f>
        <v>22243.39</v>
      </c>
      <c r="Q476" s="273">
        <f>O476+P476</f>
        <v>497056.66000000003</v>
      </c>
    </row>
    <row r="477" spans="1:17" ht="12.75">
      <c r="A477" s="57" t="s">
        <v>87</v>
      </c>
      <c r="B477" s="56"/>
      <c r="C477" s="111"/>
      <c r="D477" s="141">
        <f>45003.16</f>
        <v>45003.16</v>
      </c>
      <c r="E477" s="72"/>
      <c r="F477" s="172">
        <f>C477+D477+E477</f>
        <v>45003.16</v>
      </c>
      <c r="G477" s="73"/>
      <c r="H477" s="217"/>
      <c r="I477" s="190">
        <f>F477+G477+H477</f>
        <v>45003.16</v>
      </c>
      <c r="J477" s="239"/>
      <c r="K477" s="217"/>
      <c r="L477" s="190">
        <f>I477+J477+K477</f>
        <v>45003.16</v>
      </c>
      <c r="M477" s="239"/>
      <c r="N477" s="217"/>
      <c r="O477" s="190">
        <f>L477+M477+N477</f>
        <v>45003.16</v>
      </c>
      <c r="P477" s="276"/>
      <c r="Q477" s="273">
        <f>O477+P477</f>
        <v>45003.16</v>
      </c>
    </row>
    <row r="478" spans="1:17" ht="12.75">
      <c r="A478" s="57" t="s">
        <v>88</v>
      </c>
      <c r="B478" s="56"/>
      <c r="C478" s="111"/>
      <c r="D478" s="101"/>
      <c r="E478" s="72"/>
      <c r="F478" s="172">
        <f>C478+D478+E478</f>
        <v>0</v>
      </c>
      <c r="G478" s="73">
        <f>548.52+7805.51</f>
        <v>8354.03</v>
      </c>
      <c r="H478" s="217"/>
      <c r="I478" s="190">
        <f>F478+G478+H478</f>
        <v>8354.03</v>
      </c>
      <c r="J478" s="239"/>
      <c r="K478" s="217"/>
      <c r="L478" s="190">
        <f>I478+J478+K478</f>
        <v>8354.03</v>
      </c>
      <c r="M478" s="239"/>
      <c r="N478" s="217"/>
      <c r="O478" s="190">
        <f>L478+M478+N478</f>
        <v>8354.03</v>
      </c>
      <c r="P478" s="276"/>
      <c r="Q478" s="273">
        <f>O478+P478</f>
        <v>8354.03</v>
      </c>
    </row>
    <row r="479" spans="1:17" ht="12.75">
      <c r="A479" s="57" t="s">
        <v>298</v>
      </c>
      <c r="B479" s="56"/>
      <c r="C479" s="111">
        <v>200000</v>
      </c>
      <c r="D479" s="101">
        <f>-6097.55-119488+9000-23000-60000</f>
        <v>-199585.55</v>
      </c>
      <c r="E479" s="72"/>
      <c r="F479" s="172">
        <f>C479+D479+E479</f>
        <v>414.45000000001164</v>
      </c>
      <c r="G479" s="73"/>
      <c r="H479" s="217"/>
      <c r="I479" s="190">
        <f>F479+G479+H479</f>
        <v>414.45000000001164</v>
      </c>
      <c r="J479" s="239"/>
      <c r="K479" s="217"/>
      <c r="L479" s="190">
        <f>I479+J479+K479</f>
        <v>414.45000000001164</v>
      </c>
      <c r="M479" s="239"/>
      <c r="N479" s="217"/>
      <c r="O479" s="190">
        <f>L479+M479+N479</f>
        <v>414.45000000001164</v>
      </c>
      <c r="P479" s="276"/>
      <c r="Q479" s="273">
        <f>O479+P479</f>
        <v>414.45000000001164</v>
      </c>
    </row>
    <row r="480" spans="1:17" ht="12.75">
      <c r="A480" s="19" t="s">
        <v>48</v>
      </c>
      <c r="B480" s="59"/>
      <c r="C480" s="163">
        <v>35500</v>
      </c>
      <c r="D480" s="154"/>
      <c r="E480" s="80"/>
      <c r="F480" s="177">
        <f>C480+D480+E480</f>
        <v>35500</v>
      </c>
      <c r="G480" s="208"/>
      <c r="H480" s="223"/>
      <c r="I480" s="195">
        <f>F480+G480+H480</f>
        <v>35500</v>
      </c>
      <c r="J480" s="246"/>
      <c r="K480" s="223"/>
      <c r="L480" s="195">
        <f>I480+J480+K480</f>
        <v>35500</v>
      </c>
      <c r="M480" s="246"/>
      <c r="N480" s="223"/>
      <c r="O480" s="195">
        <f>L480+M480+N480</f>
        <v>35500</v>
      </c>
      <c r="P480" s="314"/>
      <c r="Q480" s="280">
        <f>O480+P480</f>
        <v>35500</v>
      </c>
    </row>
    <row r="481" spans="1:17" ht="12.75">
      <c r="A481" s="13" t="s">
        <v>153</v>
      </c>
      <c r="B481" s="60"/>
      <c r="C481" s="110">
        <f>C482+C495</f>
        <v>97752</v>
      </c>
      <c r="D481" s="91">
        <f aca="true" t="shared" si="158" ref="D481:Q481">D482+D495</f>
        <v>112286.25</v>
      </c>
      <c r="E481" s="71">
        <f t="shared" si="158"/>
        <v>67442.82</v>
      </c>
      <c r="F481" s="171">
        <f t="shared" si="158"/>
        <v>277481.07</v>
      </c>
      <c r="G481" s="70">
        <f t="shared" si="158"/>
        <v>69464.66</v>
      </c>
      <c r="H481" s="216">
        <f t="shared" si="158"/>
        <v>162517.88</v>
      </c>
      <c r="I481" s="189">
        <f t="shared" si="158"/>
        <v>509463.61</v>
      </c>
      <c r="J481" s="238">
        <f t="shared" si="158"/>
        <v>59260.33</v>
      </c>
      <c r="K481" s="216">
        <f t="shared" si="158"/>
        <v>20964.41</v>
      </c>
      <c r="L481" s="189">
        <f t="shared" si="158"/>
        <v>589688.35</v>
      </c>
      <c r="M481" s="238">
        <f t="shared" si="158"/>
        <v>8358.69</v>
      </c>
      <c r="N481" s="216">
        <f t="shared" si="158"/>
        <v>21051.2</v>
      </c>
      <c r="O481" s="189">
        <f t="shared" si="158"/>
        <v>619098.24</v>
      </c>
      <c r="P481" s="308">
        <f t="shared" si="158"/>
        <v>0</v>
      </c>
      <c r="Q481" s="272">
        <f t="shared" si="158"/>
        <v>619098.24</v>
      </c>
    </row>
    <row r="482" spans="1:17" ht="12.75">
      <c r="A482" s="22" t="s">
        <v>46</v>
      </c>
      <c r="B482" s="60"/>
      <c r="C482" s="114">
        <f>SUM(C484:C494)</f>
        <v>63302</v>
      </c>
      <c r="D482" s="104">
        <f aca="true" t="shared" si="159" ref="D482:Q482">SUM(D484:D494)</f>
        <v>15780.25</v>
      </c>
      <c r="E482" s="79">
        <f t="shared" si="159"/>
        <v>44249.32</v>
      </c>
      <c r="F482" s="175">
        <f t="shared" si="159"/>
        <v>123331.57</v>
      </c>
      <c r="G482" s="78">
        <f t="shared" si="159"/>
        <v>6732.92</v>
      </c>
      <c r="H482" s="221">
        <f t="shared" si="159"/>
        <v>6606.88</v>
      </c>
      <c r="I482" s="193">
        <f t="shared" si="159"/>
        <v>136671.37000000002</v>
      </c>
      <c r="J482" s="244">
        <f t="shared" si="159"/>
        <v>7207.91</v>
      </c>
      <c r="K482" s="221">
        <f t="shared" si="159"/>
        <v>5002.45</v>
      </c>
      <c r="L482" s="193">
        <f t="shared" si="159"/>
        <v>148881.73</v>
      </c>
      <c r="M482" s="244">
        <f t="shared" si="159"/>
        <v>6432.67</v>
      </c>
      <c r="N482" s="221">
        <f t="shared" si="159"/>
        <v>5807.18</v>
      </c>
      <c r="O482" s="193">
        <f t="shared" si="159"/>
        <v>161121.58</v>
      </c>
      <c r="P482" s="311">
        <f t="shared" si="159"/>
        <v>0</v>
      </c>
      <c r="Q482" s="278">
        <f t="shared" si="159"/>
        <v>161121.58</v>
      </c>
    </row>
    <row r="483" spans="1:17" ht="12.75">
      <c r="A483" s="18" t="s">
        <v>26</v>
      </c>
      <c r="B483" s="56"/>
      <c r="C483" s="111"/>
      <c r="D483" s="101"/>
      <c r="E483" s="72"/>
      <c r="F483" s="172"/>
      <c r="G483" s="73"/>
      <c r="H483" s="217"/>
      <c r="I483" s="190"/>
      <c r="J483" s="239"/>
      <c r="K483" s="217"/>
      <c r="L483" s="190"/>
      <c r="M483" s="239"/>
      <c r="N483" s="217"/>
      <c r="O483" s="190"/>
      <c r="P483" s="276"/>
      <c r="Q483" s="273"/>
    </row>
    <row r="484" spans="1:17" ht="12.75">
      <c r="A484" s="16" t="s">
        <v>225</v>
      </c>
      <c r="B484" s="56">
        <v>1202</v>
      </c>
      <c r="C484" s="111">
        <v>2950</v>
      </c>
      <c r="D484" s="101">
        <f>149.93+350</f>
        <v>499.93</v>
      </c>
      <c r="E484" s="72">
        <f>-524.5</f>
        <v>-524.5</v>
      </c>
      <c r="F484" s="172">
        <f aca="true" t="shared" si="160" ref="F484:F494">C484+D484+E484</f>
        <v>2925.43</v>
      </c>
      <c r="G484" s="73"/>
      <c r="H484" s="217"/>
      <c r="I484" s="190">
        <f>F484+G484+H484</f>
        <v>2925.43</v>
      </c>
      <c r="J484" s="239"/>
      <c r="K484" s="217"/>
      <c r="L484" s="190">
        <f aca="true" t="shared" si="161" ref="L484:L494">I484+J484+K484</f>
        <v>2925.43</v>
      </c>
      <c r="M484" s="239"/>
      <c r="N484" s="217"/>
      <c r="O484" s="190">
        <f aca="true" t="shared" si="162" ref="O484:O494">L484+M484+N484</f>
        <v>2925.43</v>
      </c>
      <c r="P484" s="276"/>
      <c r="Q484" s="273">
        <f aca="true" t="shared" si="163" ref="Q484:Q494">O484+P484</f>
        <v>2925.43</v>
      </c>
    </row>
    <row r="485" spans="1:17" ht="12.75">
      <c r="A485" s="16" t="s">
        <v>170</v>
      </c>
      <c r="B485" s="56">
        <v>1207</v>
      </c>
      <c r="C485" s="111">
        <v>9800</v>
      </c>
      <c r="D485" s="101">
        <f>1008.06</f>
        <v>1008.06</v>
      </c>
      <c r="E485" s="72"/>
      <c r="F485" s="172">
        <f t="shared" si="160"/>
        <v>10808.06</v>
      </c>
      <c r="G485" s="73">
        <f>-134+14</f>
        <v>-120</v>
      </c>
      <c r="H485" s="217"/>
      <c r="I485" s="190">
        <f aca="true" t="shared" si="164" ref="I485:I494">F485+G485+H485</f>
        <v>10688.06</v>
      </c>
      <c r="J485" s="239">
        <f>15</f>
        <v>15</v>
      </c>
      <c r="K485" s="217"/>
      <c r="L485" s="190">
        <f t="shared" si="161"/>
        <v>10703.06</v>
      </c>
      <c r="M485" s="239">
        <f>87.74</f>
        <v>87.74</v>
      </c>
      <c r="N485" s="217"/>
      <c r="O485" s="190">
        <f t="shared" si="162"/>
        <v>10790.8</v>
      </c>
      <c r="P485" s="276"/>
      <c r="Q485" s="273">
        <f t="shared" si="163"/>
        <v>10790.8</v>
      </c>
    </row>
    <row r="486" spans="1:17" ht="12.75">
      <c r="A486" s="20" t="s">
        <v>283</v>
      </c>
      <c r="B486" s="56">
        <v>1209</v>
      </c>
      <c r="C486" s="111">
        <v>2180</v>
      </c>
      <c r="D486" s="101">
        <f>140.53</f>
        <v>140.53</v>
      </c>
      <c r="E486" s="72"/>
      <c r="F486" s="172">
        <f t="shared" si="160"/>
        <v>2320.53</v>
      </c>
      <c r="G486" s="73">
        <f>28</f>
        <v>28</v>
      </c>
      <c r="H486" s="217"/>
      <c r="I486" s="190">
        <f t="shared" si="164"/>
        <v>2348.53</v>
      </c>
      <c r="J486" s="239"/>
      <c r="K486" s="217"/>
      <c r="L486" s="190">
        <f t="shared" si="161"/>
        <v>2348.53</v>
      </c>
      <c r="M486" s="239"/>
      <c r="N486" s="217"/>
      <c r="O486" s="190">
        <f t="shared" si="162"/>
        <v>2348.53</v>
      </c>
      <c r="P486" s="276"/>
      <c r="Q486" s="273">
        <f t="shared" si="163"/>
        <v>2348.53</v>
      </c>
    </row>
    <row r="487" spans="1:17" ht="12.75">
      <c r="A487" s="16" t="s">
        <v>171</v>
      </c>
      <c r="B487" s="56">
        <v>1211</v>
      </c>
      <c r="C487" s="111">
        <v>2320</v>
      </c>
      <c r="D487" s="141">
        <f>306.25</f>
        <v>306.25</v>
      </c>
      <c r="E487" s="83"/>
      <c r="F487" s="172">
        <f t="shared" si="160"/>
        <v>2626.25</v>
      </c>
      <c r="G487" s="73">
        <f>-2065.54</f>
        <v>-2065.54</v>
      </c>
      <c r="H487" s="217"/>
      <c r="I487" s="190">
        <f t="shared" si="164"/>
        <v>560.71</v>
      </c>
      <c r="J487" s="239">
        <f>203.37</f>
        <v>203.37</v>
      </c>
      <c r="K487" s="217"/>
      <c r="L487" s="190">
        <f t="shared" si="161"/>
        <v>764.08</v>
      </c>
      <c r="M487" s="239">
        <f>1.58</f>
        <v>1.58</v>
      </c>
      <c r="N487" s="217"/>
      <c r="O487" s="190">
        <f t="shared" si="162"/>
        <v>765.6600000000001</v>
      </c>
      <c r="P487" s="276"/>
      <c r="Q487" s="273">
        <f t="shared" si="163"/>
        <v>765.6600000000001</v>
      </c>
    </row>
    <row r="488" spans="1:17" ht="12.75">
      <c r="A488" s="16" t="s">
        <v>354</v>
      </c>
      <c r="B488" s="56">
        <v>1214</v>
      </c>
      <c r="C488" s="111">
        <v>2850</v>
      </c>
      <c r="D488" s="141">
        <f>10.13+2.62+800</f>
        <v>812.75</v>
      </c>
      <c r="E488" s="72"/>
      <c r="F488" s="172">
        <f t="shared" si="160"/>
        <v>3662.75</v>
      </c>
      <c r="G488" s="73">
        <f>3.85</f>
        <v>3.85</v>
      </c>
      <c r="H488" s="217"/>
      <c r="I488" s="190">
        <f t="shared" si="164"/>
        <v>3666.6</v>
      </c>
      <c r="J488" s="239"/>
      <c r="K488" s="217"/>
      <c r="L488" s="190">
        <f t="shared" si="161"/>
        <v>3666.6</v>
      </c>
      <c r="M488" s="239"/>
      <c r="N488" s="217"/>
      <c r="O488" s="190">
        <f t="shared" si="162"/>
        <v>3666.6</v>
      </c>
      <c r="P488" s="276"/>
      <c r="Q488" s="273">
        <f t="shared" si="163"/>
        <v>3666.6</v>
      </c>
    </row>
    <row r="489" spans="1:17" ht="12.75" hidden="1">
      <c r="A489" s="16" t="s">
        <v>214</v>
      </c>
      <c r="B489" s="56">
        <v>1213</v>
      </c>
      <c r="C489" s="111"/>
      <c r="D489" s="141">
        <f>2.62-2.62</f>
        <v>0</v>
      </c>
      <c r="E489" s="72"/>
      <c r="F489" s="172">
        <f t="shared" si="160"/>
        <v>0</v>
      </c>
      <c r="G489" s="73"/>
      <c r="H489" s="217"/>
      <c r="I489" s="190">
        <f t="shared" si="164"/>
        <v>0</v>
      </c>
      <c r="J489" s="239"/>
      <c r="K489" s="217"/>
      <c r="L489" s="190">
        <f t="shared" si="161"/>
        <v>0</v>
      </c>
      <c r="M489" s="239"/>
      <c r="N489" s="217"/>
      <c r="O489" s="190">
        <f t="shared" si="162"/>
        <v>0</v>
      </c>
      <c r="P489" s="276"/>
      <c r="Q489" s="273">
        <f t="shared" si="163"/>
        <v>0</v>
      </c>
    </row>
    <row r="490" spans="1:17" ht="12.75">
      <c r="A490" s="16" t="s">
        <v>243</v>
      </c>
      <c r="B490" s="56">
        <v>1216</v>
      </c>
      <c r="C490" s="111">
        <v>22300</v>
      </c>
      <c r="D490" s="101">
        <f>2238.06</f>
        <v>2238.06</v>
      </c>
      <c r="E490" s="72">
        <f>-219+4000</f>
        <v>3781</v>
      </c>
      <c r="F490" s="172">
        <f t="shared" si="160"/>
        <v>28319.06</v>
      </c>
      <c r="G490" s="73">
        <f>59.73</f>
        <v>59.73</v>
      </c>
      <c r="H490" s="217"/>
      <c r="I490" s="190">
        <f t="shared" si="164"/>
        <v>28378.79</v>
      </c>
      <c r="J490" s="239">
        <f>6000+2</f>
        <v>6002</v>
      </c>
      <c r="K490" s="217"/>
      <c r="L490" s="190">
        <f t="shared" si="161"/>
        <v>34380.79</v>
      </c>
      <c r="M490" s="239">
        <f>2000+2.2</f>
        <v>2002.2</v>
      </c>
      <c r="N490" s="217"/>
      <c r="O490" s="190">
        <f t="shared" si="162"/>
        <v>36382.99</v>
      </c>
      <c r="P490" s="276"/>
      <c r="Q490" s="273">
        <f t="shared" si="163"/>
        <v>36382.99</v>
      </c>
    </row>
    <row r="491" spans="1:17" ht="12.75">
      <c r="A491" s="16" t="s">
        <v>172</v>
      </c>
      <c r="B491" s="56">
        <v>1239</v>
      </c>
      <c r="C491" s="111">
        <v>6600</v>
      </c>
      <c r="D491" s="101">
        <f>775.83+2650</f>
        <v>3425.83</v>
      </c>
      <c r="E491" s="72">
        <f>6400</f>
        <v>6400</v>
      </c>
      <c r="F491" s="172">
        <f t="shared" si="160"/>
        <v>16425.83</v>
      </c>
      <c r="G491" s="73">
        <f>3900+34.88</f>
        <v>3934.88</v>
      </c>
      <c r="H491" s="217"/>
      <c r="I491" s="190">
        <f t="shared" si="164"/>
        <v>20360.710000000003</v>
      </c>
      <c r="J491" s="239">
        <f>71.03+51-101.75</f>
        <v>20.28</v>
      </c>
      <c r="K491" s="217"/>
      <c r="L491" s="190">
        <f t="shared" si="161"/>
        <v>20380.99</v>
      </c>
      <c r="M491" s="239">
        <f>50+45.1</f>
        <v>95.1</v>
      </c>
      <c r="N491" s="217"/>
      <c r="O491" s="190">
        <f t="shared" si="162"/>
        <v>20476.09</v>
      </c>
      <c r="P491" s="276"/>
      <c r="Q491" s="273">
        <f t="shared" si="163"/>
        <v>20476.09</v>
      </c>
    </row>
    <row r="492" spans="1:17" ht="12.75">
      <c r="A492" s="16" t="s">
        <v>189</v>
      </c>
      <c r="B492" s="56">
        <v>1300</v>
      </c>
      <c r="C492" s="111">
        <v>9500</v>
      </c>
      <c r="D492" s="101">
        <f>400+2767.68+1333.33</f>
        <v>4501.01</v>
      </c>
      <c r="E492" s="72">
        <f>-1300+12210+5487+100+750+7145.82+2200+8000</f>
        <v>34592.82</v>
      </c>
      <c r="F492" s="172">
        <f t="shared" si="160"/>
        <v>48593.83</v>
      </c>
      <c r="G492" s="73"/>
      <c r="H492" s="217">
        <f>3300+950+2356.88</f>
        <v>6606.88</v>
      </c>
      <c r="I492" s="190">
        <f t="shared" si="164"/>
        <v>55200.71</v>
      </c>
      <c r="J492" s="239"/>
      <c r="K492" s="217">
        <f>202.45+800+2500+1500</f>
        <v>5002.45</v>
      </c>
      <c r="L492" s="190">
        <f t="shared" si="161"/>
        <v>60203.159999999996</v>
      </c>
      <c r="M492" s="239">
        <f>1448.5+800-202.45+2200</f>
        <v>4246.05</v>
      </c>
      <c r="N492" s="217">
        <f>500+3270+2430.18+250</f>
        <v>6450.18</v>
      </c>
      <c r="O492" s="190">
        <f t="shared" si="162"/>
        <v>70899.39</v>
      </c>
      <c r="P492" s="276"/>
      <c r="Q492" s="273">
        <f t="shared" si="163"/>
        <v>70899.39</v>
      </c>
    </row>
    <row r="493" spans="1:17" ht="12.75">
      <c r="A493" s="16" t="s">
        <v>173</v>
      </c>
      <c r="B493" s="56">
        <v>1110</v>
      </c>
      <c r="C493" s="111">
        <v>4800</v>
      </c>
      <c r="D493" s="101">
        <f>1870.13</f>
        <v>1870.13</v>
      </c>
      <c r="E493" s="72"/>
      <c r="F493" s="172">
        <f t="shared" si="160"/>
        <v>6670.13</v>
      </c>
      <c r="G493" s="73">
        <f>4892</f>
        <v>4892</v>
      </c>
      <c r="H493" s="217"/>
      <c r="I493" s="190">
        <f t="shared" si="164"/>
        <v>11562.130000000001</v>
      </c>
      <c r="J493" s="239">
        <f>6</f>
        <v>6</v>
      </c>
      <c r="K493" s="217"/>
      <c r="L493" s="190">
        <f t="shared" si="161"/>
        <v>11568.130000000001</v>
      </c>
      <c r="M493" s="239"/>
      <c r="N493" s="217">
        <f>-643</f>
        <v>-643</v>
      </c>
      <c r="O493" s="190">
        <f t="shared" si="162"/>
        <v>10925.130000000001</v>
      </c>
      <c r="P493" s="276"/>
      <c r="Q493" s="273">
        <f t="shared" si="163"/>
        <v>10925.130000000001</v>
      </c>
    </row>
    <row r="494" spans="1:17" ht="13.5" thickBot="1">
      <c r="A494" s="302" t="s">
        <v>276</v>
      </c>
      <c r="B494" s="291"/>
      <c r="C494" s="292">
        <v>2</v>
      </c>
      <c r="D494" s="293">
        <f>977.7</f>
        <v>977.7</v>
      </c>
      <c r="E494" s="294"/>
      <c r="F494" s="295">
        <f t="shared" si="160"/>
        <v>979.7</v>
      </c>
      <c r="G494" s="296"/>
      <c r="H494" s="297"/>
      <c r="I494" s="298">
        <f t="shared" si="164"/>
        <v>979.7</v>
      </c>
      <c r="J494" s="299">
        <f>961.26</f>
        <v>961.26</v>
      </c>
      <c r="K494" s="297"/>
      <c r="L494" s="298">
        <f t="shared" si="161"/>
        <v>1940.96</v>
      </c>
      <c r="M494" s="299"/>
      <c r="N494" s="297"/>
      <c r="O494" s="298">
        <f t="shared" si="162"/>
        <v>1940.96</v>
      </c>
      <c r="P494" s="312"/>
      <c r="Q494" s="289">
        <f t="shared" si="163"/>
        <v>1940.96</v>
      </c>
    </row>
    <row r="495" spans="1:17" ht="12.75">
      <c r="A495" s="22" t="s">
        <v>50</v>
      </c>
      <c r="B495" s="60"/>
      <c r="C495" s="114">
        <f>SUM(C497:C505)</f>
        <v>34450</v>
      </c>
      <c r="D495" s="104">
        <f aca="true" t="shared" si="165" ref="D495:Q495">SUM(D497:D505)</f>
        <v>96506</v>
      </c>
      <c r="E495" s="79">
        <f t="shared" si="165"/>
        <v>23193.5</v>
      </c>
      <c r="F495" s="175">
        <f t="shared" si="165"/>
        <v>154149.5</v>
      </c>
      <c r="G495" s="78">
        <f t="shared" si="165"/>
        <v>62731.74</v>
      </c>
      <c r="H495" s="221">
        <f t="shared" si="165"/>
        <v>155911</v>
      </c>
      <c r="I495" s="193">
        <f t="shared" si="165"/>
        <v>372792.24</v>
      </c>
      <c r="J495" s="244">
        <f t="shared" si="165"/>
        <v>52052.42</v>
      </c>
      <c r="K495" s="221">
        <f t="shared" si="165"/>
        <v>15961.96</v>
      </c>
      <c r="L495" s="193">
        <f t="shared" si="165"/>
        <v>440806.62</v>
      </c>
      <c r="M495" s="244">
        <f t="shared" si="165"/>
        <v>1926.02</v>
      </c>
      <c r="N495" s="221">
        <f t="shared" si="165"/>
        <v>15244.02</v>
      </c>
      <c r="O495" s="193">
        <f t="shared" si="165"/>
        <v>457976.66000000003</v>
      </c>
      <c r="P495" s="311">
        <f t="shared" si="165"/>
        <v>0</v>
      </c>
      <c r="Q495" s="278">
        <f t="shared" si="165"/>
        <v>457976.66000000003</v>
      </c>
    </row>
    <row r="496" spans="1:17" ht="12.75">
      <c r="A496" s="18" t="s">
        <v>26</v>
      </c>
      <c r="B496" s="56"/>
      <c r="C496" s="111"/>
      <c r="D496" s="101"/>
      <c r="E496" s="72"/>
      <c r="F496" s="172"/>
      <c r="G496" s="73"/>
      <c r="H496" s="217"/>
      <c r="I496" s="190"/>
      <c r="J496" s="239"/>
      <c r="K496" s="217"/>
      <c r="L496" s="190"/>
      <c r="M496" s="239"/>
      <c r="N496" s="217"/>
      <c r="O496" s="190"/>
      <c r="P496" s="276"/>
      <c r="Q496" s="273"/>
    </row>
    <row r="497" spans="1:17" ht="12.75">
      <c r="A497" s="20" t="s">
        <v>252</v>
      </c>
      <c r="B497" s="56">
        <v>1207</v>
      </c>
      <c r="C497" s="111">
        <v>2600</v>
      </c>
      <c r="D497" s="101">
        <f>3400</f>
        <v>3400</v>
      </c>
      <c r="E497" s="72"/>
      <c r="F497" s="172">
        <f aca="true" t="shared" si="166" ref="F497:F505">C497+D497+E497</f>
        <v>6000</v>
      </c>
      <c r="G497" s="73">
        <f>134</f>
        <v>134</v>
      </c>
      <c r="H497" s="217"/>
      <c r="I497" s="190">
        <f aca="true" t="shared" si="167" ref="I497:I505">F497+G497+H497</f>
        <v>6134</v>
      </c>
      <c r="J497" s="239"/>
      <c r="K497" s="217"/>
      <c r="L497" s="190">
        <f aca="true" t="shared" si="168" ref="L497:L505">I497+J497+K497</f>
        <v>6134</v>
      </c>
      <c r="M497" s="239"/>
      <c r="N497" s="217"/>
      <c r="O497" s="190">
        <f aca="true" t="shared" si="169" ref="O497:O505">L497+M497+N497</f>
        <v>6134</v>
      </c>
      <c r="P497" s="276"/>
      <c r="Q497" s="273">
        <f aca="true" t="shared" si="170" ref="Q497:Q505">O497+P497</f>
        <v>6134</v>
      </c>
    </row>
    <row r="498" spans="1:17" ht="12.75" hidden="1">
      <c r="A498" s="16" t="s">
        <v>294</v>
      </c>
      <c r="B498" s="56">
        <v>1214</v>
      </c>
      <c r="C498" s="111"/>
      <c r="D498" s="101"/>
      <c r="E498" s="72"/>
      <c r="F498" s="172">
        <f t="shared" si="166"/>
        <v>0</v>
      </c>
      <c r="G498" s="73"/>
      <c r="H498" s="217"/>
      <c r="I498" s="190">
        <f t="shared" si="167"/>
        <v>0</v>
      </c>
      <c r="J498" s="239"/>
      <c r="K498" s="217"/>
      <c r="L498" s="190">
        <f t="shared" si="168"/>
        <v>0</v>
      </c>
      <c r="M498" s="239"/>
      <c r="N498" s="217"/>
      <c r="O498" s="190">
        <f t="shared" si="169"/>
        <v>0</v>
      </c>
      <c r="P498" s="276"/>
      <c r="Q498" s="273">
        <f t="shared" si="170"/>
        <v>0</v>
      </c>
    </row>
    <row r="499" spans="1:17" ht="12.75">
      <c r="A499" s="16" t="s">
        <v>350</v>
      </c>
      <c r="B499" s="56">
        <v>1211</v>
      </c>
      <c r="C499" s="111"/>
      <c r="D499" s="101"/>
      <c r="E499" s="72"/>
      <c r="F499" s="172">
        <f t="shared" si="166"/>
        <v>0</v>
      </c>
      <c r="G499" s="73">
        <f>3000+2065.54</f>
        <v>5065.54</v>
      </c>
      <c r="H499" s="217"/>
      <c r="I499" s="190">
        <f t="shared" si="167"/>
        <v>5065.54</v>
      </c>
      <c r="J499" s="239"/>
      <c r="K499" s="217"/>
      <c r="L499" s="190">
        <f t="shared" si="168"/>
        <v>5065.54</v>
      </c>
      <c r="M499" s="239"/>
      <c r="N499" s="217"/>
      <c r="O499" s="190">
        <f t="shared" si="169"/>
        <v>5065.54</v>
      </c>
      <c r="P499" s="276"/>
      <c r="Q499" s="273">
        <f t="shared" si="170"/>
        <v>5065.54</v>
      </c>
    </row>
    <row r="500" spans="1:17" ht="12.75">
      <c r="A500" s="20" t="s">
        <v>284</v>
      </c>
      <c r="B500" s="56">
        <v>1209</v>
      </c>
      <c r="C500" s="111"/>
      <c r="D500" s="101">
        <f>600</f>
        <v>600</v>
      </c>
      <c r="E500" s="72"/>
      <c r="F500" s="172">
        <f t="shared" si="166"/>
        <v>600</v>
      </c>
      <c r="G500" s="73">
        <f>-28</f>
        <v>-28</v>
      </c>
      <c r="H500" s="217"/>
      <c r="I500" s="190">
        <f t="shared" si="167"/>
        <v>572</v>
      </c>
      <c r="J500" s="239"/>
      <c r="K500" s="217"/>
      <c r="L500" s="190">
        <f t="shared" si="168"/>
        <v>572</v>
      </c>
      <c r="M500" s="239"/>
      <c r="N500" s="217"/>
      <c r="O500" s="190">
        <f t="shared" si="169"/>
        <v>572</v>
      </c>
      <c r="P500" s="276"/>
      <c r="Q500" s="273">
        <f t="shared" si="170"/>
        <v>572</v>
      </c>
    </row>
    <row r="501" spans="1:17" ht="12.75">
      <c r="A501" s="16" t="s">
        <v>253</v>
      </c>
      <c r="B501" s="56">
        <v>1202</v>
      </c>
      <c r="C501" s="111"/>
      <c r="D501" s="101"/>
      <c r="E501" s="72">
        <f>524.5</f>
        <v>524.5</v>
      </c>
      <c r="F501" s="172">
        <f t="shared" si="166"/>
        <v>524.5</v>
      </c>
      <c r="G501" s="73"/>
      <c r="H501" s="217"/>
      <c r="I501" s="190">
        <f t="shared" si="167"/>
        <v>524.5</v>
      </c>
      <c r="J501" s="239"/>
      <c r="K501" s="217"/>
      <c r="L501" s="190">
        <f t="shared" si="168"/>
        <v>524.5</v>
      </c>
      <c r="M501" s="239">
        <f>88.9</f>
        <v>88.9</v>
      </c>
      <c r="N501" s="217"/>
      <c r="O501" s="190">
        <f t="shared" si="169"/>
        <v>613.4</v>
      </c>
      <c r="P501" s="276"/>
      <c r="Q501" s="273">
        <f t="shared" si="170"/>
        <v>613.4</v>
      </c>
    </row>
    <row r="502" spans="1:17" ht="12.75">
      <c r="A502" s="16" t="s">
        <v>265</v>
      </c>
      <c r="B502" s="56">
        <v>1216</v>
      </c>
      <c r="C502" s="111"/>
      <c r="D502" s="101">
        <f>4000</f>
        <v>4000</v>
      </c>
      <c r="E502" s="72">
        <f>219-4000</f>
        <v>-3781</v>
      </c>
      <c r="F502" s="172">
        <f t="shared" si="166"/>
        <v>219</v>
      </c>
      <c r="G502" s="73"/>
      <c r="H502" s="217"/>
      <c r="I502" s="190">
        <f t="shared" si="167"/>
        <v>219</v>
      </c>
      <c r="J502" s="239"/>
      <c r="K502" s="217"/>
      <c r="L502" s="190">
        <f t="shared" si="168"/>
        <v>219</v>
      </c>
      <c r="M502" s="239"/>
      <c r="N502" s="217"/>
      <c r="O502" s="190">
        <f t="shared" si="169"/>
        <v>219</v>
      </c>
      <c r="P502" s="276"/>
      <c r="Q502" s="273">
        <f t="shared" si="170"/>
        <v>219</v>
      </c>
    </row>
    <row r="503" spans="1:17" ht="12.75">
      <c r="A503" s="16" t="s">
        <v>269</v>
      </c>
      <c r="B503" s="56">
        <v>1239</v>
      </c>
      <c r="C503" s="111">
        <v>19850</v>
      </c>
      <c r="D503" s="101">
        <f>13000-3000+2500</f>
        <v>12500</v>
      </c>
      <c r="E503" s="72">
        <f>-6400</f>
        <v>-6400</v>
      </c>
      <c r="F503" s="172">
        <f t="shared" si="166"/>
        <v>25950</v>
      </c>
      <c r="G503" s="73">
        <f>-3900+28581+22.79+8000</f>
        <v>32703.79</v>
      </c>
      <c r="H503" s="217"/>
      <c r="I503" s="190">
        <f t="shared" si="167"/>
        <v>58653.79</v>
      </c>
      <c r="J503" s="239">
        <f>353.42-51</f>
        <v>302.42</v>
      </c>
      <c r="K503" s="217"/>
      <c r="L503" s="190">
        <f t="shared" si="168"/>
        <v>58956.21</v>
      </c>
      <c r="M503" s="239">
        <f>-50+168.7</f>
        <v>118.69999999999999</v>
      </c>
      <c r="N503" s="217"/>
      <c r="O503" s="190">
        <f t="shared" si="169"/>
        <v>59074.909999999996</v>
      </c>
      <c r="P503" s="276"/>
      <c r="Q503" s="273">
        <f t="shared" si="170"/>
        <v>59074.909999999996</v>
      </c>
    </row>
    <row r="504" spans="1:17" ht="12.75">
      <c r="A504" s="20" t="s">
        <v>254</v>
      </c>
      <c r="B504" s="56">
        <v>1300</v>
      </c>
      <c r="C504" s="111"/>
      <c r="D504" s="101">
        <f>100+3706+3000+2200+8000+10000+1000+30000</f>
        <v>58006</v>
      </c>
      <c r="E504" s="72">
        <f>1300+7350+3000-100+31500-2200-8000</f>
        <v>32850</v>
      </c>
      <c r="F504" s="172">
        <f t="shared" si="166"/>
        <v>90856</v>
      </c>
      <c r="G504" s="73">
        <f>700+8000+1500+5000+270.23</f>
        <v>15470.23</v>
      </c>
      <c r="H504" s="217">
        <f>61000+4321+60000+15000+7890+5600+2100</f>
        <v>155911</v>
      </c>
      <c r="I504" s="190">
        <f t="shared" si="167"/>
        <v>262237.23</v>
      </c>
      <c r="J504" s="239">
        <f>4250+500+47000</f>
        <v>51750</v>
      </c>
      <c r="K504" s="217">
        <f>2756.76+13271.76+1433.44-1500</f>
        <v>15961.96</v>
      </c>
      <c r="L504" s="190">
        <f t="shared" si="168"/>
        <v>329949.19</v>
      </c>
      <c r="M504" s="239">
        <f>1800-800+202.45</f>
        <v>1202.45</v>
      </c>
      <c r="N504" s="217">
        <f>10606+400+2480+1115.02</f>
        <v>14601.02</v>
      </c>
      <c r="O504" s="190">
        <f t="shared" si="169"/>
        <v>345752.66000000003</v>
      </c>
      <c r="P504" s="276"/>
      <c r="Q504" s="273">
        <f t="shared" si="170"/>
        <v>345752.66000000003</v>
      </c>
    </row>
    <row r="505" spans="1:17" ht="12.75">
      <c r="A505" s="19" t="s">
        <v>264</v>
      </c>
      <c r="B505" s="59">
        <v>1110</v>
      </c>
      <c r="C505" s="271">
        <v>12000</v>
      </c>
      <c r="D505" s="154">
        <f>18000</f>
        <v>18000</v>
      </c>
      <c r="E505" s="80"/>
      <c r="F505" s="177">
        <f t="shared" si="166"/>
        <v>30000</v>
      </c>
      <c r="G505" s="208">
        <f>9382+4.18</f>
        <v>9386.18</v>
      </c>
      <c r="H505" s="223"/>
      <c r="I505" s="195">
        <f t="shared" si="167"/>
        <v>39386.18</v>
      </c>
      <c r="J505" s="246"/>
      <c r="K505" s="223"/>
      <c r="L505" s="195">
        <f t="shared" si="168"/>
        <v>39386.18</v>
      </c>
      <c r="M505" s="246">
        <f>515.97</f>
        <v>515.97</v>
      </c>
      <c r="N505" s="223">
        <f>643</f>
        <v>643</v>
      </c>
      <c r="O505" s="195">
        <f t="shared" si="169"/>
        <v>40545.15</v>
      </c>
      <c r="P505" s="314"/>
      <c r="Q505" s="280">
        <f t="shared" si="170"/>
        <v>40545.15</v>
      </c>
    </row>
    <row r="506" spans="1:17" ht="12.75">
      <c r="A506" s="13" t="s">
        <v>365</v>
      </c>
      <c r="B506" s="60"/>
      <c r="C506" s="110">
        <f aca="true" t="shared" si="171" ref="C506:Q506">C507</f>
        <v>1</v>
      </c>
      <c r="D506" s="91">
        <f t="shared" si="171"/>
        <v>2458.05</v>
      </c>
      <c r="E506" s="71">
        <f t="shared" si="171"/>
        <v>0</v>
      </c>
      <c r="F506" s="171">
        <f t="shared" si="171"/>
        <v>2459.05</v>
      </c>
      <c r="G506" s="70">
        <f t="shared" si="171"/>
        <v>0</v>
      </c>
      <c r="H506" s="216">
        <f t="shared" si="171"/>
        <v>0</v>
      </c>
      <c r="I506" s="189">
        <f t="shared" si="171"/>
        <v>2459.05</v>
      </c>
      <c r="J506" s="238">
        <f t="shared" si="171"/>
        <v>0</v>
      </c>
      <c r="K506" s="216">
        <f t="shared" si="171"/>
        <v>0</v>
      </c>
      <c r="L506" s="189">
        <f t="shared" si="171"/>
        <v>2459.05</v>
      </c>
      <c r="M506" s="238">
        <f t="shared" si="171"/>
        <v>0</v>
      </c>
      <c r="N506" s="216">
        <f t="shared" si="171"/>
        <v>0</v>
      </c>
      <c r="O506" s="189">
        <f t="shared" si="171"/>
        <v>2459.05</v>
      </c>
      <c r="P506" s="308">
        <f t="shared" si="171"/>
        <v>0</v>
      </c>
      <c r="Q506" s="272">
        <f t="shared" si="171"/>
        <v>2459.05</v>
      </c>
    </row>
    <row r="507" spans="1:17" ht="12.75">
      <c r="A507" s="22" t="s">
        <v>46</v>
      </c>
      <c r="B507" s="60"/>
      <c r="C507" s="114">
        <f>C509</f>
        <v>1</v>
      </c>
      <c r="D507" s="104">
        <f aca="true" t="shared" si="172" ref="D507:Q507">D509</f>
        <v>2458.05</v>
      </c>
      <c r="E507" s="79">
        <f t="shared" si="172"/>
        <v>0</v>
      </c>
      <c r="F507" s="175">
        <f t="shared" si="172"/>
        <v>2459.05</v>
      </c>
      <c r="G507" s="78">
        <f t="shared" si="172"/>
        <v>0</v>
      </c>
      <c r="H507" s="221">
        <f t="shared" si="172"/>
        <v>0</v>
      </c>
      <c r="I507" s="193">
        <f t="shared" si="172"/>
        <v>2459.05</v>
      </c>
      <c r="J507" s="244">
        <f t="shared" si="172"/>
        <v>0</v>
      </c>
      <c r="K507" s="221">
        <f t="shared" si="172"/>
        <v>0</v>
      </c>
      <c r="L507" s="193">
        <f t="shared" si="172"/>
        <v>2459.05</v>
      </c>
      <c r="M507" s="244">
        <f t="shared" si="172"/>
        <v>0</v>
      </c>
      <c r="N507" s="221">
        <f t="shared" si="172"/>
        <v>0</v>
      </c>
      <c r="O507" s="193">
        <f t="shared" si="172"/>
        <v>2459.05</v>
      </c>
      <c r="P507" s="311">
        <f t="shared" si="172"/>
        <v>0</v>
      </c>
      <c r="Q507" s="278">
        <f t="shared" si="172"/>
        <v>2459.05</v>
      </c>
    </row>
    <row r="508" spans="1:17" ht="12.75">
      <c r="A508" s="18" t="s">
        <v>26</v>
      </c>
      <c r="B508" s="56"/>
      <c r="C508" s="111"/>
      <c r="D508" s="101"/>
      <c r="E508" s="72"/>
      <c r="F508" s="172"/>
      <c r="G508" s="73"/>
      <c r="H508" s="217"/>
      <c r="I508" s="190"/>
      <c r="J508" s="239"/>
      <c r="K508" s="217"/>
      <c r="L508" s="190"/>
      <c r="M508" s="239"/>
      <c r="N508" s="217"/>
      <c r="O508" s="190"/>
      <c r="P508" s="276"/>
      <c r="Q508" s="273"/>
    </row>
    <row r="509" spans="1:17" ht="12.75">
      <c r="A509" s="125" t="s">
        <v>48</v>
      </c>
      <c r="B509" s="211"/>
      <c r="C509" s="163">
        <v>1</v>
      </c>
      <c r="D509" s="154">
        <f>2458.05</f>
        <v>2458.05</v>
      </c>
      <c r="E509" s="212"/>
      <c r="F509" s="177">
        <f>C509+D509+E509</f>
        <v>2459.05</v>
      </c>
      <c r="G509" s="208"/>
      <c r="H509" s="223"/>
      <c r="I509" s="195">
        <f>F509+G509+H509</f>
        <v>2459.05</v>
      </c>
      <c r="J509" s="246"/>
      <c r="K509" s="223"/>
      <c r="L509" s="195">
        <f>I509+J509+K509</f>
        <v>2459.05</v>
      </c>
      <c r="M509" s="246"/>
      <c r="N509" s="223"/>
      <c r="O509" s="195">
        <f>L509+M509+N509</f>
        <v>2459.05</v>
      </c>
      <c r="P509" s="314"/>
      <c r="Q509" s="280">
        <f>O509+P509</f>
        <v>2459.05</v>
      </c>
    </row>
    <row r="510" spans="1:17" ht="12.75">
      <c r="A510" s="13" t="s">
        <v>89</v>
      </c>
      <c r="B510" s="60"/>
      <c r="C510" s="110">
        <f>C512+C513</f>
        <v>666648</v>
      </c>
      <c r="D510" s="91">
        <f aca="true" t="shared" si="173" ref="D510:Q510">D512+D513</f>
        <v>773220.8600000001</v>
      </c>
      <c r="E510" s="71">
        <f t="shared" si="173"/>
        <v>0</v>
      </c>
      <c r="F510" s="171">
        <f t="shared" si="173"/>
        <v>1439868.8599999996</v>
      </c>
      <c r="G510" s="70">
        <f t="shared" si="173"/>
        <v>197285.56</v>
      </c>
      <c r="H510" s="216">
        <f t="shared" si="173"/>
        <v>0</v>
      </c>
      <c r="I510" s="189">
        <f t="shared" si="173"/>
        <v>1637154.42</v>
      </c>
      <c r="J510" s="238">
        <f t="shared" si="173"/>
        <v>54877.880000000005</v>
      </c>
      <c r="K510" s="216">
        <f t="shared" si="173"/>
        <v>0</v>
      </c>
      <c r="L510" s="189">
        <f t="shared" si="173"/>
        <v>1692032.2999999996</v>
      </c>
      <c r="M510" s="238">
        <f t="shared" si="173"/>
        <v>105117</v>
      </c>
      <c r="N510" s="216">
        <f t="shared" si="173"/>
        <v>0</v>
      </c>
      <c r="O510" s="189">
        <f t="shared" si="173"/>
        <v>1797149.2999999996</v>
      </c>
      <c r="P510" s="308">
        <f t="shared" si="173"/>
        <v>0</v>
      </c>
      <c r="Q510" s="272">
        <f t="shared" si="173"/>
        <v>1797149.2999999996</v>
      </c>
    </row>
    <row r="511" spans="1:17" ht="12.75">
      <c r="A511" s="15" t="s">
        <v>26</v>
      </c>
      <c r="B511" s="56"/>
      <c r="C511" s="110"/>
      <c r="D511" s="91"/>
      <c r="E511" s="71"/>
      <c r="F511" s="171"/>
      <c r="G511" s="70"/>
      <c r="H511" s="216"/>
      <c r="I511" s="189"/>
      <c r="J511" s="238"/>
      <c r="K511" s="216"/>
      <c r="L511" s="189"/>
      <c r="M511" s="238"/>
      <c r="N511" s="216"/>
      <c r="O511" s="189"/>
      <c r="P511" s="308"/>
      <c r="Q511" s="272"/>
    </row>
    <row r="512" spans="1:17" ht="12.75">
      <c r="A512" s="13" t="s">
        <v>46</v>
      </c>
      <c r="B512" s="60"/>
      <c r="C512" s="112">
        <f>C516+C523+C525+C537+C539+C544+C556+C540+C530+C558+C532+C562+C546</f>
        <v>38780</v>
      </c>
      <c r="D512" s="112">
        <f aca="true" t="shared" si="174" ref="D512:L512">D516+D523+D525+D537+D539+D544+D556+D540+D530+D558+D532+D562+D546</f>
        <v>78707.63</v>
      </c>
      <c r="E512" s="112">
        <f t="shared" si="174"/>
        <v>0</v>
      </c>
      <c r="F512" s="112">
        <f t="shared" si="174"/>
        <v>117487.62999999999</v>
      </c>
      <c r="G512" s="112">
        <f t="shared" si="174"/>
        <v>132348.46</v>
      </c>
      <c r="H512" s="112">
        <f t="shared" si="174"/>
        <v>0</v>
      </c>
      <c r="I512" s="112">
        <f t="shared" si="174"/>
        <v>249836.09</v>
      </c>
      <c r="J512" s="74">
        <f t="shared" si="174"/>
        <v>-29281.81</v>
      </c>
      <c r="K512" s="219">
        <f t="shared" si="174"/>
        <v>0</v>
      </c>
      <c r="L512" s="262">
        <f t="shared" si="174"/>
        <v>220554.28</v>
      </c>
      <c r="M512" s="241">
        <f>M516+M523+M525+M537+M539+M544+M556+M540+M530+M558+M532+M562</f>
        <v>8629.810000000001</v>
      </c>
      <c r="N512" s="219">
        <f>N516+N523+N525+N537+N539+N544+N556+N540+N530+N558+N532+N562</f>
        <v>0</v>
      </c>
      <c r="O512" s="191">
        <f>O516+O523+O525+O537+O539+O544+O556+O540+O530+O558+O532+O562</f>
        <v>229184.09</v>
      </c>
      <c r="P512" s="309">
        <f>P516+P523+P525+P537+P539+P544+P556+P540+P530+P558+P532+P562</f>
        <v>1083</v>
      </c>
      <c r="Q512" s="275">
        <f>Q516+Q523+Q525+Q537+Q539+Q544+Q556+Q540+Q530+Q558+Q532+Q562</f>
        <v>230267.09</v>
      </c>
    </row>
    <row r="513" spans="1:17" ht="12.75">
      <c r="A513" s="13" t="s">
        <v>50</v>
      </c>
      <c r="B513" s="60"/>
      <c r="C513" s="112">
        <f>+C517+C518+C520+C521+C522+C526+C527+C529+C531+C533+C535+C536+C538+C541+C543+C545+C547+C549+C550+C552+C553+C555+C557+C559+C561</f>
        <v>627868</v>
      </c>
      <c r="D513" s="102">
        <f aca="true" t="shared" si="175" ref="D513:Q513">+D517+D518+D520+D521+D522+D526+D527+D529+D531+D533+D535+D536+D538+D541+D543+D545+D547+D549+D550+D552+D553+D555+D557+D559+D561</f>
        <v>694513.2300000001</v>
      </c>
      <c r="E513" s="75">
        <f t="shared" si="175"/>
        <v>0</v>
      </c>
      <c r="F513" s="173">
        <f t="shared" si="175"/>
        <v>1322381.2299999997</v>
      </c>
      <c r="G513" s="74">
        <f t="shared" si="175"/>
        <v>64937.100000000006</v>
      </c>
      <c r="H513" s="219">
        <f t="shared" si="175"/>
        <v>0</v>
      </c>
      <c r="I513" s="191">
        <f t="shared" si="175"/>
        <v>1387318.3299999998</v>
      </c>
      <c r="J513" s="241">
        <f t="shared" si="175"/>
        <v>84159.69</v>
      </c>
      <c r="K513" s="219">
        <f t="shared" si="175"/>
        <v>0</v>
      </c>
      <c r="L513" s="191">
        <f t="shared" si="175"/>
        <v>1471478.0199999996</v>
      </c>
      <c r="M513" s="241">
        <f t="shared" si="175"/>
        <v>96487.19</v>
      </c>
      <c r="N513" s="219">
        <f t="shared" si="175"/>
        <v>0</v>
      </c>
      <c r="O513" s="191">
        <f t="shared" si="175"/>
        <v>1567965.2099999995</v>
      </c>
      <c r="P513" s="309">
        <f t="shared" si="175"/>
        <v>-1083</v>
      </c>
      <c r="Q513" s="275">
        <f t="shared" si="175"/>
        <v>1566882.2099999995</v>
      </c>
    </row>
    <row r="514" spans="1:17" ht="12.75">
      <c r="A514" s="14" t="s">
        <v>90</v>
      </c>
      <c r="B514" s="56"/>
      <c r="C514" s="110"/>
      <c r="D514" s="91"/>
      <c r="E514" s="71"/>
      <c r="F514" s="171"/>
      <c r="G514" s="70"/>
      <c r="H514" s="216"/>
      <c r="I514" s="189"/>
      <c r="J514" s="238"/>
      <c r="K514" s="216"/>
      <c r="L514" s="189"/>
      <c r="M514" s="238"/>
      <c r="N514" s="216"/>
      <c r="O514" s="189"/>
      <c r="P514" s="276"/>
      <c r="Q514" s="273"/>
    </row>
    <row r="515" spans="1:17" ht="12.75">
      <c r="A515" s="57" t="s">
        <v>286</v>
      </c>
      <c r="B515" s="56"/>
      <c r="C515" s="111">
        <f>C516+C517+C518</f>
        <v>33977</v>
      </c>
      <c r="D515" s="101">
        <f aca="true" t="shared" si="176" ref="D515:Q515">D516+D517+D518</f>
        <v>28400.73</v>
      </c>
      <c r="E515" s="72">
        <f t="shared" si="176"/>
        <v>0</v>
      </c>
      <c r="F515" s="172">
        <f t="shared" si="176"/>
        <v>62377.729999999996</v>
      </c>
      <c r="G515" s="73">
        <f t="shared" si="176"/>
        <v>0</v>
      </c>
      <c r="H515" s="217">
        <f t="shared" si="176"/>
        <v>0</v>
      </c>
      <c r="I515" s="190">
        <f t="shared" si="176"/>
        <v>62377.729999999996</v>
      </c>
      <c r="J515" s="239">
        <f t="shared" si="176"/>
        <v>0</v>
      </c>
      <c r="K515" s="217">
        <f t="shared" si="176"/>
        <v>0</v>
      </c>
      <c r="L515" s="190">
        <f t="shared" si="176"/>
        <v>62377.729999999996</v>
      </c>
      <c r="M515" s="239">
        <f t="shared" si="176"/>
        <v>0</v>
      </c>
      <c r="N515" s="217">
        <f t="shared" si="176"/>
        <v>0</v>
      </c>
      <c r="O515" s="190">
        <f t="shared" si="176"/>
        <v>62377.729999999996</v>
      </c>
      <c r="P515" s="281">
        <f t="shared" si="176"/>
        <v>0</v>
      </c>
      <c r="Q515" s="274">
        <f t="shared" si="176"/>
        <v>62377.729999999996</v>
      </c>
    </row>
    <row r="516" spans="1:17" ht="12.75" hidden="1">
      <c r="A516" s="15" t="s">
        <v>98</v>
      </c>
      <c r="B516" s="56"/>
      <c r="C516" s="110"/>
      <c r="D516" s="91"/>
      <c r="E516" s="71"/>
      <c r="F516" s="172">
        <f>C516+D516+E516</f>
        <v>0</v>
      </c>
      <c r="G516" s="70"/>
      <c r="H516" s="216"/>
      <c r="I516" s="190">
        <f>F516+G516+H516</f>
        <v>0</v>
      </c>
      <c r="J516" s="238"/>
      <c r="K516" s="216"/>
      <c r="L516" s="190">
        <f>I516+J516+K516</f>
        <v>0</v>
      </c>
      <c r="M516" s="238"/>
      <c r="N516" s="216"/>
      <c r="O516" s="190">
        <f>L516+M516+N516</f>
        <v>0</v>
      </c>
      <c r="P516" s="276"/>
      <c r="Q516" s="273">
        <f>O516+P516</f>
        <v>0</v>
      </c>
    </row>
    <row r="517" spans="1:17" ht="12.75">
      <c r="A517" s="15" t="s">
        <v>92</v>
      </c>
      <c r="B517" s="56"/>
      <c r="C517" s="111">
        <v>33977</v>
      </c>
      <c r="D517" s="101">
        <f>17490.32+1634</f>
        <v>19124.32</v>
      </c>
      <c r="E517" s="71"/>
      <c r="F517" s="172">
        <f>C517+D517+E517</f>
        <v>53101.32</v>
      </c>
      <c r="G517" s="73">
        <f>700+2000</f>
        <v>2700</v>
      </c>
      <c r="H517" s="216"/>
      <c r="I517" s="190">
        <f>F517+G517+H517</f>
        <v>55801.32</v>
      </c>
      <c r="J517" s="238"/>
      <c r="K517" s="216"/>
      <c r="L517" s="190">
        <f>I517+J517+K517</f>
        <v>55801.32</v>
      </c>
      <c r="M517" s="238"/>
      <c r="N517" s="216"/>
      <c r="O517" s="190">
        <f>L517+M517+N517</f>
        <v>55801.32</v>
      </c>
      <c r="P517" s="276"/>
      <c r="Q517" s="273">
        <f>O517+P517</f>
        <v>55801.32</v>
      </c>
    </row>
    <row r="518" spans="1:17" ht="12.75">
      <c r="A518" s="15" t="s">
        <v>103</v>
      </c>
      <c r="B518" s="56"/>
      <c r="C518" s="110"/>
      <c r="D518" s="101">
        <f>10910.41-1634</f>
        <v>9276.41</v>
      </c>
      <c r="E518" s="71"/>
      <c r="F518" s="172">
        <f>C518+D518+E518</f>
        <v>9276.41</v>
      </c>
      <c r="G518" s="73">
        <f>-700-2000</f>
        <v>-2700</v>
      </c>
      <c r="H518" s="216"/>
      <c r="I518" s="190">
        <f>F518+G518+H518</f>
        <v>6576.41</v>
      </c>
      <c r="J518" s="238"/>
      <c r="K518" s="216"/>
      <c r="L518" s="190">
        <f>I518+J518+K518</f>
        <v>6576.41</v>
      </c>
      <c r="M518" s="238"/>
      <c r="N518" s="216"/>
      <c r="O518" s="190">
        <f>L518+M518+N518</f>
        <v>6576.41</v>
      </c>
      <c r="P518" s="276"/>
      <c r="Q518" s="273">
        <f>O518+P518</f>
        <v>6576.41</v>
      </c>
    </row>
    <row r="519" spans="1:17" ht="12.75">
      <c r="A519" s="15" t="s">
        <v>94</v>
      </c>
      <c r="B519" s="56">
        <v>10</v>
      </c>
      <c r="C519" s="111">
        <f>SUM(C520:C523)</f>
        <v>100000</v>
      </c>
      <c r="D519" s="101">
        <f aca="true" t="shared" si="177" ref="D519:Q519">SUM(D520:D523)</f>
        <v>346443.79</v>
      </c>
      <c r="E519" s="72">
        <f t="shared" si="177"/>
        <v>0</v>
      </c>
      <c r="F519" s="172">
        <f t="shared" si="177"/>
        <v>446443.79</v>
      </c>
      <c r="G519" s="73">
        <f t="shared" si="177"/>
        <v>0</v>
      </c>
      <c r="H519" s="217">
        <f t="shared" si="177"/>
        <v>0</v>
      </c>
      <c r="I519" s="190">
        <f t="shared" si="177"/>
        <v>446443.79000000004</v>
      </c>
      <c r="J519" s="239">
        <f t="shared" si="177"/>
        <v>0</v>
      </c>
      <c r="K519" s="217">
        <f t="shared" si="177"/>
        <v>0</v>
      </c>
      <c r="L519" s="190">
        <f t="shared" si="177"/>
        <v>446443.79000000004</v>
      </c>
      <c r="M519" s="239">
        <f t="shared" si="177"/>
        <v>0</v>
      </c>
      <c r="N519" s="217">
        <f t="shared" si="177"/>
        <v>0</v>
      </c>
      <c r="O519" s="190">
        <f t="shared" si="177"/>
        <v>446443.79000000004</v>
      </c>
      <c r="P519" s="281">
        <f t="shared" si="177"/>
        <v>0</v>
      </c>
      <c r="Q519" s="274">
        <f t="shared" si="177"/>
        <v>446443.79000000004</v>
      </c>
    </row>
    <row r="520" spans="1:17" ht="12.75" hidden="1">
      <c r="A520" s="15" t="s">
        <v>95</v>
      </c>
      <c r="B520" s="56"/>
      <c r="C520" s="111"/>
      <c r="D520" s="101"/>
      <c r="E520" s="72"/>
      <c r="F520" s="172">
        <f aca="true" t="shared" si="178" ref="F520:F565">C520+D520+E520</f>
        <v>0</v>
      </c>
      <c r="G520" s="73"/>
      <c r="H520" s="217"/>
      <c r="I520" s="190">
        <f>F520+G520+H520</f>
        <v>0</v>
      </c>
      <c r="J520" s="239"/>
      <c r="K520" s="217"/>
      <c r="L520" s="190">
        <f>I520+J520+K520</f>
        <v>0</v>
      </c>
      <c r="M520" s="239"/>
      <c r="N520" s="217"/>
      <c r="O520" s="190">
        <f>L520+M520+N520</f>
        <v>0</v>
      </c>
      <c r="P520" s="276"/>
      <c r="Q520" s="273">
        <f>O520+P520</f>
        <v>0</v>
      </c>
    </row>
    <row r="521" spans="1:17" ht="12.75">
      <c r="A521" s="57" t="s">
        <v>92</v>
      </c>
      <c r="B521" s="56"/>
      <c r="C521" s="111">
        <v>80000</v>
      </c>
      <c r="D521" s="141">
        <f>20000+1000+318000</f>
        <v>339000</v>
      </c>
      <c r="E521" s="83"/>
      <c r="F521" s="172">
        <f t="shared" si="178"/>
        <v>419000</v>
      </c>
      <c r="G521" s="73">
        <f>-150000</f>
        <v>-150000</v>
      </c>
      <c r="H521" s="217"/>
      <c r="I521" s="190">
        <f>F521+G521+H521</f>
        <v>269000</v>
      </c>
      <c r="J521" s="239">
        <f>30000</f>
        <v>30000</v>
      </c>
      <c r="K521" s="217"/>
      <c r="L521" s="190">
        <f>I521+J521+K521</f>
        <v>299000</v>
      </c>
      <c r="M521" s="239"/>
      <c r="N521" s="217"/>
      <c r="O521" s="190">
        <f>L521+M521+N521</f>
        <v>299000</v>
      </c>
      <c r="P521" s="276"/>
      <c r="Q521" s="273">
        <f>O521+P521</f>
        <v>299000</v>
      </c>
    </row>
    <row r="522" spans="1:17" ht="12.75">
      <c r="A522" s="15" t="s">
        <v>93</v>
      </c>
      <c r="B522" s="56"/>
      <c r="C522" s="111"/>
      <c r="D522" s="101">
        <f>755.69</f>
        <v>755.69</v>
      </c>
      <c r="E522" s="72"/>
      <c r="F522" s="172">
        <f t="shared" si="178"/>
        <v>755.69</v>
      </c>
      <c r="G522" s="73"/>
      <c r="H522" s="217"/>
      <c r="I522" s="190">
        <f>F522+G522+H522</f>
        <v>755.69</v>
      </c>
      <c r="J522" s="239"/>
      <c r="K522" s="217"/>
      <c r="L522" s="190">
        <f>I522+J522+K522</f>
        <v>755.69</v>
      </c>
      <c r="M522" s="239"/>
      <c r="N522" s="217"/>
      <c r="O522" s="190">
        <f>L522+M522+N522</f>
        <v>755.69</v>
      </c>
      <c r="P522" s="276"/>
      <c r="Q522" s="273">
        <f>O522+P522</f>
        <v>755.69</v>
      </c>
    </row>
    <row r="523" spans="1:17" ht="12.75">
      <c r="A523" s="16" t="s">
        <v>122</v>
      </c>
      <c r="B523" s="56"/>
      <c r="C523" s="111">
        <v>20000</v>
      </c>
      <c r="D523" s="153">
        <f>6688.1</f>
        <v>6688.1</v>
      </c>
      <c r="E523" s="72"/>
      <c r="F523" s="172">
        <f t="shared" si="178"/>
        <v>26688.1</v>
      </c>
      <c r="G523" s="73">
        <f>150000</f>
        <v>150000</v>
      </c>
      <c r="H523" s="217"/>
      <c r="I523" s="190">
        <f>F523+G523+H523</f>
        <v>176688.1</v>
      </c>
      <c r="J523" s="239">
        <f>-30000</f>
        <v>-30000</v>
      </c>
      <c r="K523" s="217"/>
      <c r="L523" s="190">
        <f>I523+J523+K523</f>
        <v>146688.1</v>
      </c>
      <c r="M523" s="239"/>
      <c r="N523" s="217"/>
      <c r="O523" s="190">
        <f>L523+M523+N523</f>
        <v>146688.1</v>
      </c>
      <c r="P523" s="276"/>
      <c r="Q523" s="273">
        <f>O523+P523</f>
        <v>146688.1</v>
      </c>
    </row>
    <row r="524" spans="1:17" ht="12.75">
      <c r="A524" s="15" t="s">
        <v>97</v>
      </c>
      <c r="B524" s="56">
        <v>12</v>
      </c>
      <c r="C524" s="111">
        <f aca="true" t="shared" si="179" ref="C524:Q524">C525+C526+C527</f>
        <v>19000</v>
      </c>
      <c r="D524" s="101">
        <f t="shared" si="179"/>
        <v>36129</v>
      </c>
      <c r="E524" s="72">
        <f t="shared" si="179"/>
        <v>0</v>
      </c>
      <c r="F524" s="172">
        <f t="shared" si="179"/>
        <v>55129.00000000001</v>
      </c>
      <c r="G524" s="73">
        <f t="shared" si="179"/>
        <v>-18820</v>
      </c>
      <c r="H524" s="217">
        <f t="shared" si="179"/>
        <v>0</v>
      </c>
      <c r="I524" s="190">
        <f t="shared" si="179"/>
        <v>36309.00000000001</v>
      </c>
      <c r="J524" s="239">
        <f t="shared" si="179"/>
        <v>0</v>
      </c>
      <c r="K524" s="217">
        <f t="shared" si="179"/>
        <v>0</v>
      </c>
      <c r="L524" s="190">
        <f t="shared" si="179"/>
        <v>36309.00000000001</v>
      </c>
      <c r="M524" s="239">
        <f t="shared" si="179"/>
        <v>0</v>
      </c>
      <c r="N524" s="217">
        <f t="shared" si="179"/>
        <v>0</v>
      </c>
      <c r="O524" s="190">
        <f t="shared" si="179"/>
        <v>36309.00000000001</v>
      </c>
      <c r="P524" s="281">
        <f t="shared" si="179"/>
        <v>0</v>
      </c>
      <c r="Q524" s="274">
        <f t="shared" si="179"/>
        <v>36309.00000000001</v>
      </c>
    </row>
    <row r="525" spans="1:17" ht="12.75">
      <c r="A525" s="15" t="s">
        <v>98</v>
      </c>
      <c r="B525" s="56"/>
      <c r="C525" s="111">
        <v>5500</v>
      </c>
      <c r="D525" s="101">
        <f>24956.38</f>
        <v>24956.38</v>
      </c>
      <c r="E525" s="72"/>
      <c r="F525" s="172">
        <f t="shared" si="178"/>
        <v>30456.38</v>
      </c>
      <c r="G525" s="73">
        <f>-5200</f>
        <v>-5200</v>
      </c>
      <c r="H525" s="217"/>
      <c r="I525" s="190">
        <f>F525+G525+H525</f>
        <v>25256.38</v>
      </c>
      <c r="J525" s="239">
        <f>-500</f>
        <v>-500</v>
      </c>
      <c r="K525" s="217"/>
      <c r="L525" s="190">
        <f>I525+J525+K525</f>
        <v>24756.38</v>
      </c>
      <c r="M525" s="239">
        <f>-2500</f>
        <v>-2500</v>
      </c>
      <c r="N525" s="217"/>
      <c r="O525" s="190">
        <f>L525+M525+N525</f>
        <v>22256.38</v>
      </c>
      <c r="P525" s="276"/>
      <c r="Q525" s="273">
        <f>O525+P525</f>
        <v>22256.38</v>
      </c>
    </row>
    <row r="526" spans="1:17" ht="12.75">
      <c r="A526" s="15" t="s">
        <v>96</v>
      </c>
      <c r="B526" s="56"/>
      <c r="C526" s="111">
        <v>13500</v>
      </c>
      <c r="D526" s="101">
        <f>10143.19</f>
        <v>10143.19</v>
      </c>
      <c r="E526" s="72"/>
      <c r="F526" s="172">
        <f t="shared" si="178"/>
        <v>23643.190000000002</v>
      </c>
      <c r="G526" s="73">
        <f>-13120</f>
        <v>-13120</v>
      </c>
      <c r="H526" s="217"/>
      <c r="I526" s="190">
        <f>F526+G526+H526</f>
        <v>10523.190000000002</v>
      </c>
      <c r="J526" s="239">
        <f>1000</f>
        <v>1000</v>
      </c>
      <c r="K526" s="217"/>
      <c r="L526" s="190">
        <f>I526+J526+K526</f>
        <v>11523.190000000002</v>
      </c>
      <c r="M526" s="239">
        <f>2500</f>
        <v>2500</v>
      </c>
      <c r="N526" s="217"/>
      <c r="O526" s="190">
        <f>L526+M526+N526</f>
        <v>14023.190000000002</v>
      </c>
      <c r="P526" s="276"/>
      <c r="Q526" s="273">
        <f>O526+P526</f>
        <v>14023.190000000002</v>
      </c>
    </row>
    <row r="527" spans="1:17" ht="12.75" customHeight="1">
      <c r="A527" s="15" t="s">
        <v>93</v>
      </c>
      <c r="B527" s="56"/>
      <c r="C527" s="111"/>
      <c r="D527" s="101">
        <f>1029.43</f>
        <v>1029.43</v>
      </c>
      <c r="E527" s="72"/>
      <c r="F527" s="172">
        <f t="shared" si="178"/>
        <v>1029.43</v>
      </c>
      <c r="G527" s="73">
        <f>-500</f>
        <v>-500</v>
      </c>
      <c r="H527" s="217"/>
      <c r="I527" s="190">
        <f>F527+G527+H527</f>
        <v>529.4300000000001</v>
      </c>
      <c r="J527" s="239">
        <f>-500</f>
        <v>-500</v>
      </c>
      <c r="K527" s="217"/>
      <c r="L527" s="190">
        <f>I527+J527+K527</f>
        <v>29.430000000000064</v>
      </c>
      <c r="M527" s="239"/>
      <c r="N527" s="217"/>
      <c r="O527" s="190">
        <f>L527+M527+N527</f>
        <v>29.430000000000064</v>
      </c>
      <c r="P527" s="276"/>
      <c r="Q527" s="273">
        <f>O527+P527</f>
        <v>29.430000000000064</v>
      </c>
    </row>
    <row r="528" spans="1:17" ht="12.75">
      <c r="A528" s="15" t="s">
        <v>99</v>
      </c>
      <c r="B528" s="56">
        <v>14</v>
      </c>
      <c r="C528" s="111">
        <f>SUM(C529:C533)</f>
        <v>95000</v>
      </c>
      <c r="D528" s="101">
        <f aca="true" t="shared" si="180" ref="D528:Q528">SUM(D529:D533)</f>
        <v>152400</v>
      </c>
      <c r="E528" s="72">
        <f t="shared" si="180"/>
        <v>0</v>
      </c>
      <c r="F528" s="172">
        <f t="shared" si="180"/>
        <v>247400</v>
      </c>
      <c r="G528" s="73">
        <f t="shared" si="180"/>
        <v>40959.5</v>
      </c>
      <c r="H528" s="217">
        <f t="shared" si="180"/>
        <v>0</v>
      </c>
      <c r="I528" s="190">
        <f t="shared" si="180"/>
        <v>288359.5</v>
      </c>
      <c r="J528" s="239">
        <f t="shared" si="180"/>
        <v>15852.68</v>
      </c>
      <c r="K528" s="217">
        <f t="shared" si="180"/>
        <v>0</v>
      </c>
      <c r="L528" s="190">
        <f t="shared" si="180"/>
        <v>304212.18000000005</v>
      </c>
      <c r="M528" s="239">
        <f t="shared" si="180"/>
        <v>14817</v>
      </c>
      <c r="N528" s="217">
        <f t="shared" si="180"/>
        <v>0</v>
      </c>
      <c r="O528" s="190">
        <f t="shared" si="180"/>
        <v>319029.18000000005</v>
      </c>
      <c r="P528" s="281">
        <f t="shared" si="180"/>
        <v>0</v>
      </c>
      <c r="Q528" s="274">
        <f t="shared" si="180"/>
        <v>319029.18000000005</v>
      </c>
    </row>
    <row r="529" spans="1:17" ht="12.75">
      <c r="A529" s="15" t="s">
        <v>100</v>
      </c>
      <c r="B529" s="56"/>
      <c r="C529" s="111">
        <v>79500</v>
      </c>
      <c r="D529" s="141">
        <f>29774+700+3850+400+27800</f>
        <v>62524</v>
      </c>
      <c r="E529" s="83"/>
      <c r="F529" s="172">
        <f t="shared" si="178"/>
        <v>142024</v>
      </c>
      <c r="G529" s="73">
        <f>-225+7610+987.7+339.5+4000+4180+9800</f>
        <v>26692.2</v>
      </c>
      <c r="H529" s="217"/>
      <c r="I529" s="190">
        <f>F529+G529+H529</f>
        <v>168716.2</v>
      </c>
      <c r="J529" s="239">
        <f>396-270+7175.11+2203.81+695.88+7000</f>
        <v>17200.8</v>
      </c>
      <c r="K529" s="217"/>
      <c r="L529" s="190">
        <f>I529+J529+K529</f>
        <v>185917</v>
      </c>
      <c r="M529" s="239">
        <f>-1040+8266-4538.81</f>
        <v>2687.1899999999996</v>
      </c>
      <c r="N529" s="217"/>
      <c r="O529" s="190">
        <f>L529+M529+N529</f>
        <v>188604.19</v>
      </c>
      <c r="P529" s="276">
        <f>-1583</f>
        <v>-1583</v>
      </c>
      <c r="Q529" s="273">
        <f aca="true" t="shared" si="181" ref="Q529:Q576">O529+P529</f>
        <v>187021.19</v>
      </c>
    </row>
    <row r="530" spans="1:17" ht="12.75">
      <c r="A530" s="15" t="s">
        <v>101</v>
      </c>
      <c r="B530" s="56"/>
      <c r="C530" s="111">
        <v>10500</v>
      </c>
      <c r="D530" s="101">
        <f>15699+1700</f>
        <v>17399</v>
      </c>
      <c r="E530" s="72"/>
      <c r="F530" s="172">
        <f t="shared" si="178"/>
        <v>27899</v>
      </c>
      <c r="G530" s="73">
        <f>305+490-987.7+820-10030.9</f>
        <v>-9403.6</v>
      </c>
      <c r="H530" s="217"/>
      <c r="I530" s="190">
        <f>F530+G530+H530</f>
        <v>18495.4</v>
      </c>
      <c r="J530" s="239">
        <f>452+270-2203.81</f>
        <v>-1481.81</v>
      </c>
      <c r="K530" s="217"/>
      <c r="L530" s="190">
        <f>I530+J530+K530</f>
        <v>17013.59</v>
      </c>
      <c r="M530" s="239">
        <f>1040+3734+6538.81</f>
        <v>11312.810000000001</v>
      </c>
      <c r="N530" s="217"/>
      <c r="O530" s="190">
        <f>L530+M530+N530</f>
        <v>28326.4</v>
      </c>
      <c r="P530" s="276">
        <f>1583</f>
        <v>1583</v>
      </c>
      <c r="Q530" s="273">
        <f t="shared" si="181"/>
        <v>29909.4</v>
      </c>
    </row>
    <row r="531" spans="1:17" ht="13.5" customHeight="1">
      <c r="A531" s="15" t="s">
        <v>102</v>
      </c>
      <c r="B531" s="56"/>
      <c r="C531" s="111"/>
      <c r="D531" s="101">
        <f>53033+500+15000</f>
        <v>68533</v>
      </c>
      <c r="E531" s="72"/>
      <c r="F531" s="172">
        <f t="shared" si="178"/>
        <v>68533</v>
      </c>
      <c r="G531" s="73">
        <f>-4000+13120+7000+11500</f>
        <v>27620</v>
      </c>
      <c r="H531" s="217"/>
      <c r="I531" s="190">
        <f>F531+G531+H531</f>
        <v>96153</v>
      </c>
      <c r="J531" s="263">
        <f>-848+981.69</f>
        <v>133.69000000000005</v>
      </c>
      <c r="K531" s="217"/>
      <c r="L531" s="190">
        <f>I531+J531+K531</f>
        <v>96286.69</v>
      </c>
      <c r="M531" s="239"/>
      <c r="N531" s="217"/>
      <c r="O531" s="190">
        <f>L531+M531+N531</f>
        <v>96286.69</v>
      </c>
      <c r="P531" s="276"/>
      <c r="Q531" s="273">
        <f t="shared" si="181"/>
        <v>96286.69</v>
      </c>
    </row>
    <row r="532" spans="1:17" ht="13.5" customHeight="1">
      <c r="A532" s="16" t="s">
        <v>122</v>
      </c>
      <c r="B532" s="56"/>
      <c r="C532" s="111"/>
      <c r="D532" s="101">
        <f>8944</f>
        <v>8944</v>
      </c>
      <c r="E532" s="72"/>
      <c r="F532" s="172">
        <f t="shared" si="178"/>
        <v>8944</v>
      </c>
      <c r="G532" s="73">
        <f>-80-4100+230.9</f>
        <v>-3949.1</v>
      </c>
      <c r="H532" s="217"/>
      <c r="I532" s="190">
        <f>F532+G532+H532</f>
        <v>4994.9</v>
      </c>
      <c r="J532" s="239"/>
      <c r="K532" s="217"/>
      <c r="L532" s="190">
        <f>I532+J532+K532</f>
        <v>4994.9</v>
      </c>
      <c r="M532" s="239">
        <f>2817-300-1700</f>
        <v>817</v>
      </c>
      <c r="N532" s="217"/>
      <c r="O532" s="190">
        <f>L532+M532+N532</f>
        <v>5811.9</v>
      </c>
      <c r="P532" s="276"/>
      <c r="Q532" s="273">
        <f t="shared" si="181"/>
        <v>5811.9</v>
      </c>
    </row>
    <row r="533" spans="1:17" ht="12.75">
      <c r="A533" s="15" t="s">
        <v>103</v>
      </c>
      <c r="B533" s="56"/>
      <c r="C533" s="111">
        <v>5000</v>
      </c>
      <c r="D533" s="101">
        <f>-5000</f>
        <v>-5000</v>
      </c>
      <c r="E533" s="72"/>
      <c r="F533" s="172">
        <f t="shared" si="178"/>
        <v>0</v>
      </c>
      <c r="G533" s="73"/>
      <c r="H533" s="217"/>
      <c r="I533" s="190">
        <f>F533+G533+H533</f>
        <v>0</v>
      </c>
      <c r="J533" s="239"/>
      <c r="K533" s="217"/>
      <c r="L533" s="190">
        <f>I533+J533+K533</f>
        <v>0</v>
      </c>
      <c r="M533" s="239"/>
      <c r="N533" s="217"/>
      <c r="O533" s="190">
        <f>L533+M533+N533</f>
        <v>0</v>
      </c>
      <c r="P533" s="276"/>
      <c r="Q533" s="273">
        <f t="shared" si="181"/>
        <v>0</v>
      </c>
    </row>
    <row r="534" spans="1:17" ht="12.75">
      <c r="A534" s="15" t="s">
        <v>104</v>
      </c>
      <c r="B534" s="56">
        <v>15</v>
      </c>
      <c r="C534" s="111">
        <f>SUM(C535:C541)</f>
        <v>50000</v>
      </c>
      <c r="D534" s="101">
        <f aca="true" t="shared" si="182" ref="D534:Q534">SUM(D535:D541)</f>
        <v>436122.12</v>
      </c>
      <c r="E534" s="72">
        <f t="shared" si="182"/>
        <v>0</v>
      </c>
      <c r="F534" s="172">
        <f t="shared" si="182"/>
        <v>486122.12</v>
      </c>
      <c r="G534" s="73">
        <f t="shared" si="182"/>
        <v>189616</v>
      </c>
      <c r="H534" s="217">
        <f t="shared" si="182"/>
        <v>0</v>
      </c>
      <c r="I534" s="190">
        <f t="shared" si="182"/>
        <v>675738.12</v>
      </c>
      <c r="J534" s="239">
        <f t="shared" si="182"/>
        <v>71241.5</v>
      </c>
      <c r="K534" s="217">
        <f t="shared" si="182"/>
        <v>0</v>
      </c>
      <c r="L534" s="190">
        <f t="shared" si="182"/>
        <v>746979.62</v>
      </c>
      <c r="M534" s="239">
        <f t="shared" si="182"/>
        <v>93000</v>
      </c>
      <c r="N534" s="217">
        <f t="shared" si="182"/>
        <v>0</v>
      </c>
      <c r="O534" s="190">
        <f t="shared" si="182"/>
        <v>839979.62</v>
      </c>
      <c r="P534" s="281">
        <f t="shared" si="182"/>
        <v>0</v>
      </c>
      <c r="Q534" s="274">
        <f t="shared" si="182"/>
        <v>839979.62</v>
      </c>
    </row>
    <row r="535" spans="1:17" ht="12.75">
      <c r="A535" s="15" t="s">
        <v>105</v>
      </c>
      <c r="B535" s="56"/>
      <c r="C535" s="111">
        <v>16340</v>
      </c>
      <c r="D535" s="101">
        <f>51487.06+221833+70000-605+42427</f>
        <v>385142.06</v>
      </c>
      <c r="E535" s="72"/>
      <c r="F535" s="172">
        <f t="shared" si="178"/>
        <v>401482.06</v>
      </c>
      <c r="G535" s="73">
        <f>750+70000+500+122500+3178.9</f>
        <v>196928.9</v>
      </c>
      <c r="H535" s="217"/>
      <c r="I535" s="190">
        <f aca="true" t="shared" si="183" ref="I535:I541">F535+G535+H535</f>
        <v>598410.96</v>
      </c>
      <c r="J535" s="239">
        <f>50+10791.5+30000+27800</f>
        <v>68641.5</v>
      </c>
      <c r="K535" s="217"/>
      <c r="L535" s="190">
        <f aca="true" t="shared" si="184" ref="L535:L541">I535+J535+K535</f>
        <v>667052.46</v>
      </c>
      <c r="M535" s="239">
        <f>1000+7300+20000+3000+60000-900+700</f>
        <v>91100</v>
      </c>
      <c r="N535" s="217"/>
      <c r="O535" s="190">
        <f aca="true" t="shared" si="185" ref="O535:O541">L535+M535+N535</f>
        <v>758152.46</v>
      </c>
      <c r="P535" s="276">
        <f>452.2</f>
        <v>452.2</v>
      </c>
      <c r="Q535" s="273">
        <f t="shared" si="181"/>
        <v>758604.6599999999</v>
      </c>
    </row>
    <row r="536" spans="1:17" ht="12.75" hidden="1">
      <c r="A536" s="15" t="s">
        <v>106</v>
      </c>
      <c r="B536" s="56"/>
      <c r="C536" s="111"/>
      <c r="D536" s="101"/>
      <c r="E536" s="72"/>
      <c r="F536" s="172">
        <f t="shared" si="178"/>
        <v>0</v>
      </c>
      <c r="G536" s="73"/>
      <c r="H536" s="217"/>
      <c r="I536" s="190">
        <f t="shared" si="183"/>
        <v>0</v>
      </c>
      <c r="J536" s="239"/>
      <c r="K536" s="217"/>
      <c r="L536" s="190">
        <f t="shared" si="184"/>
        <v>0</v>
      </c>
      <c r="M536" s="239"/>
      <c r="N536" s="217"/>
      <c r="O536" s="190">
        <f t="shared" si="185"/>
        <v>0</v>
      </c>
      <c r="P536" s="276"/>
      <c r="Q536" s="273">
        <f t="shared" si="181"/>
        <v>0</v>
      </c>
    </row>
    <row r="537" spans="1:17" ht="12.75" hidden="1">
      <c r="A537" s="15" t="s">
        <v>107</v>
      </c>
      <c r="B537" s="56"/>
      <c r="C537" s="111"/>
      <c r="D537" s="141"/>
      <c r="E537" s="83"/>
      <c r="F537" s="172">
        <f t="shared" si="178"/>
        <v>0</v>
      </c>
      <c r="G537" s="73"/>
      <c r="H537" s="217"/>
      <c r="I537" s="190">
        <f t="shared" si="183"/>
        <v>0</v>
      </c>
      <c r="J537" s="239"/>
      <c r="K537" s="217"/>
      <c r="L537" s="190">
        <f t="shared" si="184"/>
        <v>0</v>
      </c>
      <c r="M537" s="239"/>
      <c r="N537" s="217"/>
      <c r="O537" s="190">
        <f t="shared" si="185"/>
        <v>0</v>
      </c>
      <c r="P537" s="276"/>
      <c r="Q537" s="273">
        <f t="shared" si="181"/>
        <v>0</v>
      </c>
    </row>
    <row r="538" spans="1:17" ht="12.75">
      <c r="A538" s="15" t="s">
        <v>108</v>
      </c>
      <c r="B538" s="56"/>
      <c r="C538" s="111">
        <v>30396</v>
      </c>
      <c r="D538" s="101">
        <f>37957.66</f>
        <v>37957.66</v>
      </c>
      <c r="E538" s="72"/>
      <c r="F538" s="172">
        <f t="shared" si="178"/>
        <v>68353.66</v>
      </c>
      <c r="G538" s="73">
        <f>-5684</f>
        <v>-5684</v>
      </c>
      <c r="H538" s="217"/>
      <c r="I538" s="190">
        <f t="shared" si="183"/>
        <v>62669.66</v>
      </c>
      <c r="J538" s="239"/>
      <c r="K538" s="217"/>
      <c r="L538" s="190">
        <f t="shared" si="184"/>
        <v>62669.66</v>
      </c>
      <c r="M538" s="239"/>
      <c r="N538" s="217"/>
      <c r="O538" s="190">
        <f t="shared" si="185"/>
        <v>62669.66</v>
      </c>
      <c r="P538" s="276"/>
      <c r="Q538" s="273">
        <f t="shared" si="181"/>
        <v>62669.66</v>
      </c>
    </row>
    <row r="539" spans="1:17" ht="12.75">
      <c r="A539" s="15" t="s">
        <v>109</v>
      </c>
      <c r="B539" s="56"/>
      <c r="C539" s="111">
        <v>1979</v>
      </c>
      <c r="D539" s="101">
        <f>401.5</f>
        <v>401.5</v>
      </c>
      <c r="E539" s="72"/>
      <c r="F539" s="172">
        <f t="shared" si="178"/>
        <v>2380.5</v>
      </c>
      <c r="G539" s="73"/>
      <c r="H539" s="217"/>
      <c r="I539" s="190">
        <f t="shared" si="183"/>
        <v>2380.5</v>
      </c>
      <c r="J539" s="242"/>
      <c r="K539" s="217"/>
      <c r="L539" s="190">
        <f t="shared" si="184"/>
        <v>2380.5</v>
      </c>
      <c r="M539" s="239"/>
      <c r="N539" s="217"/>
      <c r="O539" s="190">
        <f t="shared" si="185"/>
        <v>2380.5</v>
      </c>
      <c r="P539" s="276"/>
      <c r="Q539" s="273">
        <f t="shared" si="181"/>
        <v>2380.5</v>
      </c>
    </row>
    <row r="540" spans="1:17" ht="12.75">
      <c r="A540" s="15" t="s">
        <v>110</v>
      </c>
      <c r="B540" s="56"/>
      <c r="C540" s="111"/>
      <c r="D540" s="101">
        <f>4473.9+8167+605</f>
        <v>13245.9</v>
      </c>
      <c r="E540" s="72"/>
      <c r="F540" s="172">
        <f t="shared" si="178"/>
        <v>13245.9</v>
      </c>
      <c r="G540" s="73">
        <f>550+1000-3178.9</f>
        <v>-1628.9</v>
      </c>
      <c r="H540" s="217"/>
      <c r="I540" s="190">
        <f t="shared" si="183"/>
        <v>11617</v>
      </c>
      <c r="J540" s="239">
        <f>50+2650</f>
        <v>2700</v>
      </c>
      <c r="K540" s="217"/>
      <c r="L540" s="190">
        <f t="shared" si="184"/>
        <v>14317</v>
      </c>
      <c r="M540" s="239">
        <f>1900</f>
        <v>1900</v>
      </c>
      <c r="N540" s="217"/>
      <c r="O540" s="190">
        <f t="shared" si="185"/>
        <v>16217</v>
      </c>
      <c r="P540" s="276"/>
      <c r="Q540" s="273">
        <f t="shared" si="181"/>
        <v>16217</v>
      </c>
    </row>
    <row r="541" spans="1:17" ht="12.75">
      <c r="A541" s="15" t="s">
        <v>103</v>
      </c>
      <c r="B541" s="56"/>
      <c r="C541" s="111">
        <v>1285</v>
      </c>
      <c r="D541" s="101">
        <f>-625</f>
        <v>-625</v>
      </c>
      <c r="E541" s="72"/>
      <c r="F541" s="172">
        <f t="shared" si="178"/>
        <v>660</v>
      </c>
      <c r="G541" s="73"/>
      <c r="H541" s="217"/>
      <c r="I541" s="190">
        <f t="shared" si="183"/>
        <v>660</v>
      </c>
      <c r="J541" s="239">
        <f>-100</f>
        <v>-100</v>
      </c>
      <c r="K541" s="217"/>
      <c r="L541" s="190">
        <f t="shared" si="184"/>
        <v>560</v>
      </c>
      <c r="M541" s="239"/>
      <c r="N541" s="217"/>
      <c r="O541" s="190">
        <f t="shared" si="185"/>
        <v>560</v>
      </c>
      <c r="P541" s="276">
        <f>-452.2</f>
        <v>-452.2</v>
      </c>
      <c r="Q541" s="273">
        <f t="shared" si="181"/>
        <v>107.80000000000001</v>
      </c>
    </row>
    <row r="542" spans="1:17" ht="12.75">
      <c r="A542" s="15" t="s">
        <v>111</v>
      </c>
      <c r="B542" s="56">
        <v>16</v>
      </c>
      <c r="C542" s="111">
        <f>SUM(C543:C547)</f>
        <v>5000</v>
      </c>
      <c r="D542" s="101">
        <f aca="true" t="shared" si="186" ref="D542:Q542">SUM(D543:D547)</f>
        <v>4013.59</v>
      </c>
      <c r="E542" s="72">
        <f t="shared" si="186"/>
        <v>0</v>
      </c>
      <c r="F542" s="172">
        <f t="shared" si="186"/>
        <v>9013.59</v>
      </c>
      <c r="G542" s="73">
        <f t="shared" si="186"/>
        <v>0</v>
      </c>
      <c r="H542" s="217">
        <f t="shared" si="186"/>
        <v>0</v>
      </c>
      <c r="I542" s="190">
        <f t="shared" si="186"/>
        <v>9013.59</v>
      </c>
      <c r="J542" s="239">
        <f t="shared" si="186"/>
        <v>3250</v>
      </c>
      <c r="K542" s="217">
        <f t="shared" si="186"/>
        <v>0</v>
      </c>
      <c r="L542" s="190">
        <f t="shared" si="186"/>
        <v>12263.59</v>
      </c>
      <c r="M542" s="239">
        <f t="shared" si="186"/>
        <v>0</v>
      </c>
      <c r="N542" s="217">
        <f t="shared" si="186"/>
        <v>0</v>
      </c>
      <c r="O542" s="190">
        <f t="shared" si="186"/>
        <v>12263.59</v>
      </c>
      <c r="P542" s="281">
        <f t="shared" si="186"/>
        <v>0</v>
      </c>
      <c r="Q542" s="274">
        <f t="shared" si="186"/>
        <v>12263.59</v>
      </c>
    </row>
    <row r="543" spans="1:17" ht="12.75">
      <c r="A543" s="15" t="s">
        <v>100</v>
      </c>
      <c r="B543" s="56"/>
      <c r="C543" s="111">
        <v>4927</v>
      </c>
      <c r="D543" s="101">
        <f>60+350+900</f>
        <v>1310</v>
      </c>
      <c r="E543" s="72"/>
      <c r="F543" s="172">
        <f t="shared" si="178"/>
        <v>6237</v>
      </c>
      <c r="G543" s="73">
        <f>-764.4</f>
        <v>-764.4</v>
      </c>
      <c r="H543" s="217"/>
      <c r="I543" s="190">
        <f>F543+G543+H543</f>
        <v>5472.6</v>
      </c>
      <c r="J543" s="239">
        <f>-24.2</f>
        <v>-24.2</v>
      </c>
      <c r="K543" s="217"/>
      <c r="L543" s="190">
        <f>I543+J543+K543</f>
        <v>5448.400000000001</v>
      </c>
      <c r="M543" s="239"/>
      <c r="N543" s="217"/>
      <c r="O543" s="190">
        <f>L543+M543+N543</f>
        <v>5448.400000000001</v>
      </c>
      <c r="P543" s="276"/>
      <c r="Q543" s="273">
        <f t="shared" si="181"/>
        <v>5448.400000000001</v>
      </c>
    </row>
    <row r="544" spans="1:17" ht="12.75">
      <c r="A544" s="15" t="s">
        <v>101</v>
      </c>
      <c r="B544" s="56"/>
      <c r="C544" s="111"/>
      <c r="D544" s="101">
        <f>200+350</f>
        <v>550</v>
      </c>
      <c r="E544" s="72"/>
      <c r="F544" s="172">
        <f t="shared" si="178"/>
        <v>550</v>
      </c>
      <c r="G544" s="73"/>
      <c r="H544" s="217"/>
      <c r="I544" s="190">
        <f>F544+G544+H544</f>
        <v>550</v>
      </c>
      <c r="J544" s="239">
        <f>750</f>
        <v>750</v>
      </c>
      <c r="K544" s="217"/>
      <c r="L544" s="190">
        <f>I544+J544+K544</f>
        <v>1300</v>
      </c>
      <c r="M544" s="239"/>
      <c r="N544" s="217"/>
      <c r="O544" s="190">
        <f>L544+M544+N544</f>
        <v>1300</v>
      </c>
      <c r="P544" s="276"/>
      <c r="Q544" s="273">
        <f t="shared" si="181"/>
        <v>1300</v>
      </c>
    </row>
    <row r="545" spans="1:17" ht="12.75">
      <c r="A545" s="15" t="s">
        <v>102</v>
      </c>
      <c r="B545" s="56"/>
      <c r="C545" s="111"/>
      <c r="D545" s="101">
        <f>1959.44+100</f>
        <v>2059.44</v>
      </c>
      <c r="E545" s="72"/>
      <c r="F545" s="172">
        <f t="shared" si="178"/>
        <v>2059.44</v>
      </c>
      <c r="G545" s="73">
        <f>50+864.4</f>
        <v>914.4</v>
      </c>
      <c r="H545" s="217"/>
      <c r="I545" s="190">
        <f>F545+G545+H545</f>
        <v>2973.84</v>
      </c>
      <c r="J545" s="239">
        <f>24.2+2500</f>
        <v>2524.2</v>
      </c>
      <c r="K545" s="217"/>
      <c r="L545" s="190">
        <f>I545+J545+K545</f>
        <v>5498.04</v>
      </c>
      <c r="M545" s="239"/>
      <c r="N545" s="217"/>
      <c r="O545" s="190">
        <f>L545+M545+N545</f>
        <v>5498.04</v>
      </c>
      <c r="P545" s="276"/>
      <c r="Q545" s="273">
        <f t="shared" si="181"/>
        <v>5498.04</v>
      </c>
    </row>
    <row r="546" spans="1:17" ht="12.75" hidden="1">
      <c r="A546" s="15" t="s">
        <v>110</v>
      </c>
      <c r="B546" s="56"/>
      <c r="C546" s="111"/>
      <c r="D546" s="101"/>
      <c r="E546" s="72"/>
      <c r="F546" s="172"/>
      <c r="G546" s="73"/>
      <c r="H546" s="217"/>
      <c r="I546" s="190">
        <f>F546+G546+H546</f>
        <v>0</v>
      </c>
      <c r="J546" s="242"/>
      <c r="K546" s="217"/>
      <c r="L546" s="190">
        <f>I546+J546+K546</f>
        <v>0</v>
      </c>
      <c r="M546" s="239"/>
      <c r="N546" s="217"/>
      <c r="O546" s="190">
        <f>L546+M546+N546</f>
        <v>0</v>
      </c>
      <c r="P546" s="276"/>
      <c r="Q546" s="273"/>
    </row>
    <row r="547" spans="1:17" ht="12.75">
      <c r="A547" s="15" t="s">
        <v>103</v>
      </c>
      <c r="B547" s="56"/>
      <c r="C547" s="111">
        <v>73</v>
      </c>
      <c r="D547" s="101">
        <f>794.15-700</f>
        <v>94.14999999999998</v>
      </c>
      <c r="E547" s="72"/>
      <c r="F547" s="172">
        <f t="shared" si="178"/>
        <v>167.14999999999998</v>
      </c>
      <c r="G547" s="73">
        <f>-50-100</f>
        <v>-150</v>
      </c>
      <c r="H547" s="217"/>
      <c r="I547" s="190">
        <f>F547+G547+H547</f>
        <v>17.149999999999977</v>
      </c>
      <c r="J547" s="239"/>
      <c r="K547" s="217"/>
      <c r="L547" s="190">
        <f>I547+J547+K547</f>
        <v>17.149999999999977</v>
      </c>
      <c r="M547" s="239"/>
      <c r="N547" s="217"/>
      <c r="O547" s="190">
        <f>L547+M547+N547</f>
        <v>17.149999999999977</v>
      </c>
      <c r="P547" s="276"/>
      <c r="Q547" s="273">
        <f t="shared" si="181"/>
        <v>17.149999999999977</v>
      </c>
    </row>
    <row r="548" spans="1:17" ht="12.75">
      <c r="A548" s="15" t="s">
        <v>91</v>
      </c>
      <c r="B548" s="56">
        <v>18</v>
      </c>
      <c r="C548" s="111">
        <f>C549+C550</f>
        <v>1670</v>
      </c>
      <c r="D548" s="101">
        <f aca="true" t="shared" si="187" ref="D548:Q548">D549+D550</f>
        <v>417.88</v>
      </c>
      <c r="E548" s="72">
        <f t="shared" si="187"/>
        <v>0</v>
      </c>
      <c r="F548" s="172">
        <f t="shared" si="187"/>
        <v>2087.88</v>
      </c>
      <c r="G548" s="73">
        <f t="shared" si="187"/>
        <v>0</v>
      </c>
      <c r="H548" s="217">
        <f t="shared" si="187"/>
        <v>0</v>
      </c>
      <c r="I548" s="190">
        <f t="shared" si="187"/>
        <v>2087.88</v>
      </c>
      <c r="J548" s="239">
        <f t="shared" si="187"/>
        <v>0</v>
      </c>
      <c r="K548" s="217">
        <f t="shared" si="187"/>
        <v>0</v>
      </c>
      <c r="L548" s="190">
        <f t="shared" si="187"/>
        <v>2087.88</v>
      </c>
      <c r="M548" s="239">
        <f t="shared" si="187"/>
        <v>0</v>
      </c>
      <c r="N548" s="217">
        <f t="shared" si="187"/>
        <v>0</v>
      </c>
      <c r="O548" s="190">
        <f t="shared" si="187"/>
        <v>2087.88</v>
      </c>
      <c r="P548" s="281">
        <f t="shared" si="187"/>
        <v>0</v>
      </c>
      <c r="Q548" s="274">
        <f t="shared" si="187"/>
        <v>2087.88</v>
      </c>
    </row>
    <row r="549" spans="1:17" ht="12.75">
      <c r="A549" s="15" t="s">
        <v>92</v>
      </c>
      <c r="B549" s="56"/>
      <c r="C549" s="111">
        <v>1670</v>
      </c>
      <c r="D549" s="101">
        <f>417.88</f>
        <v>417.88</v>
      </c>
      <c r="E549" s="72"/>
      <c r="F549" s="172">
        <f>C549+D549+E549</f>
        <v>2087.88</v>
      </c>
      <c r="G549" s="73"/>
      <c r="H549" s="217"/>
      <c r="I549" s="190">
        <f>F549+G549+H549</f>
        <v>2087.88</v>
      </c>
      <c r="J549" s="239"/>
      <c r="K549" s="217"/>
      <c r="L549" s="190">
        <f>I549+J549+K549</f>
        <v>2087.88</v>
      </c>
      <c r="M549" s="239"/>
      <c r="N549" s="217"/>
      <c r="O549" s="190">
        <f>L549+M549+N549</f>
        <v>2087.88</v>
      </c>
      <c r="P549" s="276"/>
      <c r="Q549" s="273">
        <f t="shared" si="181"/>
        <v>2087.88</v>
      </c>
    </row>
    <row r="550" spans="1:17" ht="12.75" hidden="1">
      <c r="A550" s="15" t="s">
        <v>93</v>
      </c>
      <c r="B550" s="56"/>
      <c r="C550" s="111">
        <v>0</v>
      </c>
      <c r="D550" s="101"/>
      <c r="E550" s="72"/>
      <c r="F550" s="172">
        <f>C550+D550+E550</f>
        <v>0</v>
      </c>
      <c r="G550" s="73"/>
      <c r="H550" s="217"/>
      <c r="I550" s="190">
        <f>F550+G550+H550</f>
        <v>0</v>
      </c>
      <c r="J550" s="239"/>
      <c r="K550" s="217"/>
      <c r="L550" s="190">
        <f>I550+J550+K550</f>
        <v>0</v>
      </c>
      <c r="M550" s="239"/>
      <c r="N550" s="217"/>
      <c r="O550" s="190">
        <f>L550+M550+N550</f>
        <v>0</v>
      </c>
      <c r="P550" s="276"/>
      <c r="Q550" s="273">
        <f t="shared" si="181"/>
        <v>0</v>
      </c>
    </row>
    <row r="551" spans="1:17" ht="12.75">
      <c r="A551" s="57" t="s">
        <v>226</v>
      </c>
      <c r="B551" s="56">
        <v>19</v>
      </c>
      <c r="C551" s="111">
        <f>C552+C553</f>
        <v>2000</v>
      </c>
      <c r="D551" s="101">
        <f aca="true" t="shared" si="188" ref="D551:Q551">D552+D553</f>
        <v>2274.74</v>
      </c>
      <c r="E551" s="72">
        <f t="shared" si="188"/>
        <v>0</v>
      </c>
      <c r="F551" s="172">
        <f t="shared" si="188"/>
        <v>4274.74</v>
      </c>
      <c r="G551" s="73">
        <f t="shared" si="188"/>
        <v>0</v>
      </c>
      <c r="H551" s="217">
        <f t="shared" si="188"/>
        <v>0</v>
      </c>
      <c r="I551" s="190">
        <f t="shared" si="188"/>
        <v>4274.74</v>
      </c>
      <c r="J551" s="239">
        <f t="shared" si="188"/>
        <v>0</v>
      </c>
      <c r="K551" s="217">
        <f t="shared" si="188"/>
        <v>0</v>
      </c>
      <c r="L551" s="190">
        <f t="shared" si="188"/>
        <v>4274.74</v>
      </c>
      <c r="M551" s="239">
        <f t="shared" si="188"/>
        <v>0</v>
      </c>
      <c r="N551" s="217">
        <f t="shared" si="188"/>
        <v>0</v>
      </c>
      <c r="O551" s="190">
        <f t="shared" si="188"/>
        <v>4274.74</v>
      </c>
      <c r="P551" s="281">
        <f t="shared" si="188"/>
        <v>0</v>
      </c>
      <c r="Q551" s="274">
        <f t="shared" si="188"/>
        <v>4274.74</v>
      </c>
    </row>
    <row r="552" spans="1:17" ht="12.75">
      <c r="A552" s="15" t="s">
        <v>92</v>
      </c>
      <c r="B552" s="56"/>
      <c r="C552" s="111">
        <v>2000</v>
      </c>
      <c r="D552" s="101">
        <f>2051.27</f>
        <v>2051.27</v>
      </c>
      <c r="E552" s="72"/>
      <c r="F552" s="172">
        <f>C552+D552+E552</f>
        <v>4051.27</v>
      </c>
      <c r="G552" s="73"/>
      <c r="H552" s="217"/>
      <c r="I552" s="190">
        <f>F552+G552+H552</f>
        <v>4051.27</v>
      </c>
      <c r="J552" s="239"/>
      <c r="K552" s="217"/>
      <c r="L552" s="190">
        <f>I552+J552+K552</f>
        <v>4051.27</v>
      </c>
      <c r="M552" s="239"/>
      <c r="N552" s="217"/>
      <c r="O552" s="190">
        <f>L552+M552+N552</f>
        <v>4051.27</v>
      </c>
      <c r="P552" s="276"/>
      <c r="Q552" s="273">
        <f t="shared" si="181"/>
        <v>4051.27</v>
      </c>
    </row>
    <row r="553" spans="1:17" ht="12.75">
      <c r="A553" s="15" t="s">
        <v>93</v>
      </c>
      <c r="B553" s="56"/>
      <c r="C553" s="111"/>
      <c r="D553" s="101">
        <f>223.47</f>
        <v>223.47</v>
      </c>
      <c r="E553" s="72"/>
      <c r="F553" s="172">
        <f>C553+D553+E553</f>
        <v>223.47</v>
      </c>
      <c r="G553" s="73"/>
      <c r="H553" s="217"/>
      <c r="I553" s="190">
        <f>F553+G553+H553</f>
        <v>223.47</v>
      </c>
      <c r="J553" s="239"/>
      <c r="K553" s="217"/>
      <c r="L553" s="190">
        <f>I553+J553+K553</f>
        <v>223.47</v>
      </c>
      <c r="M553" s="239"/>
      <c r="N553" s="217"/>
      <c r="O553" s="190">
        <f>L553+M553+N553</f>
        <v>223.47</v>
      </c>
      <c r="P553" s="276"/>
      <c r="Q553" s="273">
        <f t="shared" si="181"/>
        <v>223.47</v>
      </c>
    </row>
    <row r="554" spans="1:17" ht="12.75">
      <c r="A554" s="15" t="s">
        <v>112</v>
      </c>
      <c r="B554" s="56">
        <v>28</v>
      </c>
      <c r="C554" s="111">
        <f>SUM(C555:C559)</f>
        <v>30000</v>
      </c>
      <c r="D554" s="101">
        <f aca="true" t="shared" si="189" ref="D554:Q554">SUM(D555:D559)</f>
        <v>45846.26</v>
      </c>
      <c r="E554" s="72">
        <f t="shared" si="189"/>
        <v>0</v>
      </c>
      <c r="F554" s="172">
        <f t="shared" si="189"/>
        <v>75846.26000000001</v>
      </c>
      <c r="G554" s="73">
        <f t="shared" si="189"/>
        <v>-5500</v>
      </c>
      <c r="H554" s="217">
        <f t="shared" si="189"/>
        <v>0</v>
      </c>
      <c r="I554" s="190">
        <f t="shared" si="189"/>
        <v>70346.26000000001</v>
      </c>
      <c r="J554" s="239">
        <f t="shared" si="189"/>
        <v>-2216.3</v>
      </c>
      <c r="K554" s="217">
        <f t="shared" si="189"/>
        <v>0</v>
      </c>
      <c r="L554" s="190">
        <f t="shared" si="189"/>
        <v>68129.95999999999</v>
      </c>
      <c r="M554" s="239">
        <f t="shared" si="189"/>
        <v>0</v>
      </c>
      <c r="N554" s="217">
        <f t="shared" si="189"/>
        <v>0</v>
      </c>
      <c r="O554" s="190">
        <f t="shared" si="189"/>
        <v>68129.95999999999</v>
      </c>
      <c r="P554" s="281">
        <f t="shared" si="189"/>
        <v>0</v>
      </c>
      <c r="Q554" s="274">
        <f t="shared" si="189"/>
        <v>68129.95999999999</v>
      </c>
    </row>
    <row r="555" spans="1:17" ht="12.75">
      <c r="A555" s="15" t="s">
        <v>100</v>
      </c>
      <c r="B555" s="56"/>
      <c r="C555" s="111">
        <v>16800</v>
      </c>
      <c r="D555" s="141">
        <f>8596.79+3300-3800</f>
        <v>8096.790000000001</v>
      </c>
      <c r="E555" s="72"/>
      <c r="F555" s="172">
        <f t="shared" si="178"/>
        <v>24896.79</v>
      </c>
      <c r="G555" s="73"/>
      <c r="H555" s="217"/>
      <c r="I555" s="190">
        <f>F555+G555+H555</f>
        <v>24896.79</v>
      </c>
      <c r="J555" s="239">
        <f>5000</f>
        <v>5000</v>
      </c>
      <c r="K555" s="217"/>
      <c r="L555" s="190">
        <f>I555+J555+K555</f>
        <v>29896.79</v>
      </c>
      <c r="M555" s="239"/>
      <c r="N555" s="217"/>
      <c r="O555" s="190">
        <f>L555+M555+N555</f>
        <v>29896.79</v>
      </c>
      <c r="P555" s="276">
        <f>3671.73</f>
        <v>3671.73</v>
      </c>
      <c r="Q555" s="273">
        <f t="shared" si="181"/>
        <v>33568.520000000004</v>
      </c>
    </row>
    <row r="556" spans="1:17" ht="12.75">
      <c r="A556" s="15" t="s">
        <v>101</v>
      </c>
      <c r="B556" s="56"/>
      <c r="C556" s="111">
        <v>800</v>
      </c>
      <c r="D556" s="101">
        <f>850+1000</f>
        <v>1850</v>
      </c>
      <c r="E556" s="72"/>
      <c r="F556" s="172">
        <f t="shared" si="178"/>
        <v>2650</v>
      </c>
      <c r="G556" s="73"/>
      <c r="H556" s="217"/>
      <c r="I556" s="190">
        <f>F556+G556+H556</f>
        <v>2650</v>
      </c>
      <c r="J556" s="239"/>
      <c r="K556" s="217"/>
      <c r="L556" s="190">
        <f>I556+J556+K556</f>
        <v>2650</v>
      </c>
      <c r="M556" s="239"/>
      <c r="N556" s="217"/>
      <c r="O556" s="190">
        <f>L556+M556+N556</f>
        <v>2650</v>
      </c>
      <c r="P556" s="276">
        <f>-500</f>
        <v>-500</v>
      </c>
      <c r="Q556" s="273">
        <f t="shared" si="181"/>
        <v>2150</v>
      </c>
    </row>
    <row r="557" spans="1:17" ht="12.75">
      <c r="A557" s="15" t="s">
        <v>113</v>
      </c>
      <c r="B557" s="56"/>
      <c r="C557" s="111">
        <v>12400</v>
      </c>
      <c r="D557" s="101">
        <f>31672.81+3000</f>
        <v>34672.81</v>
      </c>
      <c r="E557" s="72"/>
      <c r="F557" s="172">
        <f t="shared" si="178"/>
        <v>47072.81</v>
      </c>
      <c r="G557" s="73">
        <f>-5500</f>
        <v>-5500</v>
      </c>
      <c r="H557" s="217"/>
      <c r="I557" s="190">
        <f>F557+G557+H557</f>
        <v>41572.81</v>
      </c>
      <c r="J557" s="239">
        <f>-4500-2216.3</f>
        <v>-6716.3</v>
      </c>
      <c r="K557" s="217"/>
      <c r="L557" s="190">
        <f>I557+J557+K557</f>
        <v>34856.509999999995</v>
      </c>
      <c r="M557" s="239"/>
      <c r="N557" s="217"/>
      <c r="O557" s="190">
        <f>L557+M557+N557</f>
        <v>34856.509999999995</v>
      </c>
      <c r="P557" s="276">
        <f>-2445.07</f>
        <v>-2445.07</v>
      </c>
      <c r="Q557" s="273">
        <f t="shared" si="181"/>
        <v>32411.439999999995</v>
      </c>
    </row>
    <row r="558" spans="1:17" ht="12.75" hidden="1">
      <c r="A558" s="15" t="s">
        <v>110</v>
      </c>
      <c r="B558" s="56"/>
      <c r="C558" s="111"/>
      <c r="D558" s="101"/>
      <c r="E558" s="72"/>
      <c r="F558" s="172">
        <f t="shared" si="178"/>
        <v>0</v>
      </c>
      <c r="G558" s="73"/>
      <c r="H558" s="217"/>
      <c r="I558" s="190">
        <f>F558+G558+H558</f>
        <v>0</v>
      </c>
      <c r="J558" s="239"/>
      <c r="K558" s="217"/>
      <c r="L558" s="190">
        <f>I558+J558+K558</f>
        <v>0</v>
      </c>
      <c r="M558" s="239"/>
      <c r="N558" s="217"/>
      <c r="O558" s="190">
        <f>L558+M558+N558</f>
        <v>0</v>
      </c>
      <c r="P558" s="276"/>
      <c r="Q558" s="273">
        <f t="shared" si="181"/>
        <v>0</v>
      </c>
    </row>
    <row r="559" spans="1:17" ht="12.75">
      <c r="A559" s="15" t="s">
        <v>103</v>
      </c>
      <c r="B559" s="56"/>
      <c r="C559" s="111"/>
      <c r="D559" s="141">
        <f>1426.66-200</f>
        <v>1226.66</v>
      </c>
      <c r="E559" s="72"/>
      <c r="F559" s="172">
        <f t="shared" si="178"/>
        <v>1226.66</v>
      </c>
      <c r="G559" s="73"/>
      <c r="H559" s="217"/>
      <c r="I559" s="190">
        <f>F559+G559+H559</f>
        <v>1226.66</v>
      </c>
      <c r="J559" s="239">
        <f>-500</f>
        <v>-500</v>
      </c>
      <c r="K559" s="217"/>
      <c r="L559" s="190">
        <f>I559+J559+K559</f>
        <v>726.6600000000001</v>
      </c>
      <c r="M559" s="239"/>
      <c r="N559" s="217"/>
      <c r="O559" s="190">
        <f>L559+M559+N559</f>
        <v>726.6600000000001</v>
      </c>
      <c r="P559" s="276">
        <f>-726.66</f>
        <v>-726.66</v>
      </c>
      <c r="Q559" s="273">
        <f t="shared" si="181"/>
        <v>0</v>
      </c>
    </row>
    <row r="560" spans="1:17" ht="12.75">
      <c r="A560" s="16" t="s">
        <v>114</v>
      </c>
      <c r="B560" s="56"/>
      <c r="C560" s="111">
        <f>C561+C562</f>
        <v>330001</v>
      </c>
      <c r="D560" s="101">
        <f aca="true" t="shared" si="190" ref="D560:Q560">D561+D562</f>
        <v>-278827.25</v>
      </c>
      <c r="E560" s="72">
        <f t="shared" si="190"/>
        <v>0</v>
      </c>
      <c r="F560" s="172">
        <f t="shared" si="190"/>
        <v>51173.75</v>
      </c>
      <c r="G560" s="73">
        <f t="shared" si="190"/>
        <v>-8969.94</v>
      </c>
      <c r="H560" s="217">
        <f t="shared" si="190"/>
        <v>0</v>
      </c>
      <c r="I560" s="190">
        <f t="shared" si="190"/>
        <v>42203.81</v>
      </c>
      <c r="J560" s="239">
        <f t="shared" si="190"/>
        <v>-33250</v>
      </c>
      <c r="K560" s="217">
        <f t="shared" si="190"/>
        <v>0</v>
      </c>
      <c r="L560" s="190">
        <f t="shared" si="190"/>
        <v>8953.81</v>
      </c>
      <c r="M560" s="239">
        <f t="shared" si="190"/>
        <v>-2700</v>
      </c>
      <c r="N560" s="217">
        <f t="shared" si="190"/>
        <v>0</v>
      </c>
      <c r="O560" s="190">
        <f t="shared" si="190"/>
        <v>6253.8099999999995</v>
      </c>
      <c r="P560" s="281">
        <f t="shared" si="190"/>
        <v>0</v>
      </c>
      <c r="Q560" s="274">
        <f t="shared" si="190"/>
        <v>6253.8099999999995</v>
      </c>
    </row>
    <row r="561" spans="1:17" ht="12.75">
      <c r="A561" s="16" t="s">
        <v>212</v>
      </c>
      <c r="B561" s="56"/>
      <c r="C561" s="111">
        <v>330000</v>
      </c>
      <c r="D561" s="101">
        <f>-230000-70000+17500-1000</f>
        <v>-283500</v>
      </c>
      <c r="E561" s="72"/>
      <c r="F561" s="172">
        <f t="shared" si="178"/>
        <v>46500</v>
      </c>
      <c r="G561" s="73">
        <f>-11500</f>
        <v>-11500</v>
      </c>
      <c r="H561" s="217"/>
      <c r="I561" s="190">
        <f>F561+G561+H561</f>
        <v>35000</v>
      </c>
      <c r="J561" s="242">
        <f>-30000-2500</f>
        <v>-32500</v>
      </c>
      <c r="K561" s="217"/>
      <c r="L561" s="190">
        <f>I561+J561+K561</f>
        <v>2500</v>
      </c>
      <c r="M561" s="239">
        <f>900-700</f>
        <v>200</v>
      </c>
      <c r="N561" s="217"/>
      <c r="O561" s="190">
        <f>L561+M561+N561</f>
        <v>2700</v>
      </c>
      <c r="P561" s="276"/>
      <c r="Q561" s="273">
        <f t="shared" si="181"/>
        <v>2700</v>
      </c>
    </row>
    <row r="562" spans="1:17" ht="12.75">
      <c r="A562" s="19" t="s">
        <v>248</v>
      </c>
      <c r="B562" s="59"/>
      <c r="C562" s="163">
        <v>1</v>
      </c>
      <c r="D562" s="154">
        <f>4645.99+26.76</f>
        <v>4672.75</v>
      </c>
      <c r="E562" s="80"/>
      <c r="F562" s="177">
        <f t="shared" si="178"/>
        <v>4673.75</v>
      </c>
      <c r="G562" s="208">
        <f>2530.06</f>
        <v>2530.06</v>
      </c>
      <c r="H562" s="223"/>
      <c r="I562" s="195">
        <f>F562+G562+H562</f>
        <v>7203.8099999999995</v>
      </c>
      <c r="J562" s="246">
        <f>-750</f>
        <v>-750</v>
      </c>
      <c r="K562" s="223"/>
      <c r="L562" s="195">
        <f>I562+J562+K562</f>
        <v>6453.8099999999995</v>
      </c>
      <c r="M562" s="246">
        <f>-1000-1900</f>
        <v>-2900</v>
      </c>
      <c r="N562" s="223"/>
      <c r="O562" s="195">
        <f>L562+M562+N562</f>
        <v>3553.8099999999995</v>
      </c>
      <c r="P562" s="314"/>
      <c r="Q562" s="280">
        <f t="shared" si="181"/>
        <v>3553.8099999999995</v>
      </c>
    </row>
    <row r="563" spans="1:17" ht="13.5" thickBot="1">
      <c r="A563" s="28" t="s">
        <v>115</v>
      </c>
      <c r="B563" s="60"/>
      <c r="C563" s="112">
        <v>10846.36</v>
      </c>
      <c r="D563" s="101">
        <f>54.6</f>
        <v>54.6</v>
      </c>
      <c r="E563" s="75"/>
      <c r="F563" s="173">
        <f t="shared" si="178"/>
        <v>10900.960000000001</v>
      </c>
      <c r="G563" s="74"/>
      <c r="H563" s="217">
        <f>6941.88</f>
        <v>6941.88</v>
      </c>
      <c r="I563" s="191">
        <f>F563+G563+H563</f>
        <v>17842.84</v>
      </c>
      <c r="J563" s="241"/>
      <c r="K563" s="219"/>
      <c r="L563" s="191">
        <f>I563+J563+K563</f>
        <v>17842.84</v>
      </c>
      <c r="M563" s="239">
        <f>254.89</f>
        <v>254.89</v>
      </c>
      <c r="N563" s="219"/>
      <c r="O563" s="191">
        <f>L563+M563+N563</f>
        <v>18097.73</v>
      </c>
      <c r="P563" s="309"/>
      <c r="Q563" s="275">
        <f>O563+P563</f>
        <v>18097.73</v>
      </c>
    </row>
    <row r="564" spans="1:17" ht="15.75" thickBot="1">
      <c r="A564" s="29" t="s">
        <v>116</v>
      </c>
      <c r="B564" s="63"/>
      <c r="C564" s="117">
        <f aca="true" t="shared" si="191" ref="C564:Q564">+C80+C98+C107+C117+C135+C147+C179+C236+C257+C296+C318+C406+C445+C466+C473+C506+C510+C563+C481+C339+C289</f>
        <v>5982551.079999999</v>
      </c>
      <c r="D564" s="142">
        <f t="shared" si="191"/>
        <v>15027245.449999996</v>
      </c>
      <c r="E564" s="85">
        <f t="shared" si="191"/>
        <v>67442.82</v>
      </c>
      <c r="F564" s="179">
        <f t="shared" si="191"/>
        <v>21077239.35</v>
      </c>
      <c r="G564" s="133">
        <f t="shared" si="191"/>
        <v>1763225.6000000003</v>
      </c>
      <c r="H564" s="226">
        <f t="shared" si="191"/>
        <v>415028.33999999997</v>
      </c>
      <c r="I564" s="197">
        <f t="shared" si="191"/>
        <v>23255493.29</v>
      </c>
      <c r="J564" s="197">
        <f t="shared" si="191"/>
        <v>1094309.01</v>
      </c>
      <c r="K564" s="197">
        <f t="shared" si="191"/>
        <v>35593.59</v>
      </c>
      <c r="L564" s="197">
        <f t="shared" si="191"/>
        <v>24385395.89</v>
      </c>
      <c r="M564" s="259">
        <f t="shared" si="191"/>
        <v>648583.8699999999</v>
      </c>
      <c r="N564" s="226">
        <f t="shared" si="191"/>
        <v>41831.630000000005</v>
      </c>
      <c r="O564" s="197">
        <f t="shared" si="191"/>
        <v>25075811.39</v>
      </c>
      <c r="P564" s="316">
        <f t="shared" si="191"/>
        <v>-236274.06999999998</v>
      </c>
      <c r="Q564" s="283">
        <f t="shared" si="191"/>
        <v>24839537.319999997</v>
      </c>
    </row>
    <row r="565" spans="1:17" ht="13.5" thickBot="1">
      <c r="A565" s="30" t="s">
        <v>117</v>
      </c>
      <c r="B565" s="63"/>
      <c r="C565" s="118">
        <v>-10846.36</v>
      </c>
      <c r="D565" s="157">
        <f>-54.6</f>
        <v>-54.6</v>
      </c>
      <c r="E565" s="135"/>
      <c r="F565" s="180">
        <f t="shared" si="178"/>
        <v>-10900.960000000001</v>
      </c>
      <c r="G565" s="134"/>
      <c r="H565" s="227"/>
      <c r="I565" s="190">
        <f>F565+G565+H565</f>
        <v>-10900.960000000001</v>
      </c>
      <c r="J565" s="247"/>
      <c r="K565" s="227"/>
      <c r="L565" s="190">
        <f>I565+J565+K565</f>
        <v>-10900.960000000001</v>
      </c>
      <c r="M565" s="270">
        <f>-254.89</f>
        <v>-254.89</v>
      </c>
      <c r="N565" s="227"/>
      <c r="O565" s="190">
        <f>L565+M565+N565</f>
        <v>-11155.85</v>
      </c>
      <c r="P565" s="317"/>
      <c r="Q565" s="273">
        <f t="shared" si="181"/>
        <v>-11155.85</v>
      </c>
    </row>
    <row r="566" spans="1:17" ht="16.5" thickBot="1">
      <c r="A566" s="31" t="s">
        <v>118</v>
      </c>
      <c r="B566" s="63"/>
      <c r="C566" s="119">
        <f>C564+C565</f>
        <v>5971704.719999999</v>
      </c>
      <c r="D566" s="143">
        <f aca="true" t="shared" si="192" ref="D566:Q566">D564+D565</f>
        <v>15027190.849999996</v>
      </c>
      <c r="E566" s="137">
        <f t="shared" si="192"/>
        <v>67442.82</v>
      </c>
      <c r="F566" s="181">
        <f t="shared" si="192"/>
        <v>21066338.39</v>
      </c>
      <c r="G566" s="136">
        <f t="shared" si="192"/>
        <v>1763225.6000000003</v>
      </c>
      <c r="H566" s="228">
        <f t="shared" si="192"/>
        <v>415028.33999999997</v>
      </c>
      <c r="I566" s="198">
        <f t="shared" si="192"/>
        <v>23244592.33</v>
      </c>
      <c r="J566" s="255">
        <f>J564+J565</f>
        <v>1094309.01</v>
      </c>
      <c r="K566" s="250">
        <f>K564+K565</f>
        <v>35593.59</v>
      </c>
      <c r="L566" s="198">
        <f>L564+L565</f>
        <v>24374494.93</v>
      </c>
      <c r="M566" s="255">
        <f t="shared" si="192"/>
        <v>648328.9799999999</v>
      </c>
      <c r="N566" s="228">
        <f t="shared" si="192"/>
        <v>41831.630000000005</v>
      </c>
      <c r="O566" s="198">
        <f t="shared" si="192"/>
        <v>25064655.54</v>
      </c>
      <c r="P566" s="318">
        <f t="shared" si="192"/>
        <v>-236274.06999999998</v>
      </c>
      <c r="Q566" s="284">
        <f t="shared" si="192"/>
        <v>24828381.469999995</v>
      </c>
    </row>
    <row r="567" spans="1:17" ht="15.75">
      <c r="A567" s="32" t="s">
        <v>26</v>
      </c>
      <c r="B567" s="64"/>
      <c r="C567" s="120"/>
      <c r="D567" s="144"/>
      <c r="E567" s="86"/>
      <c r="F567" s="182"/>
      <c r="G567" s="138"/>
      <c r="H567" s="229"/>
      <c r="I567" s="199"/>
      <c r="J567" s="256"/>
      <c r="K567" s="251"/>
      <c r="L567" s="199"/>
      <c r="M567" s="256"/>
      <c r="N567" s="229"/>
      <c r="O567" s="199"/>
      <c r="P567" s="319"/>
      <c r="Q567" s="285"/>
    </row>
    <row r="568" spans="1:17" ht="15.75">
      <c r="A568" s="33" t="s">
        <v>200</v>
      </c>
      <c r="B568" s="65"/>
      <c r="C568" s="121">
        <f aca="true" t="shared" si="193" ref="C568:Q568">+C81+C99+C108+C118+C136+C148+C180+C237+C258+C297+C319+C407+C446+C467+C474+C507+C512+C563+C565+C482+C340+C290</f>
        <v>4776778.8</v>
      </c>
      <c r="D568" s="145">
        <f t="shared" si="193"/>
        <v>12396087.07</v>
      </c>
      <c r="E568" s="128">
        <f t="shared" si="193"/>
        <v>44249.32</v>
      </c>
      <c r="F568" s="183">
        <f t="shared" si="193"/>
        <v>17217115.189999998</v>
      </c>
      <c r="G568" s="139">
        <f t="shared" si="193"/>
        <v>939021.7200000003</v>
      </c>
      <c r="H568" s="230">
        <f t="shared" si="193"/>
        <v>230723.13</v>
      </c>
      <c r="I568" s="200">
        <f t="shared" si="193"/>
        <v>18386860.039999995</v>
      </c>
      <c r="J568" s="257">
        <f t="shared" si="193"/>
        <v>566379.0599999999</v>
      </c>
      <c r="K568" s="252">
        <f t="shared" si="193"/>
        <v>-6987.77</v>
      </c>
      <c r="L568" s="200">
        <f t="shared" si="193"/>
        <v>18946251.330000002</v>
      </c>
      <c r="M568" s="257">
        <f t="shared" si="193"/>
        <v>327778.48</v>
      </c>
      <c r="N568" s="230">
        <f t="shared" si="193"/>
        <v>-72197.21000000002</v>
      </c>
      <c r="O568" s="200">
        <f t="shared" si="193"/>
        <v>19201832.599999998</v>
      </c>
      <c r="P568" s="320">
        <f t="shared" si="193"/>
        <v>74019.21</v>
      </c>
      <c r="Q568" s="286">
        <f t="shared" si="193"/>
        <v>19275851.809999995</v>
      </c>
    </row>
    <row r="569" spans="1:17" ht="16.5" thickBot="1">
      <c r="A569" s="21" t="s">
        <v>201</v>
      </c>
      <c r="B569" s="66"/>
      <c r="C569" s="122">
        <f aca="true" t="shared" si="194" ref="C569:Q569">+C89+C103+C114+C130+C141+C168+C226+C250+C277+C311+C335+C440+C457+C470+C513+C495+C370+C293</f>
        <v>1194925.92</v>
      </c>
      <c r="D569" s="146">
        <f t="shared" si="194"/>
        <v>2631103.7800000003</v>
      </c>
      <c r="E569" s="129">
        <f t="shared" si="194"/>
        <v>23193.5</v>
      </c>
      <c r="F569" s="184">
        <f t="shared" si="194"/>
        <v>3849223.1999999997</v>
      </c>
      <c r="G569" s="140">
        <f t="shared" si="194"/>
        <v>824203.8800000001</v>
      </c>
      <c r="H569" s="231">
        <f t="shared" si="194"/>
        <v>184305.21000000002</v>
      </c>
      <c r="I569" s="201">
        <f t="shared" si="194"/>
        <v>4857732.29</v>
      </c>
      <c r="J569" s="258">
        <f t="shared" si="194"/>
        <v>527929.95</v>
      </c>
      <c r="K569" s="253">
        <f t="shared" si="194"/>
        <v>42581.36</v>
      </c>
      <c r="L569" s="201">
        <f t="shared" si="194"/>
        <v>5428243.6</v>
      </c>
      <c r="M569" s="258">
        <f t="shared" si="194"/>
        <v>320550.49999999994</v>
      </c>
      <c r="N569" s="231">
        <f t="shared" si="194"/>
        <v>114028.84</v>
      </c>
      <c r="O569" s="201">
        <f t="shared" si="194"/>
        <v>5862822.9399999995</v>
      </c>
      <c r="P569" s="321">
        <f t="shared" si="194"/>
        <v>-310293.28</v>
      </c>
      <c r="Q569" s="287">
        <f t="shared" si="194"/>
        <v>5552529.66</v>
      </c>
    </row>
    <row r="570" spans="1:17" ht="16.5" thickBot="1">
      <c r="A570" s="33" t="s">
        <v>194</v>
      </c>
      <c r="B570" s="65"/>
      <c r="C570" s="117">
        <f aca="true" t="shared" si="195" ref="C570:Q570">C78-C566</f>
        <v>-219999.99999999907</v>
      </c>
      <c r="D570" s="142">
        <f t="shared" si="195"/>
        <v>-2849586.3399999924</v>
      </c>
      <c r="E570" s="85">
        <f t="shared" si="195"/>
        <v>-67442.82</v>
      </c>
      <c r="F570" s="179">
        <f t="shared" si="195"/>
        <v>-3137029.1599999964</v>
      </c>
      <c r="G570" s="133">
        <f t="shared" si="195"/>
        <v>-18881.070000000298</v>
      </c>
      <c r="H570" s="226">
        <f t="shared" si="195"/>
        <v>-247899.79999999996</v>
      </c>
      <c r="I570" s="197">
        <f t="shared" si="195"/>
        <v>-3403810.0299999975</v>
      </c>
      <c r="J570" s="259">
        <f t="shared" si="195"/>
        <v>0</v>
      </c>
      <c r="K570" s="254">
        <f t="shared" si="195"/>
        <v>0</v>
      </c>
      <c r="L570" s="197">
        <f t="shared" si="195"/>
        <v>-3403810.0299999975</v>
      </c>
      <c r="M570" s="259">
        <f t="shared" si="195"/>
        <v>-0.01999999990221113</v>
      </c>
      <c r="N570" s="226">
        <f t="shared" si="195"/>
        <v>0</v>
      </c>
      <c r="O570" s="197">
        <f t="shared" si="195"/>
        <v>-3403810.049999997</v>
      </c>
      <c r="P570" s="316">
        <f t="shared" si="195"/>
        <v>0</v>
      </c>
      <c r="Q570" s="283">
        <f t="shared" si="195"/>
        <v>-3403810.0499999933</v>
      </c>
    </row>
    <row r="571" spans="1:17" ht="15.75">
      <c r="A571" s="32" t="s">
        <v>202</v>
      </c>
      <c r="B571" s="64"/>
      <c r="C571" s="123">
        <f>SUM(C573:C576)</f>
        <v>220000</v>
      </c>
      <c r="D571" s="106">
        <f aca="true" t="shared" si="196" ref="D571:Q571">SUM(D573:D576)</f>
        <v>2849586.3400000003</v>
      </c>
      <c r="E571" s="87">
        <f t="shared" si="196"/>
        <v>67442.82</v>
      </c>
      <c r="F571" s="185">
        <f t="shared" si="196"/>
        <v>3137029.16</v>
      </c>
      <c r="G571" s="92">
        <f t="shared" si="196"/>
        <v>18881.069999999996</v>
      </c>
      <c r="H571" s="232">
        <f t="shared" si="196"/>
        <v>247899.8</v>
      </c>
      <c r="I571" s="202">
        <f t="shared" si="196"/>
        <v>3403810.03</v>
      </c>
      <c r="J571" s="249">
        <f>SUM(J573:J576)</f>
        <v>0</v>
      </c>
      <c r="K571" s="232">
        <f>SUM(K573:K576)</f>
        <v>0</v>
      </c>
      <c r="L571" s="237">
        <f>SUM(L573:L576)</f>
        <v>3403810.03</v>
      </c>
      <c r="M571" s="249">
        <f t="shared" si="196"/>
        <v>0.02</v>
      </c>
      <c r="N571" s="232">
        <f t="shared" si="196"/>
        <v>0</v>
      </c>
      <c r="O571" s="202">
        <f t="shared" si="196"/>
        <v>3403810.05</v>
      </c>
      <c r="P571" s="322">
        <f t="shared" si="196"/>
        <v>0</v>
      </c>
      <c r="Q571" s="288">
        <f t="shared" si="196"/>
        <v>3403810.05</v>
      </c>
    </row>
    <row r="572" spans="1:17" ht="12.75" customHeight="1">
      <c r="A572" s="34" t="s">
        <v>26</v>
      </c>
      <c r="B572" s="67"/>
      <c r="C572" s="164"/>
      <c r="D572" s="158"/>
      <c r="E572" s="88"/>
      <c r="F572" s="186"/>
      <c r="G572" s="209"/>
      <c r="H572" s="233"/>
      <c r="I572" s="203"/>
      <c r="J572" s="248"/>
      <c r="K572" s="233"/>
      <c r="L572" s="203"/>
      <c r="M572" s="248"/>
      <c r="N572" s="233"/>
      <c r="O572" s="203"/>
      <c r="P572" s="276"/>
      <c r="Q572" s="273"/>
    </row>
    <row r="573" spans="1:17" ht="12.75">
      <c r="A573" s="34" t="s">
        <v>119</v>
      </c>
      <c r="B573" s="67"/>
      <c r="C573" s="165">
        <v>400000</v>
      </c>
      <c r="D573" s="159"/>
      <c r="E573" s="98"/>
      <c r="F573" s="187">
        <f>SUM(C573:E573)</f>
        <v>400000</v>
      </c>
      <c r="G573" s="214"/>
      <c r="H573" s="234"/>
      <c r="I573" s="204">
        <f>SUM(F573:H573)</f>
        <v>400000</v>
      </c>
      <c r="J573" s="266"/>
      <c r="K573" s="234"/>
      <c r="L573" s="204">
        <f>SUM(I573:K573)</f>
        <v>400000</v>
      </c>
      <c r="M573" s="266"/>
      <c r="N573" s="234"/>
      <c r="O573" s="204">
        <f>SUM(L573:N573)</f>
        <v>400000</v>
      </c>
      <c r="P573" s="276"/>
      <c r="Q573" s="273">
        <f t="shared" si="181"/>
        <v>400000</v>
      </c>
    </row>
    <row r="574" spans="1:17" ht="12.75">
      <c r="A574" s="35" t="s">
        <v>126</v>
      </c>
      <c r="B574" s="67"/>
      <c r="C574" s="165">
        <v>-180000</v>
      </c>
      <c r="D574" s="159"/>
      <c r="E574" s="98"/>
      <c r="F574" s="187">
        <f>SUM(C574:E574)</f>
        <v>-180000</v>
      </c>
      <c r="G574" s="214"/>
      <c r="H574" s="234"/>
      <c r="I574" s="204">
        <f>SUM(F574:H574)</f>
        <v>-180000</v>
      </c>
      <c r="J574" s="266"/>
      <c r="K574" s="234"/>
      <c r="L574" s="204">
        <f>SUM(I574:K574)</f>
        <v>-180000</v>
      </c>
      <c r="M574" s="266"/>
      <c r="N574" s="234"/>
      <c r="O574" s="204">
        <f>SUM(L574:N574)</f>
        <v>-180000</v>
      </c>
      <c r="P574" s="276"/>
      <c r="Q574" s="273">
        <f t="shared" si="181"/>
        <v>-180000</v>
      </c>
    </row>
    <row r="575" spans="1:17" ht="12.75">
      <c r="A575" s="35" t="s">
        <v>120</v>
      </c>
      <c r="B575" s="213"/>
      <c r="C575" s="165"/>
      <c r="D575" s="159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75" s="98">
        <f>7350+12210+8487+750+31500+7145.82</f>
        <v>67442.82</v>
      </c>
      <c r="F575" s="187">
        <f>SUM(C575:E575)</f>
        <v>2917029.16</v>
      </c>
      <c r="G575" s="214">
        <f>3050.49+9460.46+5000+1370.12</f>
        <v>18881.069999999996</v>
      </c>
      <c r="H575" s="234">
        <f>18053.9+10751.43+212152.59</f>
        <v>240957.91999999998</v>
      </c>
      <c r="I575" s="204">
        <f>SUM(F575:H575)</f>
        <v>3176868.15</v>
      </c>
      <c r="J575" s="266"/>
      <c r="K575" s="234"/>
      <c r="L575" s="204">
        <f>SUM(I575:K575)</f>
        <v>3176868.15</v>
      </c>
      <c r="M575" s="266">
        <f>0.02</f>
        <v>0.02</v>
      </c>
      <c r="N575" s="234"/>
      <c r="O575" s="204">
        <f>SUM(L575:N575)</f>
        <v>3176868.17</v>
      </c>
      <c r="P575" s="323"/>
      <c r="Q575" s="273">
        <f t="shared" si="181"/>
        <v>3176868.17</v>
      </c>
    </row>
    <row r="576" spans="1:17" ht="13.5" thickBot="1">
      <c r="A576" s="43" t="s">
        <v>137</v>
      </c>
      <c r="B576" s="68"/>
      <c r="C576" s="166"/>
      <c r="D576" s="124" t="s">
        <v>180</v>
      </c>
      <c r="E576" s="99"/>
      <c r="F576" s="188">
        <f>SUM(C576:E576)</f>
        <v>0</v>
      </c>
      <c r="G576" s="215"/>
      <c r="H576" s="235">
        <f>6941.88</f>
        <v>6941.88</v>
      </c>
      <c r="I576" s="205">
        <f>SUM(F576:H576)</f>
        <v>6941.88</v>
      </c>
      <c r="J576" s="267">
        <v>0</v>
      </c>
      <c r="K576" s="235">
        <v>0</v>
      </c>
      <c r="L576" s="205">
        <f>SUM(I576:K576)</f>
        <v>6941.88</v>
      </c>
      <c r="M576" s="267"/>
      <c r="N576" s="235"/>
      <c r="O576" s="205">
        <f>SUM(L576:N576)</f>
        <v>6941.88</v>
      </c>
      <c r="P576" s="312"/>
      <c r="Q576" s="289">
        <f t="shared" si="181"/>
        <v>6941.88</v>
      </c>
    </row>
    <row r="577" spans="2:17" ht="12.75">
      <c r="B577" s="69"/>
      <c r="C577" s="84">
        <f aca="true" t="shared" si="197" ref="C577:Q577">C78+C571-C566</f>
        <v>0</v>
      </c>
      <c r="D577" s="84">
        <f t="shared" si="197"/>
        <v>0</v>
      </c>
      <c r="E577" s="84">
        <f t="shared" si="197"/>
        <v>0</v>
      </c>
      <c r="F577" s="84">
        <f t="shared" si="197"/>
        <v>0</v>
      </c>
      <c r="G577" s="84">
        <f t="shared" si="197"/>
        <v>0</v>
      </c>
      <c r="H577" s="94">
        <f t="shared" si="197"/>
        <v>0</v>
      </c>
      <c r="I577" s="206">
        <f t="shared" si="197"/>
        <v>0</v>
      </c>
      <c r="J577" s="94">
        <f t="shared" si="197"/>
        <v>0</v>
      </c>
      <c r="K577" s="94">
        <f t="shared" si="197"/>
        <v>0</v>
      </c>
      <c r="L577" s="94">
        <f t="shared" si="197"/>
        <v>0</v>
      </c>
      <c r="M577" s="94">
        <f t="shared" si="197"/>
        <v>0</v>
      </c>
      <c r="N577" s="94">
        <f t="shared" si="197"/>
        <v>0</v>
      </c>
      <c r="O577" s="94">
        <f t="shared" si="197"/>
        <v>0</v>
      </c>
      <c r="P577" s="324">
        <f t="shared" si="197"/>
        <v>0</v>
      </c>
      <c r="Q577" s="94">
        <f t="shared" si="197"/>
        <v>0</v>
      </c>
    </row>
    <row r="578" spans="2:17" ht="12.75">
      <c r="B578" s="69"/>
      <c r="G578" s="84"/>
      <c r="H578" s="94"/>
      <c r="I578" s="94"/>
      <c r="J578" s="94"/>
      <c r="L578" s="94"/>
      <c r="P578" s="324"/>
      <c r="Q578" s="94"/>
    </row>
    <row r="579" spans="2:17" ht="12.75">
      <c r="B579" s="69"/>
      <c r="D579" s="94"/>
      <c r="G579" s="84"/>
      <c r="H579" s="94"/>
      <c r="I579" s="94"/>
      <c r="J579" s="94"/>
      <c r="L579" s="94"/>
      <c r="O579" s="94"/>
      <c r="P579" s="324"/>
      <c r="Q579" s="94"/>
    </row>
    <row r="580" spans="2:17" ht="12.75">
      <c r="B580" s="69"/>
      <c r="G580" s="84"/>
      <c r="H580" s="94"/>
      <c r="I580" s="94"/>
      <c r="J580" s="94"/>
      <c r="L580" s="94"/>
      <c r="P580" s="324"/>
      <c r="Q580" s="94"/>
    </row>
    <row r="581" spans="2:17" ht="12.75">
      <c r="B581" s="69"/>
      <c r="G581" s="84"/>
      <c r="H581" s="94"/>
      <c r="I581" s="94"/>
      <c r="J581" s="94"/>
      <c r="L581" s="94"/>
      <c r="P581" s="324"/>
      <c r="Q581" s="94"/>
    </row>
    <row r="582" spans="2:17" ht="12.75">
      <c r="B582" s="69"/>
      <c r="G582" s="84"/>
      <c r="H582" s="94"/>
      <c r="I582" s="94"/>
      <c r="J582" s="94"/>
      <c r="L582" s="94"/>
      <c r="P582" s="324"/>
      <c r="Q582" s="94"/>
    </row>
    <row r="583" spans="2:17" ht="12.75">
      <c r="B583" s="69"/>
      <c r="G583" s="84"/>
      <c r="H583" s="94"/>
      <c r="I583" s="94"/>
      <c r="J583" s="94"/>
      <c r="L583" s="94"/>
      <c r="P583" s="324"/>
      <c r="Q583" s="94"/>
    </row>
    <row r="584" spans="2:17" ht="12.75">
      <c r="B584" s="69"/>
      <c r="G584" s="84"/>
      <c r="H584" s="94"/>
      <c r="I584" s="94"/>
      <c r="J584" s="94"/>
      <c r="L584" s="94"/>
      <c r="P584" s="324"/>
      <c r="Q584" s="94"/>
    </row>
    <row r="585" spans="2:17" ht="12.75">
      <c r="B585" s="69"/>
      <c r="G585" s="84"/>
      <c r="H585" s="94"/>
      <c r="I585" s="94"/>
      <c r="J585" s="94"/>
      <c r="L585" s="94"/>
      <c r="P585" s="324"/>
      <c r="Q585" s="94"/>
    </row>
    <row r="586" spans="2:17" ht="12.75">
      <c r="B586" s="69"/>
      <c r="H586" s="94"/>
      <c r="I586" s="94"/>
      <c r="J586" s="94"/>
      <c r="L586" s="94"/>
      <c r="P586" s="324"/>
      <c r="Q586" s="94"/>
    </row>
    <row r="587" spans="2:17" ht="12.75">
      <c r="B587" s="69"/>
      <c r="H587" s="94"/>
      <c r="J587" s="94"/>
      <c r="L587" s="94"/>
      <c r="P587" s="324"/>
      <c r="Q587" s="94"/>
    </row>
    <row r="588" spans="2:17" ht="12.75">
      <c r="B588" s="69"/>
      <c r="H588" s="94"/>
      <c r="J588" s="94"/>
      <c r="L588" s="94"/>
      <c r="P588" s="324"/>
      <c r="Q588" s="94"/>
    </row>
    <row r="589" spans="2:17" ht="12.75">
      <c r="B589" s="69"/>
      <c r="H589" s="94"/>
      <c r="J589" s="94"/>
      <c r="L589" s="94"/>
      <c r="P589" s="324"/>
      <c r="Q589" s="94"/>
    </row>
    <row r="590" spans="2:17" ht="12.75">
      <c r="B590" s="69"/>
      <c r="H590" s="94"/>
      <c r="J590" s="94"/>
      <c r="L590" s="94"/>
      <c r="P590" s="324"/>
      <c r="Q590" s="94"/>
    </row>
    <row r="591" spans="2:17" ht="12.75">
      <c r="B591" s="69"/>
      <c r="H591" s="94"/>
      <c r="J591" s="94"/>
      <c r="L591" s="94"/>
      <c r="P591" s="324"/>
      <c r="Q591" s="94"/>
    </row>
    <row r="592" spans="2:16" ht="12.75">
      <c r="B592" s="69"/>
      <c r="H592" s="94"/>
      <c r="J592" s="94"/>
      <c r="L592" s="94"/>
      <c r="P592" s="325"/>
    </row>
    <row r="593" spans="2:16" ht="12.75">
      <c r="B593" s="69"/>
      <c r="H593" s="94"/>
      <c r="J593" s="94"/>
      <c r="P593" s="325"/>
    </row>
    <row r="594" spans="2:16" ht="12.75">
      <c r="B594" s="69"/>
      <c r="J594" s="94"/>
      <c r="P594" s="325"/>
    </row>
    <row r="595" spans="2:16" ht="12.75">
      <c r="B595" s="69"/>
      <c r="J595" s="94"/>
      <c r="P595" s="325"/>
    </row>
    <row r="596" spans="2:16" ht="12.75">
      <c r="B596" s="69"/>
      <c r="P596" s="325"/>
    </row>
    <row r="597" ht="12.75">
      <c r="P597" s="325"/>
    </row>
    <row r="598" ht="12.75">
      <c r="P598" s="325"/>
    </row>
    <row r="599" ht="12.75">
      <c r="P599" s="325"/>
    </row>
    <row r="600" ht="12.75">
      <c r="P600" s="325"/>
    </row>
    <row r="601" ht="12.75">
      <c r="P601" s="325"/>
    </row>
    <row r="602" ht="12.75">
      <c r="P602" s="325"/>
    </row>
    <row r="603" ht="12.75">
      <c r="P603" s="325"/>
    </row>
    <row r="604" ht="12.75">
      <c r="P604" s="325"/>
    </row>
    <row r="605" ht="12.75">
      <c r="P605" s="325"/>
    </row>
    <row r="606" ht="12.75">
      <c r="P606" s="325"/>
    </row>
    <row r="607" ht="12.75">
      <c r="P607" s="325"/>
    </row>
    <row r="608" ht="12.75">
      <c r="P608" s="325"/>
    </row>
    <row r="609" ht="12.75">
      <c r="P609" s="325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scale="76" r:id="rId1"/>
  <headerFooter scaleWithDoc="0" alignWithMargins="0">
    <oddFooter>&amp;CStránka &amp;P</oddFooter>
  </headerFooter>
  <rowBreaks count="5" manualBreakCount="5">
    <brk id="88" max="16" man="1"/>
    <brk id="184" max="16" man="1"/>
    <brk id="292" max="16" man="1"/>
    <brk id="399" max="16" man="1"/>
    <brk id="4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2024-02-19T14:27:16Z</cp:lastPrinted>
  <dcterms:created xsi:type="dcterms:W3CDTF">2009-01-05T12:05:07Z</dcterms:created>
  <dcterms:modified xsi:type="dcterms:W3CDTF">2024-02-19T14:27:18Z</dcterms:modified>
  <cp:category/>
  <cp:version/>
  <cp:contentType/>
  <cp:contentStatus/>
</cp:coreProperties>
</file>