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1"/>
  </bookViews>
  <sheets>
    <sheet name="2. ZR" sheetId="1" r:id="rId1"/>
    <sheet name="2. ZR vč. PN" sheetId="2" r:id="rId2"/>
  </sheets>
  <definedNames>
    <definedName name="_xlnm.Print_Titles" localSheetId="0">'2. ZR'!$8:$9</definedName>
    <definedName name="_xlnm.Print_Titles" localSheetId="1">'2. ZR vč. PN'!$8:$9</definedName>
    <definedName name="_xlnm.Print_Area" localSheetId="0">'2. ZR'!$A$1:$I$504</definedName>
    <definedName name="_xlnm.Print_Area" localSheetId="1">'2. ZR vč. PN'!$A$1:$I$505</definedName>
    <definedName name="Z_39FD50E0_9911_4D32_8842_5A58F13D310F_.wvu.Cols" localSheetId="0" hidden="1">'2. ZR'!$D:$K,'2. ZR'!$N:$N,'2. ZR'!#REF!</definedName>
    <definedName name="Z_39FD50E0_9911_4D32_8842_5A58F13D310F_.wvu.Cols" localSheetId="1" hidden="1">'2. ZR vč. PN'!$D:$K,'2. ZR vč. PN'!$N:$N,'2. ZR vč. PN'!#REF!</definedName>
    <definedName name="Z_39FD50E0_9911_4D32_8842_5A58F13D310F_.wvu.PrintTitles" localSheetId="0" hidden="1">'2. ZR'!$8:$9</definedName>
    <definedName name="Z_39FD50E0_9911_4D32_8842_5A58F13D310F_.wvu.PrintTitles" localSheetId="1" hidden="1">'2. ZR vč. PN'!$8:$9</definedName>
    <definedName name="Z_39FD50E0_9911_4D32_8842_5A58F13D310F_.wvu.Rows" localSheetId="0" hidden="1">'2. ZR'!#REF!</definedName>
    <definedName name="Z_39FD50E0_9911_4D32_8842_5A58F13D310F_.wvu.Rows" localSheetId="1" hidden="1">'2. ZR vč. PN'!#REF!</definedName>
  </definedNames>
  <calcPr fullCalcOnLoad="1"/>
</workbook>
</file>

<file path=xl/sharedStrings.xml><?xml version="1.0" encoding="utf-8"?>
<sst xmlns="http://schemas.openxmlformats.org/spreadsheetml/2006/main" count="1082" uniqueCount="351">
  <si>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</si>
  <si>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</si>
  <si>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</si>
  <si>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</si>
  <si>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</si>
  <si>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</si>
  <si>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</si>
  <si>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</si>
  <si>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</si>
  <si>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</si>
  <si>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</si>
  <si>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</si>
  <si>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</si>
  <si>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</si>
  <si>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</si>
  <si>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</si>
  <si>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</si>
  <si>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</si>
  <si>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</si>
  <si>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</si>
  <si>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</si>
  <si>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</si>
  <si>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</si>
  <si>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</si>
  <si>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</si>
  <si>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</si>
  <si>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</si>
  <si>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</si>
  <si>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</si>
  <si>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</si>
  <si>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</si>
  <si>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</si>
  <si>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</si>
  <si>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</si>
  <si>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</si>
  <si>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</si>
  <si>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</si>
  <si>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</si>
  <si>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</si>
  <si>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</si>
  <si>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</si>
  <si>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</si>
  <si>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</si>
  <si>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</si>
  <si>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</si>
  <si>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</si>
  <si>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</si>
  <si>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</si>
  <si>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</si>
  <si>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</si>
  <si>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</si>
  <si>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</si>
  <si>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</si>
  <si>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</si>
  <si>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</si>
  <si>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</si>
  <si>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</si>
  <si>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</si>
  <si>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</si>
  <si>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</si>
  <si>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</si>
  <si>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</si>
  <si>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</si>
  <si>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</si>
  <si>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</si>
  <si>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</si>
  <si>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</si>
  <si>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</si>
  <si>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</si>
  <si>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</si>
  <si>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</si>
  <si>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</si>
  <si>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</si>
  <si>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</si>
  <si>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</si>
  <si>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</si>
  <si>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</si>
  <si>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</si>
  <si>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</si>
  <si>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</si>
  <si>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</si>
  <si>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</si>
  <si>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</si>
  <si>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</si>
  <si>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</si>
  <si>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</si>
  <si>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</si>
  <si>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</si>
  <si>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</si>
  <si>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</si>
  <si>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</si>
  <si>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</si>
  <si>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</si>
  <si>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</si>
  <si>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</si>
  <si>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</si>
  <si>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</si>
  <si>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</si>
  <si>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</si>
  <si>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</si>
  <si>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</si>
  <si>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</si>
  <si>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</si>
  <si>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</si>
  <si>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</si>
  <si>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</si>
  <si>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</si>
  <si>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</si>
  <si>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</si>
  <si>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</si>
  <si>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</si>
  <si>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</si>
  <si>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</si>
  <si>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</si>
  <si>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</si>
  <si>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</si>
  <si>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</si>
  <si>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</si>
  <si>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</si>
  <si>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</si>
  <si>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</si>
  <si>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</si>
  <si>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</si>
  <si>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</si>
  <si>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</si>
  <si>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</si>
  <si>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</si>
  <si>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</si>
  <si>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</si>
  <si>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</si>
  <si>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</si>
  <si>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</si>
  <si>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</si>
  <si>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</si>
  <si>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</si>
  <si>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</si>
  <si>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</si>
  <si>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</si>
  <si>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</si>
  <si>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</si>
  <si>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</si>
  <si>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</si>
  <si>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</si>
  <si>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</si>
  <si>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</si>
  <si>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</si>
  <si>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</si>
  <si>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</si>
  <si>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</si>
  <si>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</si>
  <si>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</si>
  <si>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</si>
  <si>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</si>
  <si>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</si>
  <si>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</si>
  <si>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</si>
  <si>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</si>
  <si>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</si>
  <si>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</si>
  <si>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</si>
  <si>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</si>
  <si>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</si>
  <si>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</si>
  <si>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</si>
  <si>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</si>
  <si>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kontaktní centrum a terénní služby na malém městě-SR</t>
  </si>
  <si>
    <t xml:space="preserve">  z MŽP</t>
  </si>
  <si>
    <t xml:space="preserve">  z SFŽP</t>
  </si>
  <si>
    <t>neinvestiční dotace Krajskému ředitelství policie KHK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</si>
  <si>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</si>
  <si>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</si>
  <si>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</si>
  <si>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</si>
  <si>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</si>
  <si>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</si>
  <si>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</si>
  <si>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</si>
  <si>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</si>
  <si>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</si>
  <si>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</si>
  <si>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</si>
  <si>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</si>
  <si>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</si>
  <si>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</si>
  <si>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</si>
  <si>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</si>
  <si>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</si>
  <si>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</si>
  <si>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</si>
  <si>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</si>
  <si>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</si>
  <si>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</si>
  <si>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</si>
  <si>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</si>
  <si>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</si>
  <si>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</si>
  <si>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</si>
  <si>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</si>
  <si>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</si>
  <si>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</si>
  <si>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</si>
  <si>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</si>
  <si>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</si>
  <si>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</si>
  <si>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</si>
  <si>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</si>
  <si>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</si>
  <si>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</si>
  <si>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</si>
  <si>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</si>
  <si>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</si>
  <si>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</si>
  <si>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</si>
  <si>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</si>
  <si>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</si>
  <si>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</si>
  <si>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</si>
  <si>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</si>
  <si>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</si>
  <si>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</si>
  <si>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</si>
  <si>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</si>
  <si>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</si>
  <si>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</si>
  <si>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</t>
  </si>
  <si>
    <t xml:space="preserve">  z Úřadu práce</t>
  </si>
  <si>
    <t>odborná praxe pro mladé do 30 let v KHK - z Úřadu práce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</si>
  <si>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</si>
  <si>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</si>
  <si>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</si>
  <si>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</si>
  <si>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</si>
  <si>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</si>
  <si>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</si>
  <si>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</si>
  <si>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</si>
  <si>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</si>
  <si>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činnost KÚ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</si>
  <si>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</si>
  <si>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</si>
  <si>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</si>
  <si>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</si>
  <si>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</si>
  <si>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</si>
  <si>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</si>
  <si>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</si>
  <si>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</si>
  <si>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</si>
  <si>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</si>
  <si>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</si>
  <si>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</si>
  <si>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</si>
  <si>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</si>
  <si>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</si>
  <si>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</si>
  <si>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</si>
  <si>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</si>
  <si>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</si>
  <si>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</si>
  <si>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</si>
  <si>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</si>
  <si>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</si>
  <si>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</si>
  <si>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</si>
  <si>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OP LZZ Podpora soc.integr.obyv.vylouč.lok.v KHK III - SR </t>
  </si>
  <si>
    <t xml:space="preserve">OP LZZ Podpora činnosti orgánu soc.právní ochrany dětí - SR 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</si>
  <si>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</si>
  <si>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</si>
  <si>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</si>
  <si>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</si>
  <si>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</si>
  <si>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</si>
  <si>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</si>
  <si>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</si>
  <si>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</si>
  <si>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</si>
  <si>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</si>
  <si>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</si>
  <si>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</si>
  <si>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</si>
  <si>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</si>
  <si>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</si>
  <si>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</si>
  <si>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</si>
  <si>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</si>
  <si>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>NA ROK 2018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</si>
  <si>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</si>
  <si>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</si>
  <si>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</si>
  <si>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</si>
  <si>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</si>
  <si>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</si>
  <si>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</si>
  <si>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 xml:space="preserve">            kultura 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</si>
  <si>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</si>
  <si>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</si>
  <si>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</si>
  <si>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</si>
  <si>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</si>
  <si>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Krajský akční plán vzdělávání v KHK - SR 2017</t>
  </si>
  <si>
    <t>vzdělávací programy paměťových institucí do škol - SR</t>
  </si>
  <si>
    <t>OP VVV - Rovný přístup ke kval.předšk.vzdělávání - SR</t>
  </si>
  <si>
    <t>protiradonová opatření - SR</t>
  </si>
  <si>
    <t>volba prezidenta ČR - SR</t>
  </si>
  <si>
    <t>volby do Senátu PČR - SR</t>
  </si>
  <si>
    <t xml:space="preserve">              rezerva neinvestiční</t>
  </si>
  <si>
    <t>OP Z Rozvoj dostup.a kvality soc.sl.v KHK V - SR 2017</t>
  </si>
  <si>
    <t>OP Z Služby soc.prevence v KHK IV - SR  2017</t>
  </si>
  <si>
    <t>OP Z Rozvoj reg.partnerství v soc.oblasti v KHK - SR 2017</t>
  </si>
  <si>
    <t>OP Z - Zaměstnaný absolvent - SR 2017</t>
  </si>
  <si>
    <t>OP VVV - Smart Akcelerátor - SR 2017</t>
  </si>
  <si>
    <t>OP Z - Predikce trhu práce - Kompas - SR 2017</t>
  </si>
  <si>
    <t>TP Interreg V-A ČR-Polsko - SR 2017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</si>
  <si>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</si>
  <si>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</si>
  <si>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</si>
  <si>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</si>
  <si>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</si>
  <si>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</si>
  <si>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</si>
  <si>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</si>
  <si>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</si>
  <si>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OP Z Služby soc.prevence v KHK V - SR  </t>
  </si>
  <si>
    <t>Snížení emisí z lokál.vytápění domácností v KHK II - SR 2017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</si>
  <si>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</si>
  <si>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</si>
  <si>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</si>
  <si>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</si>
  <si>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mimořádné účelové příspěvky PO</t>
  </si>
  <si>
    <t>potravinová pomoc dětem v KHK - obědy do škol - SR 2017</t>
  </si>
  <si>
    <t>Snížení emisí z lokál.vytápění domácností v KHK I - SR 2017</t>
  </si>
  <si>
    <t>Snížení emisí z lokál.vytápění domácností v KHK I- SR 2017</t>
  </si>
  <si>
    <t xml:space="preserve">OP Z - Predikce trhu práce - Kompas - SR </t>
  </si>
  <si>
    <t>OP Z - Rozvoj KHK-chytře, efektivně, s prosperitou - SR</t>
  </si>
  <si>
    <t>podpora služeb s nadreg.a celost.působností - SR</t>
  </si>
  <si>
    <t xml:space="preserve">OP VVV - Smart Akcelerátor - SR </t>
  </si>
  <si>
    <t>podpora vzdělání cizinců ve školách - modul A - SR</t>
  </si>
  <si>
    <t>podpora vzdělání cizinců ve školách - modul B, C - SR</t>
  </si>
  <si>
    <t xml:space="preserve">  z MZdr.</t>
  </si>
  <si>
    <t>financování výstavby a modern.silnic - PZ Kvasiny - SFDI</t>
  </si>
  <si>
    <t>zlepšení přeshraniční dostupnosti ČR-PL - SR</t>
  </si>
  <si>
    <t>průmyslová zóna Kvasiny III.</t>
  </si>
  <si>
    <t>řešení mimoř.událostí a kriz.situací ZZS KHK - SR</t>
  </si>
  <si>
    <t xml:space="preserve">OP Z - Zaměstnaný absolvent - SR </t>
  </si>
  <si>
    <t xml:space="preserve">potravinová pomoc dětem v KHK - obědy do škol - SR </t>
  </si>
  <si>
    <t>financování silnic II.a III. třídy v KHK - SFDI - SR</t>
  </si>
  <si>
    <t>OP VVV - APIV - podpora dětí,žáků se sluch.postiž.- SR</t>
  </si>
  <si>
    <t>financování výst. a modern.silnic - PZ Kvasiny - SFDI</t>
  </si>
  <si>
    <t>Sníž. emisí z lokál.vytápění domácností v KHK I- SR 2017</t>
  </si>
  <si>
    <t>Sníž.emisí z lokál.vytápění domácností v KHK II - SR 2017</t>
  </si>
  <si>
    <t>Sníž.emisí z lokál.vytápění domácností v KHK I - SR 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</si>
</sst>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8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5" fontId="4" fillId="0" borderId="13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6" xfId="38" applyNumberFormat="1" applyFont="1" applyBorder="1" applyAlignment="1">
      <alignment/>
    </xf>
    <xf numFmtId="166" fontId="0" fillId="0" borderId="16" xfId="38" applyNumberFormat="1" applyFont="1" applyBorder="1" applyAlignment="1">
      <alignment/>
    </xf>
    <xf numFmtId="166" fontId="4" fillId="0" borderId="16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0" xfId="0" applyBorder="1" applyAlignment="1">
      <alignment/>
    </xf>
    <xf numFmtId="3" fontId="4" fillId="0" borderId="20" xfId="0" applyFont="1" applyBorder="1" applyAlignment="1">
      <alignment/>
    </xf>
    <xf numFmtId="3" fontId="5" fillId="0" borderId="20" xfId="0" applyFont="1" applyBorder="1" applyAlignment="1">
      <alignment/>
    </xf>
    <xf numFmtId="3" fontId="0" fillId="0" borderId="21" xfId="0" applyBorder="1" applyAlignment="1">
      <alignment/>
    </xf>
    <xf numFmtId="3" fontId="0" fillId="0" borderId="20" xfId="0" applyFont="1" applyBorder="1" applyAlignment="1">
      <alignment/>
    </xf>
    <xf numFmtId="3" fontId="2" fillId="0" borderId="22" xfId="0" applyFont="1" applyBorder="1" applyAlignment="1">
      <alignment vertical="center"/>
    </xf>
    <xf numFmtId="3" fontId="6" fillId="0" borderId="20" xfId="0" applyFont="1" applyBorder="1" applyAlignment="1">
      <alignment/>
    </xf>
    <xf numFmtId="3" fontId="6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7" fillId="0" borderId="20" xfId="0" applyFont="1" applyBorder="1" applyAlignment="1">
      <alignment/>
    </xf>
    <xf numFmtId="3" fontId="7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4" fillId="0" borderId="20" xfId="0" applyFont="1" applyFill="1" applyBorder="1" applyAlignment="1">
      <alignment/>
    </xf>
    <xf numFmtId="3" fontId="0" fillId="0" borderId="20" xfId="0" applyFill="1" applyBorder="1" applyAlignment="1">
      <alignment/>
    </xf>
    <xf numFmtId="3" fontId="4" fillId="0" borderId="22" xfId="0" applyFont="1" applyBorder="1" applyAlignment="1">
      <alignment/>
    </xf>
    <xf numFmtId="3" fontId="3" fillId="0" borderId="23" xfId="0" applyFont="1" applyBorder="1" applyAlignment="1">
      <alignment vertical="center"/>
    </xf>
    <xf numFmtId="3" fontId="4" fillId="0" borderId="23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0" fillId="0" borderId="20" xfId="0" applyFont="1" applyBorder="1" applyAlignment="1">
      <alignment vertical="center"/>
    </xf>
    <xf numFmtId="3" fontId="0" fillId="0" borderId="20" xfId="0" applyBorder="1" applyAlignment="1">
      <alignment vertical="center"/>
    </xf>
    <xf numFmtId="3" fontId="7" fillId="0" borderId="20" xfId="0" applyFont="1" applyBorder="1" applyAlignment="1">
      <alignment/>
    </xf>
    <xf numFmtId="3" fontId="4" fillId="0" borderId="20" xfId="0" applyFont="1" applyBorder="1" applyAlignment="1">
      <alignment horizontal="left" vertical="center"/>
    </xf>
    <xf numFmtId="165" fontId="4" fillId="0" borderId="16" xfId="38" applyNumberFormat="1" applyFont="1" applyBorder="1" applyAlignment="1">
      <alignment horizontal="center"/>
    </xf>
    <xf numFmtId="165" fontId="4" fillId="0" borderId="25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6" fontId="8" fillId="0" borderId="16" xfId="38" applyNumberFormat="1" applyFont="1" applyBorder="1" applyAlignment="1">
      <alignment vertical="center"/>
    </xf>
    <xf numFmtId="3" fontId="46" fillId="0" borderId="0" xfId="0" applyFont="1" applyAlignment="1">
      <alignment/>
    </xf>
    <xf numFmtId="166" fontId="8" fillId="0" borderId="26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5" xfId="38" applyNumberFormat="1" applyFont="1" applyBorder="1" applyAlignment="1">
      <alignment vertical="center"/>
    </xf>
    <xf numFmtId="3" fontId="0" fillId="0" borderId="22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19" xfId="38" applyNumberFormat="1" applyFont="1" applyBorder="1" applyAlignment="1">
      <alignment/>
    </xf>
    <xf numFmtId="3" fontId="47" fillId="0" borderId="0" xfId="0" applyFont="1" applyAlignment="1">
      <alignment/>
    </xf>
    <xf numFmtId="3" fontId="7" fillId="0" borderId="18" xfId="0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5" fontId="4" fillId="0" borderId="28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3" fontId="0" fillId="0" borderId="30" xfId="0" applyBorder="1" applyAlignment="1">
      <alignment/>
    </xf>
    <xf numFmtId="3" fontId="0" fillId="0" borderId="19" xfId="0" applyBorder="1" applyAlignment="1">
      <alignment/>
    </xf>
    <xf numFmtId="167" fontId="0" fillId="0" borderId="19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4" fillId="0" borderId="30" xfId="38" applyNumberFormat="1" applyFon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33" borderId="30" xfId="0" applyNumberFormat="1" applyFill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18" xfId="0" applyFont="1" applyBorder="1" applyAlignment="1">
      <alignment horizontal="left" vertical="center"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8" xfId="0" applyFont="1" applyBorder="1" applyAlignment="1">
      <alignment/>
    </xf>
    <xf numFmtId="3" fontId="0" fillId="0" borderId="18" xfId="0" applyBorder="1" applyAlignment="1">
      <alignment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8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18" xfId="0" applyFont="1" applyBorder="1" applyAlignment="1">
      <alignment horizontal="center"/>
    </xf>
    <xf numFmtId="3" fontId="0" fillId="0" borderId="20" xfId="0" applyFont="1" applyBorder="1" applyAlignment="1">
      <alignment/>
    </xf>
    <xf numFmtId="3" fontId="9" fillId="0" borderId="18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18" xfId="0" applyFont="1" applyBorder="1" applyAlignment="1">
      <alignment horizontal="center"/>
    </xf>
    <xf numFmtId="3" fontId="9" fillId="0" borderId="18" xfId="0" applyFont="1" applyFill="1" applyBorder="1" applyAlignment="1">
      <alignment horizontal="center"/>
    </xf>
    <xf numFmtId="3" fontId="7" fillId="0" borderId="18" xfId="0" applyFont="1" applyFill="1" applyBorder="1" applyAlignment="1">
      <alignment horizont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7" fillId="0" borderId="20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30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30" xfId="38" applyNumberFormat="1" applyFont="1" applyBorder="1" applyAlignment="1">
      <alignment/>
    </xf>
    <xf numFmtId="174" fontId="4" fillId="0" borderId="30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5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6" fillId="0" borderId="3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30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3" fillId="0" borderId="35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 vertical="center"/>
    </xf>
    <xf numFmtId="174" fontId="2" fillId="0" borderId="35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6" fontId="0" fillId="0" borderId="36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74" fontId="2" fillId="0" borderId="13" xfId="38" applyNumberFormat="1" applyFont="1" applyBorder="1" applyAlignment="1">
      <alignment vertical="center"/>
    </xf>
    <xf numFmtId="174" fontId="4" fillId="0" borderId="18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4" fontId="0" fillId="0" borderId="12" xfId="38" applyNumberFormat="1" applyFont="1" applyBorder="1" applyAlignment="1">
      <alignment/>
    </xf>
    <xf numFmtId="3" fontId="0" fillId="0" borderId="22" xfId="0" applyFont="1" applyBorder="1" applyAlignment="1">
      <alignment/>
    </xf>
    <xf numFmtId="174" fontId="0" fillId="0" borderId="18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18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7" xfId="38" applyNumberFormat="1" applyFont="1" applyBorder="1" applyAlignment="1">
      <alignment vertical="center"/>
    </xf>
    <xf numFmtId="174" fontId="3" fillId="0" borderId="38" xfId="38" applyNumberFormat="1" applyFont="1" applyBorder="1" applyAlignment="1">
      <alignment vertical="center"/>
    </xf>
    <xf numFmtId="167" fontId="0" fillId="0" borderId="36" xfId="0" applyNumberFormat="1" applyBorder="1" applyAlignment="1">
      <alignment/>
    </xf>
    <xf numFmtId="174" fontId="4" fillId="0" borderId="1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0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left"/>
    </xf>
    <xf numFmtId="174" fontId="0" fillId="0" borderId="36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74" fontId="2" fillId="0" borderId="39" xfId="38" applyNumberFormat="1" applyFont="1" applyBorder="1" applyAlignment="1">
      <alignment vertical="center"/>
    </xf>
    <xf numFmtId="174" fontId="6" fillId="0" borderId="36" xfId="38" applyNumberFormat="1" applyFont="1" applyBorder="1" applyAlignment="1">
      <alignment/>
    </xf>
    <xf numFmtId="174" fontId="6" fillId="0" borderId="36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4" fillId="0" borderId="19" xfId="38" applyNumberFormat="1" applyFont="1" applyBorder="1" applyAlignment="1">
      <alignment/>
    </xf>
    <xf numFmtId="165" fontId="4" fillId="0" borderId="32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74" fontId="2" fillId="0" borderId="33" xfId="38" applyNumberFormat="1" applyFont="1" applyBorder="1" applyAlignment="1">
      <alignment vertical="center"/>
    </xf>
    <xf numFmtId="174" fontId="6" fillId="0" borderId="18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6" fillId="0" borderId="18" xfId="38" applyNumberFormat="1" applyFont="1" applyBorder="1" applyAlignment="1">
      <alignment/>
    </xf>
    <xf numFmtId="174" fontId="0" fillId="0" borderId="33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4" fillId="0" borderId="37" xfId="38" applyNumberFormat="1" applyFont="1" applyBorder="1" applyAlignment="1">
      <alignment vertical="center"/>
    </xf>
    <xf numFmtId="174" fontId="2" fillId="0" borderId="37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0" fillId="0" borderId="18" xfId="38" applyNumberFormat="1" applyFont="1" applyBorder="1" applyAlignment="1">
      <alignment vertical="center"/>
    </xf>
    <xf numFmtId="174" fontId="0" fillId="0" borderId="33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19" xfId="38" applyNumberFormat="1" applyFont="1" applyBorder="1" applyAlignment="1">
      <alignment horizontal="center"/>
    </xf>
    <xf numFmtId="174" fontId="0" fillId="0" borderId="19" xfId="38" applyNumberFormat="1" applyFont="1" applyBorder="1" applyAlignment="1">
      <alignment/>
    </xf>
    <xf numFmtId="174" fontId="4" fillId="0" borderId="19" xfId="38" applyNumberFormat="1" applyFont="1" applyBorder="1" applyAlignment="1">
      <alignment/>
    </xf>
    <xf numFmtId="174" fontId="2" fillId="0" borderId="29" xfId="38" applyNumberFormat="1" applyFont="1" applyBorder="1" applyAlignment="1">
      <alignment vertical="center"/>
    </xf>
    <xf numFmtId="174" fontId="6" fillId="0" borderId="19" xfId="38" applyNumberFormat="1" applyFont="1" applyBorder="1" applyAlignment="1">
      <alignment/>
    </xf>
    <xf numFmtId="174" fontId="6" fillId="0" borderId="19" xfId="38" applyNumberFormat="1" applyFont="1" applyBorder="1" applyAlignment="1">
      <alignment/>
    </xf>
    <xf numFmtId="174" fontId="0" fillId="0" borderId="19" xfId="38" applyNumberFormat="1" applyFont="1" applyFill="1" applyBorder="1" applyAlignment="1">
      <alignment/>
    </xf>
    <xf numFmtId="174" fontId="3" fillId="0" borderId="41" xfId="38" applyNumberFormat="1" applyFont="1" applyBorder="1" applyAlignment="1">
      <alignment vertical="center"/>
    </xf>
    <xf numFmtId="174" fontId="2" fillId="0" borderId="28" xfId="38" applyNumberFormat="1" applyFont="1" applyBorder="1" applyAlignment="1">
      <alignment vertical="center"/>
    </xf>
    <xf numFmtId="166" fontId="8" fillId="0" borderId="19" xfId="38" applyNumberFormat="1" applyFont="1" applyBorder="1" applyAlignment="1">
      <alignment vertical="center"/>
    </xf>
    <xf numFmtId="166" fontId="8" fillId="0" borderId="29" xfId="38" applyNumberFormat="1" applyFont="1" applyBorder="1" applyAlignment="1">
      <alignment vertical="center"/>
    </xf>
    <xf numFmtId="174" fontId="4" fillId="0" borderId="38" xfId="38" applyNumberFormat="1" applyFont="1" applyBorder="1" applyAlignment="1">
      <alignment vertical="center"/>
    </xf>
    <xf numFmtId="174" fontId="2" fillId="0" borderId="38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3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6" fontId="4" fillId="0" borderId="18" xfId="38" applyNumberFormat="1" applyFont="1" applyBorder="1" applyAlignment="1">
      <alignment/>
    </xf>
    <xf numFmtId="166" fontId="0" fillId="0" borderId="18" xfId="38" applyNumberFormat="1" applyFont="1" applyFill="1" applyBorder="1" applyAlignment="1">
      <alignment/>
    </xf>
    <xf numFmtId="166" fontId="4" fillId="0" borderId="18" xfId="38" applyNumberFormat="1" applyFont="1" applyBorder="1" applyAlignment="1">
      <alignment/>
    </xf>
    <xf numFmtId="166" fontId="0" fillId="0" borderId="34" xfId="38" applyNumberFormat="1" applyFont="1" applyBorder="1" applyAlignment="1">
      <alignment/>
    </xf>
    <xf numFmtId="166" fontId="2" fillId="0" borderId="18" xfId="38" applyNumberFormat="1" applyFont="1" applyBorder="1" applyAlignment="1">
      <alignment vertical="center"/>
    </xf>
    <xf numFmtId="166" fontId="8" fillId="0" borderId="18" xfId="38" applyNumberFormat="1" applyFont="1" applyBorder="1" applyAlignment="1">
      <alignment vertical="center"/>
    </xf>
    <xf numFmtId="166" fontId="8" fillId="0" borderId="33" xfId="38" applyNumberFormat="1" applyFont="1" applyBorder="1" applyAlignment="1">
      <alignment vertical="center"/>
    </xf>
    <xf numFmtId="166" fontId="4" fillId="0" borderId="44" xfId="38" applyNumberFormat="1" applyFont="1" applyBorder="1" applyAlignment="1">
      <alignment/>
    </xf>
    <xf numFmtId="174" fontId="4" fillId="0" borderId="23" xfId="38" applyNumberFormat="1" applyFont="1" applyBorder="1" applyAlignment="1">
      <alignment/>
    </xf>
    <xf numFmtId="3" fontId="10" fillId="0" borderId="18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3" fontId="0" fillId="0" borderId="22" xfId="0" applyBorder="1" applyAlignment="1">
      <alignment/>
    </xf>
    <xf numFmtId="165" fontId="4" fillId="0" borderId="40" xfId="38" applyNumberFormat="1" applyFont="1" applyBorder="1" applyAlignment="1">
      <alignment horizontal="center"/>
    </xf>
    <xf numFmtId="165" fontId="4" fillId="0" borderId="39" xfId="38" applyNumberFormat="1" applyFont="1" applyBorder="1" applyAlignment="1">
      <alignment horizontal="center"/>
    </xf>
    <xf numFmtId="165" fontId="4" fillId="0" borderId="36" xfId="38" applyNumberFormat="1" applyFont="1" applyBorder="1" applyAlignment="1">
      <alignment horizontal="center"/>
    </xf>
    <xf numFmtId="166" fontId="4" fillId="0" borderId="36" xfId="38" applyNumberFormat="1" applyFont="1" applyBorder="1" applyAlignment="1">
      <alignment/>
    </xf>
    <xf numFmtId="166" fontId="0" fillId="0" borderId="36" xfId="38" applyNumberFormat="1" applyFont="1" applyFill="1" applyBorder="1" applyAlignment="1">
      <alignment/>
    </xf>
    <xf numFmtId="166" fontId="4" fillId="0" borderId="36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0" fillId="0" borderId="45" xfId="38" applyNumberFormat="1" applyFont="1" applyFill="1" applyBorder="1" applyAlignment="1">
      <alignment/>
    </xf>
    <xf numFmtId="166" fontId="2" fillId="0" borderId="36" xfId="38" applyNumberFormat="1" applyFont="1" applyBorder="1" applyAlignment="1">
      <alignment vertical="center"/>
    </xf>
    <xf numFmtId="166" fontId="8" fillId="0" borderId="36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4" fillId="0" borderId="23" xfId="38" applyNumberFormat="1" applyFont="1" applyBorder="1" applyAlignment="1">
      <alignment vertical="center"/>
    </xf>
    <xf numFmtId="174" fontId="2" fillId="0" borderId="23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22" xfId="38" applyNumberFormat="1" applyFont="1" applyBorder="1" applyAlignment="1">
      <alignment vertical="center"/>
    </xf>
    <xf numFmtId="166" fontId="8" fillId="0" borderId="39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2" fillId="0" borderId="23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165" fontId="4" fillId="0" borderId="46" xfId="38" applyNumberFormat="1" applyFont="1" applyBorder="1" applyAlignment="1">
      <alignment horizontal="center"/>
    </xf>
    <xf numFmtId="165" fontId="4" fillId="0" borderId="47" xfId="38" applyNumberFormat="1" applyFont="1" applyBorder="1" applyAlignment="1">
      <alignment horizontal="center"/>
    </xf>
    <xf numFmtId="165" fontId="4" fillId="0" borderId="48" xfId="38" applyNumberFormat="1" applyFont="1" applyBorder="1" applyAlignment="1">
      <alignment horizontal="center"/>
    </xf>
    <xf numFmtId="174" fontId="4" fillId="0" borderId="48" xfId="38" applyNumberFormat="1" applyFont="1" applyBorder="1" applyAlignment="1">
      <alignment/>
    </xf>
    <xf numFmtId="166" fontId="4" fillId="0" borderId="48" xfId="38" applyNumberFormat="1" applyFont="1" applyBorder="1" applyAlignment="1">
      <alignment/>
    </xf>
    <xf numFmtId="166" fontId="0" fillId="0" borderId="48" xfId="38" applyNumberFormat="1" applyFont="1" applyBorder="1" applyAlignment="1">
      <alignment/>
    </xf>
    <xf numFmtId="174" fontId="0" fillId="0" borderId="48" xfId="38" applyNumberFormat="1" applyFont="1" applyBorder="1" applyAlignment="1">
      <alignment/>
    </xf>
    <xf numFmtId="3" fontId="0" fillId="0" borderId="48" xfId="0" applyBorder="1" applyAlignment="1">
      <alignment/>
    </xf>
    <xf numFmtId="174" fontId="4" fillId="0" borderId="48" xfId="38" applyNumberFormat="1" applyFont="1" applyBorder="1" applyAlignment="1">
      <alignment/>
    </xf>
    <xf numFmtId="166" fontId="4" fillId="0" borderId="48" xfId="38" applyNumberFormat="1" applyFont="1" applyBorder="1" applyAlignment="1">
      <alignment/>
    </xf>
    <xf numFmtId="174" fontId="2" fillId="0" borderId="47" xfId="38" applyNumberFormat="1" applyFont="1" applyBorder="1" applyAlignment="1">
      <alignment vertical="center"/>
    </xf>
    <xf numFmtId="174" fontId="6" fillId="0" borderId="48" xfId="38" applyNumberFormat="1" applyFont="1" applyBorder="1" applyAlignment="1">
      <alignment/>
    </xf>
    <xf numFmtId="174" fontId="6" fillId="0" borderId="48" xfId="38" applyNumberFormat="1" applyFont="1" applyBorder="1" applyAlignment="1">
      <alignment/>
    </xf>
    <xf numFmtId="166" fontId="0" fillId="0" borderId="49" xfId="38" applyNumberFormat="1" applyFont="1" applyBorder="1" applyAlignment="1">
      <alignment/>
    </xf>
    <xf numFmtId="166" fontId="7" fillId="0" borderId="48" xfId="38" applyNumberFormat="1" applyFont="1" applyBorder="1" applyAlignment="1">
      <alignment/>
    </xf>
    <xf numFmtId="174" fontId="0" fillId="0" borderId="48" xfId="38" applyNumberFormat="1" applyFont="1" applyFill="1" applyBorder="1" applyAlignment="1">
      <alignment/>
    </xf>
    <xf numFmtId="174" fontId="3" fillId="0" borderId="50" xfId="38" applyNumberFormat="1" applyFont="1" applyBorder="1" applyAlignment="1">
      <alignment vertical="center"/>
    </xf>
    <xf numFmtId="174" fontId="2" fillId="0" borderId="46" xfId="38" applyNumberFormat="1" applyFont="1" applyBorder="1" applyAlignment="1">
      <alignment vertical="center"/>
    </xf>
    <xf numFmtId="166" fontId="2" fillId="0" borderId="48" xfId="38" applyNumberFormat="1" applyFont="1" applyBorder="1" applyAlignment="1">
      <alignment vertical="center"/>
    </xf>
    <xf numFmtId="166" fontId="8" fillId="0" borderId="48" xfId="38" applyNumberFormat="1" applyFont="1" applyBorder="1" applyAlignment="1">
      <alignment vertical="center"/>
    </xf>
    <xf numFmtId="166" fontId="8" fillId="0" borderId="47" xfId="38" applyNumberFormat="1" applyFont="1" applyBorder="1" applyAlignment="1">
      <alignment vertical="center"/>
    </xf>
    <xf numFmtId="165" fontId="4" fillId="0" borderId="24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0" xfId="38" applyNumberFormat="1" applyFont="1" applyBorder="1" applyAlignment="1">
      <alignment horizontal="center"/>
    </xf>
    <xf numFmtId="174" fontId="4" fillId="0" borderId="20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6" fillId="0" borderId="2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4" fillId="0" borderId="21" xfId="38" applyNumberFormat="1" applyFont="1" applyBorder="1" applyAlignment="1">
      <alignment/>
    </xf>
    <xf numFmtId="4" fontId="0" fillId="0" borderId="20" xfId="38" applyNumberFormat="1" applyFont="1" applyFill="1" applyBorder="1" applyAlignment="1">
      <alignment/>
    </xf>
    <xf numFmtId="4" fontId="2" fillId="0" borderId="24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174" fontId="0" fillId="0" borderId="49" xfId="38" applyNumberFormat="1" applyFont="1" applyBorder="1" applyAlignment="1">
      <alignment/>
    </xf>
    <xf numFmtId="174" fontId="0" fillId="0" borderId="47" xfId="38" applyNumberFormat="1" applyFont="1" applyBorder="1" applyAlignment="1">
      <alignment/>
    </xf>
    <xf numFmtId="174" fontId="6" fillId="0" borderId="48" xfId="38" applyNumberFormat="1" applyFont="1" applyFill="1" applyBorder="1" applyAlignment="1">
      <alignment/>
    </xf>
    <xf numFmtId="174" fontId="0" fillId="0" borderId="48" xfId="38" applyNumberFormat="1" applyFont="1" applyFill="1" applyBorder="1" applyAlignment="1">
      <alignment/>
    </xf>
    <xf numFmtId="174" fontId="2" fillId="0" borderId="48" xfId="38" applyNumberFormat="1" applyFont="1" applyBorder="1" applyAlignment="1">
      <alignment vertical="center"/>
    </xf>
    <xf numFmtId="174" fontId="0" fillId="0" borderId="48" xfId="38" applyNumberFormat="1" applyFont="1" applyBorder="1" applyAlignment="1">
      <alignment vertical="center"/>
    </xf>
    <xf numFmtId="174" fontId="0" fillId="0" borderId="47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2" fillId="0" borderId="22" xfId="38" applyNumberFormat="1" applyFont="1" applyBorder="1" applyAlignment="1">
      <alignment vertical="center"/>
    </xf>
    <xf numFmtId="174" fontId="6" fillId="0" borderId="20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0" fillId="0" borderId="20" xfId="38" applyNumberFormat="1" applyFont="1" applyFill="1" applyBorder="1" applyAlignment="1">
      <alignment/>
    </xf>
    <xf numFmtId="174" fontId="2" fillId="0" borderId="24" xfId="38" applyNumberFormat="1" applyFont="1" applyBorder="1" applyAlignment="1">
      <alignment vertical="center"/>
    </xf>
    <xf numFmtId="174" fontId="8" fillId="0" borderId="20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 vertical="center"/>
    </xf>
    <xf numFmtId="174" fontId="0" fillId="0" borderId="22" xfId="38" applyNumberFormat="1" applyFont="1" applyBorder="1" applyAlignment="1">
      <alignment vertical="center"/>
    </xf>
    <xf numFmtId="4" fontId="4" fillId="0" borderId="18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4" fillId="0" borderId="18" xfId="38" applyNumberFormat="1" applyFont="1" applyBorder="1" applyAlignment="1">
      <alignment/>
    </xf>
    <xf numFmtId="4" fontId="2" fillId="0" borderId="33" xfId="38" applyNumberFormat="1" applyFont="1" applyBorder="1" applyAlignment="1">
      <alignment vertical="center"/>
    </xf>
    <xf numFmtId="4" fontId="6" fillId="0" borderId="18" xfId="38" applyNumberFormat="1" applyFont="1" applyBorder="1" applyAlignment="1">
      <alignment/>
    </xf>
    <xf numFmtId="4" fontId="0" fillId="0" borderId="30" xfId="38" applyNumberFormat="1" applyFont="1" applyBorder="1" applyAlignment="1">
      <alignment/>
    </xf>
    <xf numFmtId="4" fontId="6" fillId="0" borderId="18" xfId="38" applyNumberFormat="1" applyFont="1" applyBorder="1" applyAlignment="1">
      <alignment/>
    </xf>
    <xf numFmtId="4" fontId="0" fillId="0" borderId="34" xfId="38" applyNumberFormat="1" applyFont="1" applyBorder="1" applyAlignment="1">
      <alignment/>
    </xf>
    <xf numFmtId="4" fontId="7" fillId="0" borderId="18" xfId="38" applyNumberFormat="1" applyFont="1" applyBorder="1" applyAlignment="1">
      <alignment/>
    </xf>
    <xf numFmtId="4" fontId="0" fillId="0" borderId="18" xfId="38" applyNumberFormat="1" applyFont="1" applyFill="1" applyBorder="1" applyAlignment="1">
      <alignment/>
    </xf>
    <xf numFmtId="4" fontId="3" fillId="0" borderId="37" xfId="38" applyNumberFormat="1" applyFont="1" applyBorder="1" applyAlignment="1">
      <alignment vertical="center"/>
    </xf>
    <xf numFmtId="4" fontId="4" fillId="0" borderId="37" xfId="38" applyNumberFormat="1" applyFont="1" applyBorder="1" applyAlignment="1">
      <alignment vertical="center"/>
    </xf>
    <xf numFmtId="4" fontId="2" fillId="0" borderId="37" xfId="38" applyNumberFormat="1" applyFont="1" applyBorder="1" applyAlignment="1">
      <alignment vertical="center"/>
    </xf>
    <xf numFmtId="4" fontId="3" fillId="0" borderId="32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4" fontId="2" fillId="0" borderId="32" xfId="38" applyNumberFormat="1" applyFont="1" applyBorder="1" applyAlignment="1">
      <alignment vertical="center"/>
    </xf>
    <xf numFmtId="4" fontId="2" fillId="0" borderId="18" xfId="38" applyNumberFormat="1" applyFont="1" applyBorder="1" applyAlignment="1">
      <alignment vertical="center"/>
    </xf>
    <xf numFmtId="4" fontId="8" fillId="0" borderId="18" xfId="38" applyNumberFormat="1" applyFont="1" applyBorder="1" applyAlignment="1">
      <alignment vertical="center"/>
    </xf>
    <xf numFmtId="4" fontId="8" fillId="0" borderId="33" xfId="38" applyNumberFormat="1" applyFont="1" applyBorder="1" applyAlignment="1">
      <alignment vertical="center"/>
    </xf>
    <xf numFmtId="166" fontId="0" fillId="0" borderId="0" xfId="38" applyNumberFormat="1" applyFont="1" applyFill="1" applyBorder="1" applyAlignment="1">
      <alignment/>
    </xf>
    <xf numFmtId="166" fontId="0" fillId="0" borderId="0" xfId="38" applyNumberFormat="1" applyFon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174" fontId="3" fillId="0" borderId="22" xfId="38" applyNumberFormat="1" applyFont="1" applyBorder="1" applyAlignment="1">
      <alignment vertical="center"/>
    </xf>
    <xf numFmtId="4" fontId="0" fillId="0" borderId="31" xfId="38" applyNumberFormat="1" applyFont="1" applyBorder="1" applyAlignment="1">
      <alignment/>
    </xf>
    <xf numFmtId="174" fontId="3" fillId="0" borderId="20" xfId="38" applyNumberFormat="1" applyFont="1" applyBorder="1" applyAlignment="1">
      <alignment vertical="center"/>
    </xf>
    <xf numFmtId="3" fontId="0" fillId="0" borderId="34" xfId="0" applyFont="1" applyBorder="1" applyAlignment="1">
      <alignment/>
    </xf>
    <xf numFmtId="4" fontId="0" fillId="0" borderId="33" xfId="38" applyNumberFormat="1" applyFont="1" applyBorder="1" applyAlignment="1">
      <alignment/>
    </xf>
    <xf numFmtId="166" fontId="0" fillId="0" borderId="47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6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4" fillId="0" borderId="16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6" fillId="0" borderId="16" xfId="38" applyNumberFormat="1" applyFont="1" applyBorder="1" applyAlignment="1">
      <alignment/>
    </xf>
    <xf numFmtId="4" fontId="0" fillId="0" borderId="26" xfId="38" applyNumberFormat="1" applyFont="1" applyBorder="1" applyAlignment="1">
      <alignment/>
    </xf>
    <xf numFmtId="4" fontId="6" fillId="0" borderId="16" xfId="38" applyNumberFormat="1" applyFont="1" applyBorder="1" applyAlignment="1">
      <alignment/>
    </xf>
    <xf numFmtId="4" fontId="7" fillId="0" borderId="16" xfId="38" applyNumberFormat="1" applyFont="1" applyBorder="1" applyAlignment="1">
      <alignment/>
    </xf>
    <xf numFmtId="4" fontId="0" fillId="0" borderId="16" xfId="38" applyNumberFormat="1" applyFont="1" applyFill="1" applyBorder="1" applyAlignment="1">
      <alignment/>
    </xf>
    <xf numFmtId="4" fontId="3" fillId="0" borderId="51" xfId="38" applyNumberFormat="1" applyFont="1" applyBorder="1" applyAlignment="1">
      <alignment vertical="center"/>
    </xf>
    <xf numFmtId="4" fontId="4" fillId="0" borderId="51" xfId="38" applyNumberFormat="1" applyFont="1" applyBorder="1" applyAlignment="1">
      <alignment vertical="center"/>
    </xf>
    <xf numFmtId="4" fontId="2" fillId="0" borderId="51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8" fillId="0" borderId="16" xfId="38" applyNumberFormat="1" applyFont="1" applyBorder="1" applyAlignment="1">
      <alignment vertical="center"/>
    </xf>
    <xf numFmtId="165" fontId="9" fillId="0" borderId="15" xfId="38" applyNumberFormat="1" applyFont="1" applyBorder="1" applyAlignment="1">
      <alignment horizontal="center"/>
    </xf>
    <xf numFmtId="174" fontId="0" fillId="0" borderId="16" xfId="38" applyNumberFormat="1" applyFont="1" applyBorder="1" applyAlignment="1">
      <alignment vertical="center"/>
    </xf>
    <xf numFmtId="174" fontId="0" fillId="0" borderId="26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4" xfId="0" applyFont="1" applyBorder="1" applyAlignment="1">
      <alignment horizontal="center" vertical="center"/>
    </xf>
    <xf numFmtId="3" fontId="0" fillId="0" borderId="2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8"/>
  <sheetViews>
    <sheetView zoomScaleSheetLayoutView="69" zoomScalePageLayoutView="0" workbookViewId="0" topLeftCell="A1">
      <pane xSplit="1" ySplit="9" topLeftCell="C48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504" sqref="G504"/>
    </sheetView>
  </sheetViews>
  <sheetFormatPr defaultColWidth="9.00390625" defaultRowHeight="12.75"/>
  <cols>
    <col min="1" max="1" width="49.875" style="0" customWidth="1"/>
    <col min="2" max="2" width="10.00390625" style="0" hidden="1" customWidth="1"/>
    <col min="3" max="3" width="15.625" style="0" customWidth="1"/>
    <col min="4" max="4" width="15.125" style="0" hidden="1" customWidth="1"/>
    <col min="5" max="5" width="12.25390625" style="0" hidden="1" customWidth="1"/>
    <col min="6" max="6" width="16.25390625" style="0" customWidth="1"/>
    <col min="7" max="7" width="12.625" style="0" customWidth="1"/>
    <col min="8" max="8" width="12.75390625" style="0" hidden="1" customWidth="1"/>
    <col min="9" max="9" width="17.37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 t="s">
        <v>148</v>
      </c>
      <c r="L1" s="2"/>
      <c r="O1" s="2"/>
      <c r="Q1" s="2" t="s">
        <v>148</v>
      </c>
    </row>
    <row r="2" spans="3:6" ht="9.75" customHeight="1">
      <c r="C2" s="1"/>
      <c r="D2" s="1"/>
      <c r="E2" s="1"/>
      <c r="F2" s="2"/>
    </row>
    <row r="3" spans="1:17" ht="15.75">
      <c r="A3" s="341" t="s">
        <v>284</v>
      </c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5.75">
      <c r="A4" s="343" t="s">
        <v>285</v>
      </c>
      <c r="B4" s="343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15">
      <c r="A5" s="344" t="s">
        <v>0</v>
      </c>
      <c r="B5" s="344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>
      <c r="A6" s="345" t="s">
        <v>1</v>
      </c>
      <c r="B6" s="345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3" ht="18" customHeight="1" thickBot="1">
      <c r="A7" s="3"/>
      <c r="B7" s="3"/>
      <c r="C7" s="4"/>
      <c r="D7" s="131"/>
      <c r="E7" s="4"/>
      <c r="F7" s="4"/>
      <c r="G7" s="55"/>
      <c r="J7" s="62"/>
      <c r="M7" s="55"/>
    </row>
    <row r="8" spans="1:17" ht="12.75">
      <c r="A8" s="346" t="s">
        <v>2</v>
      </c>
      <c r="B8" s="78" t="s">
        <v>262</v>
      </c>
      <c r="C8" s="159" t="s">
        <v>3</v>
      </c>
      <c r="D8" s="15" t="s">
        <v>4</v>
      </c>
      <c r="E8" s="230" t="s">
        <v>5</v>
      </c>
      <c r="F8" s="251" t="s">
        <v>6</v>
      </c>
      <c r="G8" s="159" t="s">
        <v>7</v>
      </c>
      <c r="H8" s="230" t="s">
        <v>5</v>
      </c>
      <c r="I8" s="251" t="s">
        <v>6</v>
      </c>
      <c r="J8" s="159" t="s">
        <v>8</v>
      </c>
      <c r="K8" s="15" t="s">
        <v>5</v>
      </c>
      <c r="L8" s="66" t="s">
        <v>6</v>
      </c>
      <c r="M8" s="208" t="s">
        <v>9</v>
      </c>
      <c r="N8" s="15" t="s">
        <v>5</v>
      </c>
      <c r="O8" s="16" t="s">
        <v>6</v>
      </c>
      <c r="P8" s="14" t="s">
        <v>174</v>
      </c>
      <c r="Q8" s="66" t="s">
        <v>6</v>
      </c>
    </row>
    <row r="9" spans="1:17" ht="13.5" thickBot="1">
      <c r="A9" s="347"/>
      <c r="B9" s="146" t="s">
        <v>197</v>
      </c>
      <c r="C9" s="160" t="s">
        <v>10</v>
      </c>
      <c r="D9" s="52" t="s">
        <v>11</v>
      </c>
      <c r="E9" s="231" t="s">
        <v>12</v>
      </c>
      <c r="F9" s="252" t="s">
        <v>13</v>
      </c>
      <c r="G9" s="160" t="s">
        <v>11</v>
      </c>
      <c r="H9" s="231" t="s">
        <v>12</v>
      </c>
      <c r="I9" s="252" t="s">
        <v>14</v>
      </c>
      <c r="J9" s="160" t="s">
        <v>11</v>
      </c>
      <c r="K9" s="52" t="s">
        <v>12</v>
      </c>
      <c r="L9" s="67" t="s">
        <v>15</v>
      </c>
      <c r="M9" s="209" t="s">
        <v>11</v>
      </c>
      <c r="N9" s="52" t="s">
        <v>12</v>
      </c>
      <c r="O9" s="53" t="s">
        <v>16</v>
      </c>
      <c r="P9" s="51" t="s">
        <v>11</v>
      </c>
      <c r="Q9" s="67" t="s">
        <v>175</v>
      </c>
    </row>
    <row r="10" spans="1:17" ht="15.75" customHeight="1">
      <c r="A10" s="49" t="s">
        <v>17</v>
      </c>
      <c r="B10" s="79"/>
      <c r="C10" s="161"/>
      <c r="D10" s="5"/>
      <c r="E10" s="232"/>
      <c r="F10" s="253"/>
      <c r="G10" s="161"/>
      <c r="H10" s="232"/>
      <c r="I10" s="253"/>
      <c r="J10" s="161"/>
      <c r="K10" s="5"/>
      <c r="L10" s="179"/>
      <c r="M10" s="210"/>
      <c r="N10" s="5"/>
      <c r="O10" s="50"/>
      <c r="P10" s="68"/>
      <c r="Q10" s="69"/>
    </row>
    <row r="11" spans="1:17" ht="12.75">
      <c r="A11" s="23" t="s">
        <v>251</v>
      </c>
      <c r="B11" s="80"/>
      <c r="C11" s="143">
        <f>C13+C14+C15</f>
        <v>4012390</v>
      </c>
      <c r="D11" s="103">
        <f>D13+D14+D15</f>
        <v>19085.93</v>
      </c>
      <c r="E11" s="233">
        <f>E13+E14+E15</f>
        <v>0</v>
      </c>
      <c r="F11" s="254">
        <f aca="true" t="shared" si="0" ref="F11:Q11">F13+F14+F15</f>
        <v>4031475.93</v>
      </c>
      <c r="G11" s="286">
        <f t="shared" si="0"/>
        <v>148823.4</v>
      </c>
      <c r="H11" s="233">
        <f t="shared" si="0"/>
        <v>0</v>
      </c>
      <c r="I11" s="257">
        <f t="shared" si="0"/>
        <v>4180299.33</v>
      </c>
      <c r="J11" s="143">
        <f t="shared" si="0"/>
        <v>0</v>
      </c>
      <c r="K11" s="103">
        <f t="shared" si="0"/>
        <v>0</v>
      </c>
      <c r="L11" s="158">
        <f t="shared" si="0"/>
        <v>19085.93</v>
      </c>
      <c r="M11" s="144">
        <f t="shared" si="0"/>
        <v>0</v>
      </c>
      <c r="N11" s="144">
        <f t="shared" si="0"/>
        <v>0</v>
      </c>
      <c r="O11" s="144">
        <f t="shared" si="0"/>
        <v>19085.93</v>
      </c>
      <c r="P11" s="144">
        <f t="shared" si="0"/>
        <v>0</v>
      </c>
      <c r="Q11" s="144">
        <f t="shared" si="0"/>
        <v>19085.93</v>
      </c>
    </row>
    <row r="12" spans="1:17" ht="12.75">
      <c r="A12" s="24" t="s">
        <v>18</v>
      </c>
      <c r="B12" s="81"/>
      <c r="C12" s="143"/>
      <c r="D12" s="103"/>
      <c r="E12" s="233"/>
      <c r="F12" s="254"/>
      <c r="G12" s="286"/>
      <c r="H12" s="234"/>
      <c r="I12" s="255"/>
      <c r="J12" s="196"/>
      <c r="K12" s="6"/>
      <c r="L12" s="61"/>
      <c r="M12" s="211"/>
      <c r="N12" s="6"/>
      <c r="O12" s="17"/>
      <c r="P12" s="72"/>
      <c r="Q12" s="70"/>
    </row>
    <row r="13" spans="1:17" ht="12.75">
      <c r="A13" s="89" t="s">
        <v>258</v>
      </c>
      <c r="B13" s="81"/>
      <c r="C13" s="136">
        <v>4010000</v>
      </c>
      <c r="D13" s="104"/>
      <c r="E13" s="233"/>
      <c r="F13" s="274">
        <f>C13+D13+E13</f>
        <v>4010000</v>
      </c>
      <c r="G13" s="287">
        <f>56000+2700+10000+3000+2000+2287.4+620+5000+40000+27216</f>
        <v>148823.4</v>
      </c>
      <c r="H13" s="234"/>
      <c r="I13" s="256">
        <f>F13+G13+H13</f>
        <v>4158823.4</v>
      </c>
      <c r="J13" s="196"/>
      <c r="K13" s="6"/>
      <c r="L13" s="61"/>
      <c r="M13" s="211"/>
      <c r="N13" s="6"/>
      <c r="O13" s="17"/>
      <c r="P13" s="72"/>
      <c r="Q13" s="70"/>
    </row>
    <row r="14" spans="1:17" ht="12.75">
      <c r="A14" s="25" t="s">
        <v>19</v>
      </c>
      <c r="B14" s="82"/>
      <c r="C14" s="136"/>
      <c r="D14" s="115">
        <f>19085.93</f>
        <v>19085.93</v>
      </c>
      <c r="E14" s="236"/>
      <c r="F14" s="274">
        <f>C14+D14+E14</f>
        <v>19085.93</v>
      </c>
      <c r="G14" s="287"/>
      <c r="H14" s="234"/>
      <c r="I14" s="256">
        <f>F14+G14+H14</f>
        <v>19085.93</v>
      </c>
      <c r="J14" s="21"/>
      <c r="K14" s="6"/>
      <c r="L14" s="65">
        <f>I14+J14+K14</f>
        <v>19085.93</v>
      </c>
      <c r="M14" s="127"/>
      <c r="N14" s="6"/>
      <c r="O14" s="18">
        <f>L14+M14+N14</f>
        <v>19085.93</v>
      </c>
      <c r="P14" s="72"/>
      <c r="Q14" s="70">
        <f aca="true" t="shared" si="1" ref="Q14:Q78">O14+P14</f>
        <v>19085.93</v>
      </c>
    </row>
    <row r="15" spans="1:17" ht="12.75">
      <c r="A15" s="89" t="s">
        <v>259</v>
      </c>
      <c r="B15" s="82"/>
      <c r="C15" s="136">
        <v>2390</v>
      </c>
      <c r="D15" s="115"/>
      <c r="E15" s="236"/>
      <c r="F15" s="274">
        <f>C15+D15+E15</f>
        <v>2390</v>
      </c>
      <c r="G15" s="287"/>
      <c r="H15" s="234"/>
      <c r="I15" s="256">
        <f>F15+G15+H15</f>
        <v>2390</v>
      </c>
      <c r="J15" s="21"/>
      <c r="K15" s="6"/>
      <c r="L15" s="65"/>
      <c r="M15" s="127"/>
      <c r="N15" s="6"/>
      <c r="O15" s="18"/>
      <c r="P15" s="142"/>
      <c r="Q15" s="70"/>
    </row>
    <row r="16" spans="1:17" ht="12.75">
      <c r="A16" s="23" t="s">
        <v>252</v>
      </c>
      <c r="B16" s="80"/>
      <c r="C16" s="143">
        <f aca="true" t="shared" si="2" ref="C16:Q16">SUM(C18:C24)+C31</f>
        <v>207606.75</v>
      </c>
      <c r="D16" s="103">
        <f t="shared" si="2"/>
        <v>12131.49</v>
      </c>
      <c r="E16" s="233">
        <f t="shared" si="2"/>
        <v>0</v>
      </c>
      <c r="F16" s="254">
        <f t="shared" si="2"/>
        <v>219738.24000000002</v>
      </c>
      <c r="G16" s="286">
        <f t="shared" si="2"/>
        <v>31216.44</v>
      </c>
      <c r="H16" s="233">
        <f t="shared" si="2"/>
        <v>0</v>
      </c>
      <c r="I16" s="257">
        <f t="shared" si="2"/>
        <v>250954.68</v>
      </c>
      <c r="J16" s="143">
        <f t="shared" si="2"/>
        <v>0</v>
      </c>
      <c r="K16" s="103">
        <f t="shared" si="2"/>
        <v>0</v>
      </c>
      <c r="L16" s="158">
        <f t="shared" si="2"/>
        <v>217709.35</v>
      </c>
      <c r="M16" s="128">
        <f t="shared" si="2"/>
        <v>0</v>
      </c>
      <c r="N16" s="102">
        <f t="shared" si="2"/>
        <v>0</v>
      </c>
      <c r="O16" s="102">
        <f t="shared" si="2"/>
        <v>217709.35</v>
      </c>
      <c r="P16" s="102">
        <f t="shared" si="2"/>
        <v>0</v>
      </c>
      <c r="Q16" s="102">
        <f t="shared" si="2"/>
        <v>217709.35</v>
      </c>
    </row>
    <row r="17" spans="1:17" ht="10.5" customHeight="1">
      <c r="A17" s="24" t="s">
        <v>20</v>
      </c>
      <c r="B17" s="81"/>
      <c r="C17" s="143"/>
      <c r="D17" s="103"/>
      <c r="E17" s="233"/>
      <c r="F17" s="254"/>
      <c r="G17" s="286"/>
      <c r="H17" s="234"/>
      <c r="I17" s="257"/>
      <c r="J17" s="196"/>
      <c r="K17" s="6"/>
      <c r="L17" s="61"/>
      <c r="M17" s="211"/>
      <c r="N17" s="6"/>
      <c r="O17" s="17"/>
      <c r="P17" s="72"/>
      <c r="Q17" s="70"/>
    </row>
    <row r="18" spans="1:17" ht="12.75">
      <c r="A18" s="25" t="s">
        <v>21</v>
      </c>
      <c r="B18" s="82"/>
      <c r="C18" s="136">
        <v>200</v>
      </c>
      <c r="D18" s="104"/>
      <c r="E18" s="236"/>
      <c r="F18" s="274">
        <f>C18+D18+E18</f>
        <v>200</v>
      </c>
      <c r="G18" s="287"/>
      <c r="H18" s="235"/>
      <c r="I18" s="256">
        <f>F18+G18+H18</f>
        <v>200</v>
      </c>
      <c r="J18" s="21"/>
      <c r="K18" s="7"/>
      <c r="L18" s="65">
        <f>I18+J18+K18</f>
        <v>200</v>
      </c>
      <c r="M18" s="127"/>
      <c r="N18" s="7"/>
      <c r="O18" s="18">
        <f>L18+M18+N18</f>
        <v>200</v>
      </c>
      <c r="P18" s="72"/>
      <c r="Q18" s="70">
        <f t="shared" si="1"/>
        <v>200</v>
      </c>
    </row>
    <row r="19" spans="1:17" ht="12.75">
      <c r="A19" s="89" t="s">
        <v>313</v>
      </c>
      <c r="B19" s="82"/>
      <c r="C19" s="136"/>
      <c r="D19" s="104">
        <f>0.98</f>
        <v>0.98</v>
      </c>
      <c r="E19" s="236"/>
      <c r="F19" s="274">
        <f aca="true" t="shared" si="3" ref="F19:F31">C19+D19+E19</f>
        <v>0.98</v>
      </c>
      <c r="G19" s="287">
        <f>1075.48+2843.17</f>
        <v>3918.65</v>
      </c>
      <c r="H19" s="235"/>
      <c r="I19" s="256">
        <f>F19+G19+H19</f>
        <v>3919.63</v>
      </c>
      <c r="J19" s="21"/>
      <c r="K19" s="7"/>
      <c r="L19" s="65">
        <f>I19+J19+K19</f>
        <v>3919.63</v>
      </c>
      <c r="M19" s="127"/>
      <c r="N19" s="7"/>
      <c r="O19" s="18">
        <f>L19+M19+N19</f>
        <v>3919.63</v>
      </c>
      <c r="P19" s="72"/>
      <c r="Q19" s="70">
        <f t="shared" si="1"/>
        <v>3919.63</v>
      </c>
    </row>
    <row r="20" spans="1:17" ht="12.75">
      <c r="A20" s="89" t="s">
        <v>319</v>
      </c>
      <c r="B20" s="82"/>
      <c r="C20" s="136">
        <v>30000</v>
      </c>
      <c r="D20" s="104"/>
      <c r="E20" s="236"/>
      <c r="F20" s="274">
        <f t="shared" si="3"/>
        <v>30000</v>
      </c>
      <c r="G20" s="287"/>
      <c r="H20" s="235"/>
      <c r="I20" s="256">
        <f>F20+G20+H20</f>
        <v>30000</v>
      </c>
      <c r="J20" s="21"/>
      <c r="K20" s="7"/>
      <c r="L20" s="65">
        <f>I20+J20+K20</f>
        <v>30000</v>
      </c>
      <c r="M20" s="127"/>
      <c r="N20" s="7"/>
      <c r="O20" s="18">
        <f>L20+M20+N20</f>
        <v>30000</v>
      </c>
      <c r="P20" s="72"/>
      <c r="Q20" s="70">
        <f t="shared" si="1"/>
        <v>30000</v>
      </c>
    </row>
    <row r="21" spans="1:17" ht="12.75">
      <c r="A21" s="26" t="s">
        <v>314</v>
      </c>
      <c r="B21" s="83"/>
      <c r="C21" s="136">
        <v>79816.15</v>
      </c>
      <c r="D21" s="104"/>
      <c r="E21" s="236"/>
      <c r="F21" s="274">
        <f t="shared" si="3"/>
        <v>79816.15</v>
      </c>
      <c r="G21" s="287"/>
      <c r="H21" s="235"/>
      <c r="I21" s="256">
        <f>F21+G21+H21</f>
        <v>79816.15</v>
      </c>
      <c r="J21" s="21"/>
      <c r="K21" s="7"/>
      <c r="L21" s="65">
        <f>I21+J21+K21</f>
        <v>79816.15</v>
      </c>
      <c r="M21" s="127"/>
      <c r="N21" s="7"/>
      <c r="O21" s="18">
        <f>L21+M21+N21</f>
        <v>79816.15</v>
      </c>
      <c r="P21" s="72"/>
      <c r="Q21" s="70">
        <f t="shared" si="1"/>
        <v>79816.15</v>
      </c>
    </row>
    <row r="22" spans="1:17" ht="12.75" hidden="1">
      <c r="A22" s="26" t="s">
        <v>315</v>
      </c>
      <c r="B22" s="83"/>
      <c r="C22" s="136"/>
      <c r="D22" s="104"/>
      <c r="E22" s="236"/>
      <c r="F22" s="274">
        <f t="shared" si="3"/>
        <v>0</v>
      </c>
      <c r="G22" s="287"/>
      <c r="H22" s="235"/>
      <c r="I22" s="256"/>
      <c r="J22" s="21"/>
      <c r="K22" s="7"/>
      <c r="L22" s="65"/>
      <c r="M22" s="127"/>
      <c r="N22" s="7"/>
      <c r="O22" s="18"/>
      <c r="P22" s="72"/>
      <c r="Q22" s="70"/>
    </row>
    <row r="23" spans="1:17" ht="12.75">
      <c r="A23" s="26" t="s">
        <v>316</v>
      </c>
      <c r="B23" s="83"/>
      <c r="C23" s="136"/>
      <c r="D23" s="104">
        <f>6.53+868.75+15.34+81.93+43.31+388.98+120</f>
        <v>1524.84</v>
      </c>
      <c r="E23" s="236"/>
      <c r="F23" s="274">
        <f t="shared" si="3"/>
        <v>1524.84</v>
      </c>
      <c r="G23" s="287">
        <f>2.45+2+6+4.15+267+62.15+161.43+90+95.88+435+220+10.2+628.14+1638.07+19.26</f>
        <v>3641.7300000000005</v>
      </c>
      <c r="H23" s="235"/>
      <c r="I23" s="256">
        <f>F23+G23+H23</f>
        <v>5166.570000000001</v>
      </c>
      <c r="J23" s="21"/>
      <c r="K23" s="7"/>
      <c r="L23" s="65">
        <f>I23+J23+K23</f>
        <v>5166.570000000001</v>
      </c>
      <c r="M23" s="212"/>
      <c r="N23" s="7"/>
      <c r="O23" s="18">
        <f>L23+M23+N23</f>
        <v>5166.570000000001</v>
      </c>
      <c r="P23" s="72"/>
      <c r="Q23" s="70">
        <f t="shared" si="1"/>
        <v>5166.570000000001</v>
      </c>
    </row>
    <row r="24" spans="1:17" ht="12.75">
      <c r="A24" s="25" t="s">
        <v>22</v>
      </c>
      <c r="B24" s="82"/>
      <c r="C24" s="136">
        <f>SUM(C25:C30)</f>
        <v>97590.6</v>
      </c>
      <c r="D24" s="104">
        <f aca="true" t="shared" si="4" ref="D24:Q24">SUM(D25:D30)</f>
        <v>1348.51</v>
      </c>
      <c r="E24" s="236">
        <f t="shared" si="4"/>
        <v>0</v>
      </c>
      <c r="F24" s="274">
        <f t="shared" si="4"/>
        <v>98939.11000000002</v>
      </c>
      <c r="G24" s="287">
        <f t="shared" si="4"/>
        <v>-332.11</v>
      </c>
      <c r="H24" s="236">
        <f t="shared" si="4"/>
        <v>0</v>
      </c>
      <c r="I24" s="256">
        <f t="shared" si="4"/>
        <v>98607</v>
      </c>
      <c r="J24" s="136">
        <f t="shared" si="4"/>
        <v>0</v>
      </c>
      <c r="K24" s="104">
        <f t="shared" si="4"/>
        <v>0</v>
      </c>
      <c r="L24" s="180">
        <f t="shared" si="4"/>
        <v>98607</v>
      </c>
      <c r="M24" s="151">
        <f t="shared" si="4"/>
        <v>0</v>
      </c>
      <c r="N24" s="105">
        <f t="shared" si="4"/>
        <v>0</v>
      </c>
      <c r="O24" s="105">
        <f t="shared" si="4"/>
        <v>98607</v>
      </c>
      <c r="P24" s="105">
        <f t="shared" si="4"/>
        <v>0</v>
      </c>
      <c r="Q24" s="105">
        <f t="shared" si="4"/>
        <v>98607</v>
      </c>
    </row>
    <row r="25" spans="1:17" ht="12.75">
      <c r="A25" s="25" t="s">
        <v>23</v>
      </c>
      <c r="B25" s="82"/>
      <c r="C25" s="136">
        <v>38857.2</v>
      </c>
      <c r="D25" s="104">
        <f>1348.51</f>
        <v>1348.51</v>
      </c>
      <c r="E25" s="236"/>
      <c r="F25" s="274">
        <f t="shared" si="3"/>
        <v>40205.71</v>
      </c>
      <c r="G25" s="287">
        <f>35.94</f>
        <v>35.94</v>
      </c>
      <c r="H25" s="235"/>
      <c r="I25" s="256">
        <f aca="true" t="shared" si="5" ref="I25:I31">F25+G25+H25</f>
        <v>40241.65</v>
      </c>
      <c r="J25" s="21"/>
      <c r="K25" s="7"/>
      <c r="L25" s="65">
        <f aca="true" t="shared" si="6" ref="L25:L30">I25+J25+K25</f>
        <v>40241.65</v>
      </c>
      <c r="M25" s="127"/>
      <c r="N25" s="7"/>
      <c r="O25" s="18">
        <f aca="true" t="shared" si="7" ref="O25:O30">L25+M25+N25</f>
        <v>40241.65</v>
      </c>
      <c r="P25" s="72"/>
      <c r="Q25" s="70">
        <f t="shared" si="1"/>
        <v>40241.65</v>
      </c>
    </row>
    <row r="26" spans="1:17" ht="12.75">
      <c r="A26" s="26" t="s">
        <v>161</v>
      </c>
      <c r="B26" s="83"/>
      <c r="C26" s="136">
        <v>1004.6</v>
      </c>
      <c r="D26" s="104"/>
      <c r="E26" s="236"/>
      <c r="F26" s="274">
        <f t="shared" si="3"/>
        <v>1004.6</v>
      </c>
      <c r="G26" s="287">
        <f>-894.45</f>
        <v>-894.45</v>
      </c>
      <c r="H26" s="235"/>
      <c r="I26" s="256">
        <f t="shared" si="5"/>
        <v>110.14999999999998</v>
      </c>
      <c r="J26" s="21"/>
      <c r="K26" s="7"/>
      <c r="L26" s="65">
        <f t="shared" si="6"/>
        <v>110.14999999999998</v>
      </c>
      <c r="M26" s="127"/>
      <c r="N26" s="7"/>
      <c r="O26" s="18">
        <f t="shared" si="7"/>
        <v>110.14999999999998</v>
      </c>
      <c r="P26" s="72"/>
      <c r="Q26" s="70">
        <f t="shared" si="1"/>
        <v>110.14999999999998</v>
      </c>
    </row>
    <row r="27" spans="1:17" ht="12.75">
      <c r="A27" s="25" t="s">
        <v>24</v>
      </c>
      <c r="B27" s="82"/>
      <c r="C27" s="136">
        <v>18468</v>
      </c>
      <c r="D27" s="104"/>
      <c r="E27" s="236"/>
      <c r="F27" s="274">
        <f t="shared" si="3"/>
        <v>18468</v>
      </c>
      <c r="G27" s="287"/>
      <c r="H27" s="235"/>
      <c r="I27" s="256">
        <f t="shared" si="5"/>
        <v>18468</v>
      </c>
      <c r="J27" s="21"/>
      <c r="K27" s="7"/>
      <c r="L27" s="65">
        <f t="shared" si="6"/>
        <v>18468</v>
      </c>
      <c r="M27" s="127"/>
      <c r="N27" s="7"/>
      <c r="O27" s="18">
        <f t="shared" si="7"/>
        <v>18468</v>
      </c>
      <c r="P27" s="72"/>
      <c r="Q27" s="70">
        <f t="shared" si="1"/>
        <v>18468</v>
      </c>
    </row>
    <row r="28" spans="1:17" ht="12.75">
      <c r="A28" s="26" t="s">
        <v>162</v>
      </c>
      <c r="B28" s="83"/>
      <c r="C28" s="136">
        <v>9053.1</v>
      </c>
      <c r="D28" s="104"/>
      <c r="E28" s="236"/>
      <c r="F28" s="274">
        <f t="shared" si="3"/>
        <v>9053.1</v>
      </c>
      <c r="G28" s="287">
        <f>526.4</f>
        <v>526.4</v>
      </c>
      <c r="H28" s="235"/>
      <c r="I28" s="256">
        <f t="shared" si="5"/>
        <v>9579.5</v>
      </c>
      <c r="J28" s="21"/>
      <c r="K28" s="7"/>
      <c r="L28" s="65">
        <f t="shared" si="6"/>
        <v>9579.5</v>
      </c>
      <c r="M28" s="127"/>
      <c r="N28" s="7"/>
      <c r="O28" s="18">
        <f t="shared" si="7"/>
        <v>9579.5</v>
      </c>
      <c r="P28" s="72"/>
      <c r="Q28" s="70">
        <f t="shared" si="1"/>
        <v>9579.5</v>
      </c>
    </row>
    <row r="29" spans="1:17" ht="12.75">
      <c r="A29" s="26" t="s">
        <v>286</v>
      </c>
      <c r="B29" s="83"/>
      <c r="C29" s="136">
        <v>268.8</v>
      </c>
      <c r="D29" s="104"/>
      <c r="E29" s="236"/>
      <c r="F29" s="274">
        <f t="shared" si="3"/>
        <v>268.8</v>
      </c>
      <c r="G29" s="287"/>
      <c r="H29" s="235"/>
      <c r="I29" s="256">
        <f t="shared" si="5"/>
        <v>268.8</v>
      </c>
      <c r="J29" s="21"/>
      <c r="K29" s="7"/>
      <c r="L29" s="65">
        <f t="shared" si="6"/>
        <v>268.8</v>
      </c>
      <c r="M29" s="127"/>
      <c r="N29" s="7"/>
      <c r="O29" s="18">
        <f t="shared" si="7"/>
        <v>268.8</v>
      </c>
      <c r="P29" s="72"/>
      <c r="Q29" s="70">
        <f t="shared" si="1"/>
        <v>268.8</v>
      </c>
    </row>
    <row r="30" spans="1:17" ht="12.75">
      <c r="A30" s="26" t="s">
        <v>163</v>
      </c>
      <c r="B30" s="83"/>
      <c r="C30" s="136">
        <v>29938.9</v>
      </c>
      <c r="D30" s="104"/>
      <c r="E30" s="236"/>
      <c r="F30" s="274">
        <f t="shared" si="3"/>
        <v>29938.9</v>
      </c>
      <c r="G30" s="287"/>
      <c r="H30" s="235"/>
      <c r="I30" s="256">
        <f t="shared" si="5"/>
        <v>29938.9</v>
      </c>
      <c r="J30" s="21"/>
      <c r="K30" s="7"/>
      <c r="L30" s="65">
        <f t="shared" si="6"/>
        <v>29938.9</v>
      </c>
      <c r="M30" s="127"/>
      <c r="N30" s="7"/>
      <c r="O30" s="18">
        <f t="shared" si="7"/>
        <v>29938.9</v>
      </c>
      <c r="P30" s="72"/>
      <c r="Q30" s="70">
        <f>O30+P30</f>
        <v>29938.9</v>
      </c>
    </row>
    <row r="31" spans="1:12" ht="12.75">
      <c r="A31" s="26" t="s">
        <v>216</v>
      </c>
      <c r="B31" s="83"/>
      <c r="C31" s="136"/>
      <c r="D31" s="132">
        <f>1009+39.86+1108+67.75+837.8+5686.34+508.41</f>
        <v>9257.16</v>
      </c>
      <c r="E31" s="236"/>
      <c r="F31" s="274">
        <f t="shared" si="3"/>
        <v>9257.16</v>
      </c>
      <c r="G31" s="288">
        <f>805.17+307+17525+5000+351</f>
        <v>23988.17</v>
      </c>
      <c r="H31" s="237"/>
      <c r="I31" s="256">
        <f t="shared" si="5"/>
        <v>33245.33</v>
      </c>
      <c r="J31" s="83"/>
      <c r="K31" s="195"/>
      <c r="L31" s="69"/>
    </row>
    <row r="32" spans="1:17" ht="12.75">
      <c r="A32" s="27" t="s">
        <v>253</v>
      </c>
      <c r="B32" s="84"/>
      <c r="C32" s="130">
        <f>SUM(C34:C38)</f>
        <v>16790</v>
      </c>
      <c r="D32" s="107">
        <f aca="true" t="shared" si="8" ref="D32:Q32">SUM(D34:D38)</f>
        <v>0</v>
      </c>
      <c r="E32" s="238">
        <f t="shared" si="8"/>
        <v>0</v>
      </c>
      <c r="F32" s="275">
        <f t="shared" si="8"/>
        <v>16790</v>
      </c>
      <c r="G32" s="289">
        <f t="shared" si="8"/>
        <v>0</v>
      </c>
      <c r="H32" s="238">
        <f t="shared" si="8"/>
        <v>0</v>
      </c>
      <c r="I32" s="258">
        <f t="shared" si="8"/>
        <v>16790</v>
      </c>
      <c r="J32" s="130">
        <f t="shared" si="8"/>
        <v>0</v>
      </c>
      <c r="K32" s="107">
        <f t="shared" si="8"/>
        <v>0</v>
      </c>
      <c r="L32" s="181">
        <f t="shared" si="8"/>
        <v>15000</v>
      </c>
      <c r="M32" s="152">
        <f t="shared" si="8"/>
        <v>0</v>
      </c>
      <c r="N32" s="106">
        <f t="shared" si="8"/>
        <v>0</v>
      </c>
      <c r="O32" s="106">
        <f t="shared" si="8"/>
        <v>15000</v>
      </c>
      <c r="P32" s="106">
        <f t="shared" si="8"/>
        <v>0</v>
      </c>
      <c r="Q32" s="106">
        <f t="shared" si="8"/>
        <v>15000</v>
      </c>
    </row>
    <row r="33" spans="1:17" ht="11.25" customHeight="1">
      <c r="A33" s="24" t="s">
        <v>20</v>
      </c>
      <c r="B33" s="81"/>
      <c r="C33" s="136"/>
      <c r="D33" s="104"/>
      <c r="E33" s="236"/>
      <c r="F33" s="274"/>
      <c r="G33" s="287"/>
      <c r="H33" s="235"/>
      <c r="I33" s="256"/>
      <c r="J33" s="21"/>
      <c r="K33" s="7"/>
      <c r="L33" s="65"/>
      <c r="M33" s="127"/>
      <c r="N33" s="7"/>
      <c r="O33" s="18"/>
      <c r="P33" s="72"/>
      <c r="Q33" s="70"/>
    </row>
    <row r="34" spans="1:17" ht="12.75" hidden="1">
      <c r="A34" s="89" t="s">
        <v>123</v>
      </c>
      <c r="B34" s="82"/>
      <c r="C34" s="136"/>
      <c r="D34" s="104"/>
      <c r="E34" s="236"/>
      <c r="F34" s="274">
        <f>C34+D34+E34</f>
        <v>0</v>
      </c>
      <c r="G34" s="287"/>
      <c r="H34" s="235"/>
      <c r="I34" s="256">
        <f>F34+G34+H34</f>
        <v>0</v>
      </c>
      <c r="J34" s="21"/>
      <c r="K34" s="7"/>
      <c r="L34" s="65">
        <f>I34+J34+K34</f>
        <v>0</v>
      </c>
      <c r="M34" s="127"/>
      <c r="N34" s="7"/>
      <c r="O34" s="18">
        <f>L34+M34+N34</f>
        <v>0</v>
      </c>
      <c r="P34" s="72"/>
      <c r="Q34" s="70">
        <f t="shared" si="1"/>
        <v>0</v>
      </c>
    </row>
    <row r="35" spans="1:17" ht="12.75" hidden="1">
      <c r="A35" s="26" t="s">
        <v>118</v>
      </c>
      <c r="B35" s="83"/>
      <c r="C35" s="136"/>
      <c r="D35" s="104"/>
      <c r="E35" s="236"/>
      <c r="F35" s="274">
        <f>C35+D35+E35</f>
        <v>0</v>
      </c>
      <c r="G35" s="287"/>
      <c r="H35" s="235"/>
      <c r="I35" s="256">
        <f>F35+G35+H35</f>
        <v>0</v>
      </c>
      <c r="J35" s="197"/>
      <c r="K35" s="7"/>
      <c r="L35" s="65">
        <f>I35+J35+K35</f>
        <v>0</v>
      </c>
      <c r="M35" s="212"/>
      <c r="N35" s="7"/>
      <c r="O35" s="18">
        <f>L35+M35+N35</f>
        <v>0</v>
      </c>
      <c r="P35" s="72"/>
      <c r="Q35" s="70">
        <f t="shared" si="1"/>
        <v>0</v>
      </c>
    </row>
    <row r="36" spans="1:17" ht="12.75">
      <c r="A36" s="26" t="s">
        <v>121</v>
      </c>
      <c r="B36" s="83"/>
      <c r="C36" s="136">
        <v>1790</v>
      </c>
      <c r="D36" s="104"/>
      <c r="E36" s="236"/>
      <c r="F36" s="274">
        <f>C36+D36+E36</f>
        <v>1790</v>
      </c>
      <c r="G36" s="287"/>
      <c r="H36" s="235"/>
      <c r="I36" s="256">
        <f>F36+G36+H36</f>
        <v>1790</v>
      </c>
      <c r="J36" s="197"/>
      <c r="K36" s="7"/>
      <c r="L36" s="65"/>
      <c r="M36" s="212"/>
      <c r="N36" s="7"/>
      <c r="O36" s="18"/>
      <c r="P36" s="72"/>
      <c r="Q36" s="70"/>
    </row>
    <row r="37" spans="1:17" ht="12.75" hidden="1">
      <c r="A37" s="26" t="s">
        <v>128</v>
      </c>
      <c r="B37" s="83"/>
      <c r="C37" s="136"/>
      <c r="D37" s="104"/>
      <c r="E37" s="236"/>
      <c r="F37" s="274">
        <f>C37+D37+E37</f>
        <v>0</v>
      </c>
      <c r="G37" s="287"/>
      <c r="H37" s="235"/>
      <c r="I37" s="256">
        <f>F37+G37+H37</f>
        <v>0</v>
      </c>
      <c r="J37" s="197"/>
      <c r="K37" s="7"/>
      <c r="L37" s="65">
        <f>I37+J37+K37</f>
        <v>0</v>
      </c>
      <c r="M37" s="212"/>
      <c r="N37" s="7"/>
      <c r="O37" s="18">
        <f>L37+M37+N37</f>
        <v>0</v>
      </c>
      <c r="P37" s="72"/>
      <c r="Q37" s="70">
        <f t="shared" si="1"/>
        <v>0</v>
      </c>
    </row>
    <row r="38" spans="1:17" ht="12.75">
      <c r="A38" s="89" t="s">
        <v>287</v>
      </c>
      <c r="B38" s="82"/>
      <c r="C38" s="136">
        <v>15000</v>
      </c>
      <c r="D38" s="104"/>
      <c r="E38" s="236"/>
      <c r="F38" s="274">
        <f>C38+D38+E38</f>
        <v>15000</v>
      </c>
      <c r="G38" s="287"/>
      <c r="H38" s="235"/>
      <c r="I38" s="256">
        <f>F38+G38+H38</f>
        <v>15000</v>
      </c>
      <c r="J38" s="21"/>
      <c r="K38" s="7"/>
      <c r="L38" s="65">
        <f>I38+J38+K38</f>
        <v>15000</v>
      </c>
      <c r="M38" s="127"/>
      <c r="N38" s="7"/>
      <c r="O38" s="18">
        <f>L38+M38+N38</f>
        <v>15000</v>
      </c>
      <c r="P38" s="72"/>
      <c r="Q38" s="70">
        <f t="shared" si="1"/>
        <v>15000</v>
      </c>
    </row>
    <row r="39" spans="1:17" ht="12.75">
      <c r="A39" s="27" t="s">
        <v>254</v>
      </c>
      <c r="B39" s="82"/>
      <c r="C39" s="136"/>
      <c r="D39" s="104"/>
      <c r="E39" s="236"/>
      <c r="F39" s="274"/>
      <c r="G39" s="287"/>
      <c r="H39" s="235"/>
      <c r="I39" s="256"/>
      <c r="J39" s="21"/>
      <c r="K39" s="7"/>
      <c r="L39" s="65"/>
      <c r="M39" s="127"/>
      <c r="N39" s="7"/>
      <c r="O39" s="18"/>
      <c r="P39" s="72"/>
      <c r="Q39" s="70"/>
    </row>
    <row r="40" spans="1:17" ht="12.75">
      <c r="A40" s="23" t="s">
        <v>26</v>
      </c>
      <c r="B40" s="80"/>
      <c r="C40" s="143">
        <f>SUM(C42:C61)</f>
        <v>83932.3</v>
      </c>
      <c r="D40" s="103">
        <f aca="true" t="shared" si="9" ref="D40:Q40">SUM(D42:D61)</f>
        <v>7069317.0600000005</v>
      </c>
      <c r="E40" s="233">
        <f t="shared" si="9"/>
        <v>0</v>
      </c>
      <c r="F40" s="254">
        <f t="shared" si="9"/>
        <v>7153249.360000001</v>
      </c>
      <c r="G40" s="286">
        <f t="shared" si="9"/>
        <v>192456.34</v>
      </c>
      <c r="H40" s="233">
        <f t="shared" si="9"/>
        <v>0</v>
      </c>
      <c r="I40" s="257">
        <f t="shared" si="9"/>
        <v>7345705.7</v>
      </c>
      <c r="J40" s="143">
        <f t="shared" si="9"/>
        <v>0</v>
      </c>
      <c r="K40" s="103">
        <f t="shared" si="9"/>
        <v>0</v>
      </c>
      <c r="L40" s="158">
        <f t="shared" si="9"/>
        <v>7342306.19</v>
      </c>
      <c r="M40" s="128">
        <f t="shared" si="9"/>
        <v>0</v>
      </c>
      <c r="N40" s="102">
        <f t="shared" si="9"/>
        <v>0</v>
      </c>
      <c r="O40" s="102">
        <f t="shared" si="9"/>
        <v>7342306.19</v>
      </c>
      <c r="P40" s="102">
        <f t="shared" si="9"/>
        <v>0</v>
      </c>
      <c r="Q40" s="102">
        <f t="shared" si="9"/>
        <v>7342306.19</v>
      </c>
    </row>
    <row r="41" spans="1:17" ht="10.5" customHeight="1">
      <c r="A41" s="28" t="s">
        <v>27</v>
      </c>
      <c r="B41" s="85"/>
      <c r="C41" s="136"/>
      <c r="D41" s="104"/>
      <c r="E41" s="236"/>
      <c r="F41" s="274"/>
      <c r="G41" s="287"/>
      <c r="H41" s="235"/>
      <c r="I41" s="256"/>
      <c r="J41" s="21"/>
      <c r="K41" s="7"/>
      <c r="L41" s="65"/>
      <c r="M41" s="127"/>
      <c r="N41" s="7"/>
      <c r="O41" s="18"/>
      <c r="P41" s="72"/>
      <c r="Q41" s="70"/>
    </row>
    <row r="42" spans="1:17" ht="12.75">
      <c r="A42" s="26" t="s">
        <v>28</v>
      </c>
      <c r="B42" s="83"/>
      <c r="C42" s="136">
        <v>83682.3</v>
      </c>
      <c r="D42" s="104"/>
      <c r="E42" s="236"/>
      <c r="F42" s="274">
        <f aca="true" t="shared" si="10" ref="F42:F61">C42+D42+E42</f>
        <v>83682.3</v>
      </c>
      <c r="G42" s="287"/>
      <c r="H42" s="235"/>
      <c r="I42" s="256">
        <f>F42+G42+H42</f>
        <v>83682.3</v>
      </c>
      <c r="J42" s="21"/>
      <c r="K42" s="7"/>
      <c r="L42" s="65">
        <f>I42+J42+K42</f>
        <v>83682.3</v>
      </c>
      <c r="M42" s="127"/>
      <c r="N42" s="7"/>
      <c r="O42" s="18">
        <f>L42+M42+N42</f>
        <v>83682.3</v>
      </c>
      <c r="P42" s="72"/>
      <c r="Q42" s="70">
        <f t="shared" si="1"/>
        <v>83682.3</v>
      </c>
    </row>
    <row r="43" spans="1:17" ht="12.75">
      <c r="A43" s="26" t="s">
        <v>29</v>
      </c>
      <c r="B43" s="83"/>
      <c r="C43" s="136"/>
      <c r="D43" s="104">
        <f>200+30+150+15.68</f>
        <v>395.68</v>
      </c>
      <c r="E43" s="236"/>
      <c r="F43" s="274">
        <f t="shared" si="10"/>
        <v>395.68</v>
      </c>
      <c r="G43" s="287">
        <f>21.42+29.3</f>
        <v>50.72</v>
      </c>
      <c r="H43" s="235"/>
      <c r="I43" s="256">
        <f aca="true" t="shared" si="11" ref="I43:I61">F43+G43+H43</f>
        <v>446.4</v>
      </c>
      <c r="J43" s="21"/>
      <c r="K43" s="7"/>
      <c r="L43" s="65">
        <f aca="true" t="shared" si="12" ref="L43:L61">I43+J43+K43</f>
        <v>446.4</v>
      </c>
      <c r="M43" s="127"/>
      <c r="N43" s="7"/>
      <c r="O43" s="18">
        <f aca="true" t="shared" si="13" ref="O43:O61">L43+M43+N43</f>
        <v>446.4</v>
      </c>
      <c r="P43" s="72"/>
      <c r="Q43" s="70">
        <f t="shared" si="1"/>
        <v>446.4</v>
      </c>
    </row>
    <row r="44" spans="1:17" ht="12.75">
      <c r="A44" s="26" t="s">
        <v>30</v>
      </c>
      <c r="B44" s="83"/>
      <c r="C44" s="136"/>
      <c r="D44" s="104">
        <f>1373+71282.48+5806196.47+612.5+5782.93+2043.37+5938+10259.23+482.38+3261.32+9128.57+206.42</f>
        <v>5916566.670000001</v>
      </c>
      <c r="E44" s="236"/>
      <c r="F44" s="274">
        <f t="shared" si="10"/>
        <v>5916566.670000001</v>
      </c>
      <c r="G44" s="287">
        <f>135.06+1476.68+720.53+1659.16+520+160.14+271.7+546.71+361.27+680.95+211.52+1396.04+422.23+72228.5+3280.86+5224.6+765.24+5659.95+1500-60.39-54.14+2855.25</f>
        <v>99961.86000000002</v>
      </c>
      <c r="H44" s="235"/>
      <c r="I44" s="256">
        <f t="shared" si="11"/>
        <v>6016528.530000001</v>
      </c>
      <c r="J44" s="21"/>
      <c r="K44" s="7"/>
      <c r="L44" s="65">
        <f t="shared" si="12"/>
        <v>6016528.530000001</v>
      </c>
      <c r="M44" s="127"/>
      <c r="N44" s="7"/>
      <c r="O44" s="18">
        <f t="shared" si="13"/>
        <v>6016528.530000001</v>
      </c>
      <c r="P44" s="72"/>
      <c r="Q44" s="70">
        <f t="shared" si="1"/>
        <v>6016528.530000001</v>
      </c>
    </row>
    <row r="45" spans="1:17" ht="12.75">
      <c r="A45" s="26" t="s">
        <v>31</v>
      </c>
      <c r="B45" s="83"/>
      <c r="C45" s="136"/>
      <c r="D45" s="104">
        <f>782123.8+57358.39+7000+566.83+29847.76</f>
        <v>876896.78</v>
      </c>
      <c r="E45" s="236"/>
      <c r="F45" s="274">
        <f t="shared" si="10"/>
        <v>876896.78</v>
      </c>
      <c r="G45" s="287">
        <f>643.52+2510.76+2343.04+570+1249.89+4287.51+631.78+585.81</f>
        <v>12822.310000000001</v>
      </c>
      <c r="H45" s="235"/>
      <c r="I45" s="256">
        <f t="shared" si="11"/>
        <v>889719.0900000001</v>
      </c>
      <c r="J45" s="21"/>
      <c r="K45" s="7"/>
      <c r="L45" s="65">
        <f t="shared" si="12"/>
        <v>889719.0900000001</v>
      </c>
      <c r="M45" s="127"/>
      <c r="N45" s="7"/>
      <c r="O45" s="18">
        <f t="shared" si="13"/>
        <v>889719.0900000001</v>
      </c>
      <c r="P45" s="72"/>
      <c r="Q45" s="70">
        <f t="shared" si="1"/>
        <v>889719.0900000001</v>
      </c>
    </row>
    <row r="46" spans="1:17" ht="12.75">
      <c r="A46" s="26" t="s">
        <v>32</v>
      </c>
      <c r="B46" s="83"/>
      <c r="C46" s="136"/>
      <c r="D46" s="104">
        <f>55.91</f>
        <v>55.91</v>
      </c>
      <c r="E46" s="236"/>
      <c r="F46" s="274">
        <f t="shared" si="10"/>
        <v>55.91</v>
      </c>
      <c r="G46" s="287">
        <f>141.99+36.6+73.26+39.76+18.3+846.6+21.98+110.15+13.17</f>
        <v>1301.8100000000002</v>
      </c>
      <c r="H46" s="235"/>
      <c r="I46" s="256">
        <f t="shared" si="11"/>
        <v>1357.7200000000003</v>
      </c>
      <c r="J46" s="21"/>
      <c r="K46" s="7"/>
      <c r="L46" s="65">
        <f t="shared" si="12"/>
        <v>1357.7200000000003</v>
      </c>
      <c r="M46" s="127"/>
      <c r="N46" s="7"/>
      <c r="O46" s="18">
        <f t="shared" si="13"/>
        <v>1357.7200000000003</v>
      </c>
      <c r="P46" s="72"/>
      <c r="Q46" s="70">
        <f t="shared" si="1"/>
        <v>1357.7200000000003</v>
      </c>
    </row>
    <row r="47" spans="1:17" ht="12.75">
      <c r="A47" s="26" t="s">
        <v>33</v>
      </c>
      <c r="B47" s="83"/>
      <c r="C47" s="136"/>
      <c r="D47" s="104"/>
      <c r="E47" s="236"/>
      <c r="F47" s="274">
        <f t="shared" si="10"/>
        <v>0</v>
      </c>
      <c r="G47" s="287">
        <f>320+150+340+88</f>
        <v>898</v>
      </c>
      <c r="H47" s="235"/>
      <c r="I47" s="256">
        <f t="shared" si="11"/>
        <v>898</v>
      </c>
      <c r="J47" s="21"/>
      <c r="K47" s="7"/>
      <c r="L47" s="65">
        <f t="shared" si="12"/>
        <v>898</v>
      </c>
      <c r="M47" s="127"/>
      <c r="N47" s="7"/>
      <c r="O47" s="18">
        <f t="shared" si="13"/>
        <v>898</v>
      </c>
      <c r="P47" s="72"/>
      <c r="Q47" s="70">
        <f t="shared" si="1"/>
        <v>898</v>
      </c>
    </row>
    <row r="48" spans="1:17" ht="12.75">
      <c r="A48" s="26" t="s">
        <v>338</v>
      </c>
      <c r="B48" s="83"/>
      <c r="C48" s="136"/>
      <c r="D48" s="104"/>
      <c r="E48" s="236"/>
      <c r="F48" s="274">
        <f t="shared" si="10"/>
        <v>0</v>
      </c>
      <c r="G48" s="287">
        <f>2000+170</f>
        <v>2170</v>
      </c>
      <c r="H48" s="235"/>
      <c r="I48" s="256">
        <f t="shared" si="11"/>
        <v>2170</v>
      </c>
      <c r="J48" s="21"/>
      <c r="K48" s="7"/>
      <c r="L48" s="65">
        <f t="shared" si="12"/>
        <v>2170</v>
      </c>
      <c r="M48" s="127"/>
      <c r="N48" s="7"/>
      <c r="O48" s="18">
        <f t="shared" si="13"/>
        <v>2170</v>
      </c>
      <c r="P48" s="72"/>
      <c r="Q48" s="70">
        <f t="shared" si="1"/>
        <v>2170</v>
      </c>
    </row>
    <row r="49" spans="1:17" ht="12.75" hidden="1">
      <c r="A49" s="26" t="s">
        <v>34</v>
      </c>
      <c r="B49" s="83"/>
      <c r="C49" s="136"/>
      <c r="D49" s="104"/>
      <c r="E49" s="236"/>
      <c r="F49" s="274">
        <f t="shared" si="10"/>
        <v>0</v>
      </c>
      <c r="G49" s="287"/>
      <c r="H49" s="235"/>
      <c r="I49" s="256">
        <f t="shared" si="11"/>
        <v>0</v>
      </c>
      <c r="J49" s="21"/>
      <c r="K49" s="7"/>
      <c r="L49" s="65">
        <f t="shared" si="12"/>
        <v>0</v>
      </c>
      <c r="M49" s="127"/>
      <c r="N49" s="7"/>
      <c r="O49" s="18">
        <f t="shared" si="13"/>
        <v>0</v>
      </c>
      <c r="P49" s="72"/>
      <c r="Q49" s="70">
        <f t="shared" si="1"/>
        <v>0</v>
      </c>
    </row>
    <row r="50" spans="1:17" ht="12.75">
      <c r="A50" s="26" t="s">
        <v>154</v>
      </c>
      <c r="B50" s="83"/>
      <c r="C50" s="136"/>
      <c r="D50" s="104">
        <f>270393.45</f>
        <v>270393.45</v>
      </c>
      <c r="E50" s="236"/>
      <c r="F50" s="274">
        <f t="shared" si="10"/>
        <v>270393.45</v>
      </c>
      <c r="G50" s="287"/>
      <c r="H50" s="235"/>
      <c r="I50" s="256">
        <f t="shared" si="11"/>
        <v>270393.45</v>
      </c>
      <c r="J50" s="21"/>
      <c r="K50" s="7"/>
      <c r="L50" s="65">
        <f t="shared" si="12"/>
        <v>270393.45</v>
      </c>
      <c r="M50" s="127"/>
      <c r="N50" s="7"/>
      <c r="O50" s="18">
        <f t="shared" si="13"/>
        <v>270393.45</v>
      </c>
      <c r="P50" s="72"/>
      <c r="Q50" s="70">
        <f t="shared" si="1"/>
        <v>270393.45</v>
      </c>
    </row>
    <row r="51" spans="1:17" ht="12.75">
      <c r="A51" s="26" t="s">
        <v>166</v>
      </c>
      <c r="B51" s="83"/>
      <c r="C51" s="136"/>
      <c r="D51" s="104">
        <f>3399.51</f>
        <v>3399.51</v>
      </c>
      <c r="E51" s="236"/>
      <c r="F51" s="274">
        <f t="shared" si="10"/>
        <v>3399.51</v>
      </c>
      <c r="G51" s="287"/>
      <c r="H51" s="235"/>
      <c r="I51" s="256">
        <f t="shared" si="11"/>
        <v>3399.51</v>
      </c>
      <c r="J51" s="21"/>
      <c r="K51" s="7"/>
      <c r="L51" s="65"/>
      <c r="M51" s="127"/>
      <c r="N51" s="7"/>
      <c r="O51" s="18">
        <f t="shared" si="13"/>
        <v>0</v>
      </c>
      <c r="P51" s="72"/>
      <c r="Q51" s="70">
        <f t="shared" si="1"/>
        <v>0</v>
      </c>
    </row>
    <row r="52" spans="1:17" ht="12.75">
      <c r="A52" s="26" t="s">
        <v>35</v>
      </c>
      <c r="B52" s="83"/>
      <c r="C52" s="136"/>
      <c r="D52" s="104">
        <f>1609.06</f>
        <v>1609.06</v>
      </c>
      <c r="E52" s="236"/>
      <c r="F52" s="274">
        <f t="shared" si="10"/>
        <v>1609.06</v>
      </c>
      <c r="G52" s="287"/>
      <c r="H52" s="235"/>
      <c r="I52" s="256">
        <f t="shared" si="11"/>
        <v>1609.06</v>
      </c>
      <c r="J52" s="21"/>
      <c r="K52" s="7"/>
      <c r="L52" s="65">
        <f t="shared" si="12"/>
        <v>1609.06</v>
      </c>
      <c r="M52" s="127"/>
      <c r="N52" s="7"/>
      <c r="O52" s="18">
        <f t="shared" si="13"/>
        <v>1609.06</v>
      </c>
      <c r="P52" s="77"/>
      <c r="Q52" s="70">
        <f t="shared" si="1"/>
        <v>1609.06</v>
      </c>
    </row>
    <row r="53" spans="1:17" ht="12.75">
      <c r="A53" s="26" t="s">
        <v>36</v>
      </c>
      <c r="B53" s="83"/>
      <c r="C53" s="136"/>
      <c r="D53" s="104"/>
      <c r="E53" s="236"/>
      <c r="F53" s="274">
        <f t="shared" si="10"/>
        <v>0</v>
      </c>
      <c r="G53" s="287">
        <f>88+250</f>
        <v>338</v>
      </c>
      <c r="H53" s="235"/>
      <c r="I53" s="256">
        <f t="shared" si="11"/>
        <v>338</v>
      </c>
      <c r="J53" s="197"/>
      <c r="K53" s="7"/>
      <c r="L53" s="65">
        <f t="shared" si="12"/>
        <v>338</v>
      </c>
      <c r="M53" s="127"/>
      <c r="N53" s="7"/>
      <c r="O53" s="18">
        <f t="shared" si="13"/>
        <v>338</v>
      </c>
      <c r="P53" s="72"/>
      <c r="Q53" s="70">
        <f t="shared" si="1"/>
        <v>338</v>
      </c>
    </row>
    <row r="54" spans="1:17" ht="12.75" hidden="1">
      <c r="A54" s="26" t="s">
        <v>225</v>
      </c>
      <c r="B54" s="83"/>
      <c r="C54" s="136"/>
      <c r="D54" s="104"/>
      <c r="E54" s="236"/>
      <c r="F54" s="274">
        <f t="shared" si="10"/>
        <v>0</v>
      </c>
      <c r="G54" s="287"/>
      <c r="H54" s="235"/>
      <c r="I54" s="256">
        <f t="shared" si="11"/>
        <v>0</v>
      </c>
      <c r="J54" s="197"/>
      <c r="K54" s="7"/>
      <c r="L54" s="65"/>
      <c r="M54" s="127"/>
      <c r="N54" s="7"/>
      <c r="O54" s="18"/>
      <c r="P54" s="72"/>
      <c r="Q54" s="70"/>
    </row>
    <row r="55" spans="1:17" ht="12.75" hidden="1">
      <c r="A55" s="26" t="s">
        <v>167</v>
      </c>
      <c r="B55" s="83"/>
      <c r="C55" s="136"/>
      <c r="D55" s="104"/>
      <c r="E55" s="236"/>
      <c r="F55" s="274">
        <f t="shared" si="10"/>
        <v>0</v>
      </c>
      <c r="G55" s="287"/>
      <c r="H55" s="235"/>
      <c r="I55" s="256">
        <f t="shared" si="11"/>
        <v>0</v>
      </c>
      <c r="J55" s="197"/>
      <c r="K55" s="7"/>
      <c r="L55" s="65"/>
      <c r="M55" s="127"/>
      <c r="N55" s="7"/>
      <c r="O55" s="18">
        <f t="shared" si="13"/>
        <v>0</v>
      </c>
      <c r="P55" s="72"/>
      <c r="Q55" s="70">
        <f t="shared" si="1"/>
        <v>0</v>
      </c>
    </row>
    <row r="56" spans="1:17" ht="12.75" hidden="1">
      <c r="A56" s="26" t="s">
        <v>37</v>
      </c>
      <c r="B56" s="83"/>
      <c r="C56" s="136"/>
      <c r="D56" s="104"/>
      <c r="E56" s="236"/>
      <c r="F56" s="274">
        <f t="shared" si="10"/>
        <v>0</v>
      </c>
      <c r="G56" s="287"/>
      <c r="H56" s="235"/>
      <c r="I56" s="256">
        <f t="shared" si="11"/>
        <v>0</v>
      </c>
      <c r="J56" s="21"/>
      <c r="K56" s="7"/>
      <c r="L56" s="65">
        <f t="shared" si="12"/>
        <v>0</v>
      </c>
      <c r="M56" s="127"/>
      <c r="N56" s="7"/>
      <c r="O56" s="18">
        <f t="shared" si="13"/>
        <v>0</v>
      </c>
      <c r="P56" s="72"/>
      <c r="Q56" s="70">
        <f t="shared" si="1"/>
        <v>0</v>
      </c>
    </row>
    <row r="57" spans="1:17" ht="12.75" hidden="1">
      <c r="A57" s="26" t="s">
        <v>48</v>
      </c>
      <c r="B57" s="83"/>
      <c r="C57" s="136"/>
      <c r="D57" s="104"/>
      <c r="E57" s="236"/>
      <c r="F57" s="274">
        <f t="shared" si="10"/>
        <v>0</v>
      </c>
      <c r="G57" s="287"/>
      <c r="H57" s="235"/>
      <c r="I57" s="256">
        <f t="shared" si="11"/>
        <v>0</v>
      </c>
      <c r="J57" s="21"/>
      <c r="K57" s="7"/>
      <c r="L57" s="65">
        <f t="shared" si="12"/>
        <v>0</v>
      </c>
      <c r="M57" s="127"/>
      <c r="N57" s="7"/>
      <c r="O57" s="18">
        <f t="shared" si="13"/>
        <v>0</v>
      </c>
      <c r="P57" s="72"/>
      <c r="Q57" s="70">
        <f t="shared" si="1"/>
        <v>0</v>
      </c>
    </row>
    <row r="58" spans="1:17" ht="12.75">
      <c r="A58" s="26" t="s">
        <v>38</v>
      </c>
      <c r="B58" s="83"/>
      <c r="C58" s="136"/>
      <c r="D58" s="104"/>
      <c r="E58" s="236"/>
      <c r="F58" s="274">
        <f t="shared" si="10"/>
        <v>0</v>
      </c>
      <c r="G58" s="287">
        <f>69355</f>
        <v>69355</v>
      </c>
      <c r="H58" s="235"/>
      <c r="I58" s="256">
        <f t="shared" si="11"/>
        <v>69355</v>
      </c>
      <c r="J58" s="21"/>
      <c r="K58" s="7"/>
      <c r="L58" s="65">
        <f t="shared" si="12"/>
        <v>69355</v>
      </c>
      <c r="M58" s="127"/>
      <c r="N58" s="7"/>
      <c r="O58" s="18">
        <f t="shared" si="13"/>
        <v>69355</v>
      </c>
      <c r="P58" s="72"/>
      <c r="Q58" s="70">
        <f t="shared" si="1"/>
        <v>69355</v>
      </c>
    </row>
    <row r="59" spans="1:17" ht="12.75">
      <c r="A59" s="26" t="s">
        <v>39</v>
      </c>
      <c r="B59" s="83"/>
      <c r="C59" s="136"/>
      <c r="D59" s="104"/>
      <c r="E59" s="236"/>
      <c r="F59" s="274">
        <f t="shared" si="10"/>
        <v>0</v>
      </c>
      <c r="G59" s="287">
        <f>1245.41+2413.78+223.9</f>
        <v>3883.0900000000006</v>
      </c>
      <c r="H59" s="235"/>
      <c r="I59" s="256">
        <f t="shared" si="11"/>
        <v>3883.0900000000006</v>
      </c>
      <c r="J59" s="21"/>
      <c r="K59" s="7"/>
      <c r="L59" s="65">
        <f t="shared" si="12"/>
        <v>3883.0900000000006</v>
      </c>
      <c r="M59" s="127"/>
      <c r="N59" s="7"/>
      <c r="O59" s="18">
        <f t="shared" si="13"/>
        <v>3883.0900000000006</v>
      </c>
      <c r="P59" s="72"/>
      <c r="Q59" s="70">
        <f t="shared" si="1"/>
        <v>3883.0900000000006</v>
      </c>
    </row>
    <row r="60" spans="1:17" ht="12.75">
      <c r="A60" s="26" t="s">
        <v>40</v>
      </c>
      <c r="B60" s="83"/>
      <c r="C60" s="136">
        <v>250</v>
      </c>
      <c r="D60" s="104"/>
      <c r="E60" s="236"/>
      <c r="F60" s="274">
        <f t="shared" si="10"/>
        <v>250</v>
      </c>
      <c r="G60" s="287">
        <f>1675.55</f>
        <v>1675.55</v>
      </c>
      <c r="H60" s="235"/>
      <c r="I60" s="256">
        <f t="shared" si="11"/>
        <v>1925.55</v>
      </c>
      <c r="J60" s="21"/>
      <c r="K60" s="7"/>
      <c r="L60" s="65">
        <f t="shared" si="12"/>
        <v>1925.55</v>
      </c>
      <c r="M60" s="127"/>
      <c r="N60" s="7"/>
      <c r="O60" s="18">
        <f t="shared" si="13"/>
        <v>1925.55</v>
      </c>
      <c r="P60" s="72"/>
      <c r="Q60" s="70">
        <f t="shared" si="1"/>
        <v>1925.55</v>
      </c>
    </row>
    <row r="61" spans="1:17" ht="12.75" hidden="1">
      <c r="A61" s="26" t="s">
        <v>172</v>
      </c>
      <c r="B61" s="83"/>
      <c r="C61" s="136"/>
      <c r="D61" s="104"/>
      <c r="E61" s="236"/>
      <c r="F61" s="274">
        <f t="shared" si="10"/>
        <v>0</v>
      </c>
      <c r="G61" s="287"/>
      <c r="H61" s="235"/>
      <c r="I61" s="256">
        <f t="shared" si="11"/>
        <v>0</v>
      </c>
      <c r="J61" s="21"/>
      <c r="K61" s="7"/>
      <c r="L61" s="65">
        <f t="shared" si="12"/>
        <v>0</v>
      </c>
      <c r="M61" s="127"/>
      <c r="N61" s="7"/>
      <c r="O61" s="18">
        <f t="shared" si="13"/>
        <v>0</v>
      </c>
      <c r="P61" s="72"/>
      <c r="Q61" s="70">
        <f t="shared" si="1"/>
        <v>0</v>
      </c>
    </row>
    <row r="62" spans="1:17" ht="12.75" hidden="1">
      <c r="A62" s="27" t="s">
        <v>41</v>
      </c>
      <c r="B62" s="84"/>
      <c r="C62" s="130">
        <f>SUM(C64:C66)</f>
        <v>0</v>
      </c>
      <c r="D62" s="107">
        <f>SUM(D64:D66)</f>
        <v>0</v>
      </c>
      <c r="E62" s="238">
        <f>SUM(E64:E66)</f>
        <v>0</v>
      </c>
      <c r="F62" s="275">
        <f>SUM(F64:F66)</f>
        <v>0</v>
      </c>
      <c r="G62" s="289"/>
      <c r="H62" s="239"/>
      <c r="I62" s="258">
        <f>SUM(I64:I66)</f>
        <v>0</v>
      </c>
      <c r="J62" s="198"/>
      <c r="K62" s="8"/>
      <c r="L62" s="22">
        <f>SUM(L64:L66)</f>
        <v>0</v>
      </c>
      <c r="M62" s="213"/>
      <c r="N62" s="8"/>
      <c r="O62" s="19">
        <f>SUM(O64:O66)</f>
        <v>0</v>
      </c>
      <c r="P62" s="73"/>
      <c r="Q62" s="22">
        <f>SUM(Q64:Q66)</f>
        <v>0</v>
      </c>
    </row>
    <row r="63" spans="1:17" ht="12.75" hidden="1">
      <c r="A63" s="24" t="s">
        <v>27</v>
      </c>
      <c r="B63" s="81"/>
      <c r="C63" s="136"/>
      <c r="D63" s="104"/>
      <c r="E63" s="236"/>
      <c r="F63" s="274"/>
      <c r="G63" s="287"/>
      <c r="H63" s="235"/>
      <c r="I63" s="256"/>
      <c r="J63" s="21"/>
      <c r="K63" s="7"/>
      <c r="L63" s="65"/>
      <c r="M63" s="127"/>
      <c r="N63" s="7"/>
      <c r="O63" s="18">
        <f>L63+M63+N63</f>
        <v>0</v>
      </c>
      <c r="P63" s="72"/>
      <c r="Q63" s="70"/>
    </row>
    <row r="64" spans="1:17" ht="12.75" hidden="1">
      <c r="A64" s="26" t="s">
        <v>42</v>
      </c>
      <c r="B64" s="83"/>
      <c r="C64" s="136"/>
      <c r="D64" s="104"/>
      <c r="E64" s="236"/>
      <c r="F64" s="274">
        <f>C64+D64+E64</f>
        <v>0</v>
      </c>
      <c r="G64" s="287"/>
      <c r="H64" s="235"/>
      <c r="I64" s="256">
        <f>F64+G64+H64</f>
        <v>0</v>
      </c>
      <c r="J64" s="21"/>
      <c r="K64" s="7"/>
      <c r="L64" s="65">
        <f>I64+J64+K64</f>
        <v>0</v>
      </c>
      <c r="M64" s="127"/>
      <c r="N64" s="7"/>
      <c r="O64" s="18">
        <f>L64+M64+N64</f>
        <v>0</v>
      </c>
      <c r="P64" s="72"/>
      <c r="Q64" s="70">
        <f t="shared" si="1"/>
        <v>0</v>
      </c>
    </row>
    <row r="65" spans="1:17" ht="12.75" hidden="1">
      <c r="A65" s="26" t="s">
        <v>43</v>
      </c>
      <c r="B65" s="83"/>
      <c r="C65" s="136"/>
      <c r="D65" s="104"/>
      <c r="E65" s="236"/>
      <c r="F65" s="274">
        <f>C65+D65+E65</f>
        <v>0</v>
      </c>
      <c r="G65" s="287"/>
      <c r="H65" s="235"/>
      <c r="I65" s="256">
        <f>F65+G65+H65</f>
        <v>0</v>
      </c>
      <c r="J65" s="21"/>
      <c r="K65" s="7"/>
      <c r="L65" s="65">
        <f>I65+J65+K65</f>
        <v>0</v>
      </c>
      <c r="M65" s="127"/>
      <c r="N65" s="7"/>
      <c r="O65" s="18">
        <f>L65+M65+N65</f>
        <v>0</v>
      </c>
      <c r="P65" s="72"/>
      <c r="Q65" s="70">
        <f t="shared" si="1"/>
        <v>0</v>
      </c>
    </row>
    <row r="66" spans="1:17" ht="12.75" hidden="1">
      <c r="A66" s="26" t="s">
        <v>44</v>
      </c>
      <c r="B66" s="83"/>
      <c r="C66" s="136"/>
      <c r="D66" s="104"/>
      <c r="E66" s="236"/>
      <c r="F66" s="274">
        <f>C66+D66+E66</f>
        <v>0</v>
      </c>
      <c r="G66" s="287"/>
      <c r="H66" s="235"/>
      <c r="I66" s="256">
        <f>F66+G66+H66</f>
        <v>0</v>
      </c>
      <c r="J66" s="21"/>
      <c r="K66" s="7"/>
      <c r="L66" s="65">
        <f>I66+J66+K66</f>
        <v>0</v>
      </c>
      <c r="M66" s="127"/>
      <c r="N66" s="7"/>
      <c r="O66" s="18">
        <f>L66+M66+N66</f>
        <v>0</v>
      </c>
      <c r="P66" s="72"/>
      <c r="Q66" s="70">
        <f t="shared" si="1"/>
        <v>0</v>
      </c>
    </row>
    <row r="67" spans="1:17" ht="12.75">
      <c r="A67" s="23" t="s">
        <v>45</v>
      </c>
      <c r="B67" s="80"/>
      <c r="C67" s="143">
        <f>SUM(C69:C83)</f>
        <v>0</v>
      </c>
      <c r="D67" s="103">
        <f aca="true" t="shared" si="14" ref="D67:Q67">SUM(D69:D83)</f>
        <v>96723.42000000001</v>
      </c>
      <c r="E67" s="233">
        <f t="shared" si="14"/>
        <v>0</v>
      </c>
      <c r="F67" s="254">
        <f t="shared" si="14"/>
        <v>96723.42000000001</v>
      </c>
      <c r="G67" s="286">
        <f t="shared" si="14"/>
        <v>393435.51</v>
      </c>
      <c r="H67" s="233">
        <f t="shared" si="14"/>
        <v>0</v>
      </c>
      <c r="I67" s="257">
        <f t="shared" si="14"/>
        <v>490158.93000000005</v>
      </c>
      <c r="J67" s="143">
        <f t="shared" si="14"/>
        <v>0</v>
      </c>
      <c r="K67" s="103">
        <f t="shared" si="14"/>
        <v>0</v>
      </c>
      <c r="L67" s="158">
        <f t="shared" si="14"/>
        <v>481672.74000000005</v>
      </c>
      <c r="M67" s="128">
        <f t="shared" si="14"/>
        <v>0</v>
      </c>
      <c r="N67" s="102">
        <f t="shared" si="14"/>
        <v>0</v>
      </c>
      <c r="O67" s="102">
        <f t="shared" si="14"/>
        <v>481672.74000000005</v>
      </c>
      <c r="P67" s="102">
        <f t="shared" si="14"/>
        <v>0</v>
      </c>
      <c r="Q67" s="102">
        <f t="shared" si="14"/>
        <v>481672.74000000005</v>
      </c>
    </row>
    <row r="68" spans="1:17" ht="12.75">
      <c r="A68" s="28" t="s">
        <v>27</v>
      </c>
      <c r="B68" s="85"/>
      <c r="C68" s="136"/>
      <c r="D68" s="104"/>
      <c r="E68" s="236"/>
      <c r="F68" s="274"/>
      <c r="G68" s="287"/>
      <c r="H68" s="235"/>
      <c r="I68" s="256"/>
      <c r="J68" s="21"/>
      <c r="K68" s="7"/>
      <c r="L68" s="65"/>
      <c r="M68" s="127"/>
      <c r="N68" s="7"/>
      <c r="O68" s="18"/>
      <c r="P68" s="72"/>
      <c r="Q68" s="70"/>
    </row>
    <row r="69" spans="1:17" ht="12.75" hidden="1">
      <c r="A69" s="26" t="s">
        <v>30</v>
      </c>
      <c r="B69" s="83"/>
      <c r="C69" s="136"/>
      <c r="D69" s="104"/>
      <c r="E69" s="236"/>
      <c r="F69" s="274">
        <f aca="true" t="shared" si="15" ref="F69:F83">C69+D69+E69</f>
        <v>0</v>
      </c>
      <c r="G69" s="287"/>
      <c r="H69" s="235"/>
      <c r="I69" s="256">
        <f>F69+G69+H69</f>
        <v>0</v>
      </c>
      <c r="J69" s="21"/>
      <c r="K69" s="7"/>
      <c r="L69" s="65">
        <f>I69+J69+K69</f>
        <v>0</v>
      </c>
      <c r="M69" s="127"/>
      <c r="N69" s="7"/>
      <c r="O69" s="18">
        <f>L69+M69+N69</f>
        <v>0</v>
      </c>
      <c r="P69" s="72"/>
      <c r="Q69" s="70">
        <f t="shared" si="1"/>
        <v>0</v>
      </c>
    </row>
    <row r="70" spans="1:17" ht="12.75" hidden="1">
      <c r="A70" s="30" t="s">
        <v>31</v>
      </c>
      <c r="B70" s="86"/>
      <c r="C70" s="136"/>
      <c r="D70" s="104"/>
      <c r="E70" s="236"/>
      <c r="F70" s="274">
        <f t="shared" si="15"/>
        <v>0</v>
      </c>
      <c r="G70" s="287"/>
      <c r="H70" s="235"/>
      <c r="I70" s="256">
        <f aca="true" t="shared" si="16" ref="I70:I83">F70+G70+H70</f>
        <v>0</v>
      </c>
      <c r="J70" s="21"/>
      <c r="K70" s="7"/>
      <c r="L70" s="65">
        <f aca="true" t="shared" si="17" ref="L70:L83">I70+J70+K70</f>
        <v>0</v>
      </c>
      <c r="M70" s="127"/>
      <c r="N70" s="7"/>
      <c r="O70" s="18">
        <f aca="true" t="shared" si="18" ref="O70:O83">L70+M70+N70</f>
        <v>0</v>
      </c>
      <c r="P70" s="72"/>
      <c r="Q70" s="70">
        <f t="shared" si="1"/>
        <v>0</v>
      </c>
    </row>
    <row r="71" spans="1:17" ht="12.75" hidden="1">
      <c r="A71" s="30" t="s">
        <v>29</v>
      </c>
      <c r="B71" s="86"/>
      <c r="C71" s="136"/>
      <c r="D71" s="104"/>
      <c r="E71" s="236"/>
      <c r="F71" s="274">
        <f t="shared" si="15"/>
        <v>0</v>
      </c>
      <c r="G71" s="287"/>
      <c r="H71" s="235"/>
      <c r="I71" s="256">
        <f t="shared" si="16"/>
        <v>0</v>
      </c>
      <c r="J71" s="21"/>
      <c r="K71" s="7"/>
      <c r="L71" s="65">
        <f t="shared" si="17"/>
        <v>0</v>
      </c>
      <c r="M71" s="127"/>
      <c r="N71" s="7"/>
      <c r="O71" s="18">
        <f t="shared" si="18"/>
        <v>0</v>
      </c>
      <c r="P71" s="72"/>
      <c r="Q71" s="70">
        <f t="shared" si="1"/>
        <v>0</v>
      </c>
    </row>
    <row r="72" spans="1:17" ht="12.75" hidden="1">
      <c r="A72" s="30" t="s">
        <v>46</v>
      </c>
      <c r="B72" s="86"/>
      <c r="C72" s="136"/>
      <c r="D72" s="104"/>
      <c r="E72" s="236"/>
      <c r="F72" s="274">
        <f t="shared" si="15"/>
        <v>0</v>
      </c>
      <c r="G72" s="287"/>
      <c r="H72" s="235"/>
      <c r="I72" s="256">
        <f t="shared" si="16"/>
        <v>0</v>
      </c>
      <c r="J72" s="21"/>
      <c r="K72" s="7"/>
      <c r="L72" s="65">
        <f t="shared" si="17"/>
        <v>0</v>
      </c>
      <c r="M72" s="127"/>
      <c r="N72" s="7"/>
      <c r="O72" s="18">
        <f t="shared" si="18"/>
        <v>0</v>
      </c>
      <c r="P72" s="72"/>
      <c r="Q72" s="70">
        <f t="shared" si="1"/>
        <v>0</v>
      </c>
    </row>
    <row r="73" spans="1:17" ht="12.75">
      <c r="A73" s="26" t="s">
        <v>32</v>
      </c>
      <c r="B73" s="83"/>
      <c r="C73" s="136"/>
      <c r="D73" s="104">
        <f>4.05</f>
        <v>4.05</v>
      </c>
      <c r="E73" s="236"/>
      <c r="F73" s="274">
        <f t="shared" si="15"/>
        <v>4.05</v>
      </c>
      <c r="G73" s="287">
        <f>499.19+12284.06+17096.88+3934.39+236.73+2099.25+22828.25+23167.89+5862.49+23024.59+297.65</f>
        <v>111331.37000000001</v>
      </c>
      <c r="H73" s="235"/>
      <c r="I73" s="256">
        <f t="shared" si="16"/>
        <v>111335.42000000001</v>
      </c>
      <c r="J73" s="21"/>
      <c r="K73" s="7"/>
      <c r="L73" s="65">
        <f t="shared" si="17"/>
        <v>111335.42000000001</v>
      </c>
      <c r="M73" s="127"/>
      <c r="N73" s="7"/>
      <c r="O73" s="18">
        <f t="shared" si="18"/>
        <v>111335.42000000001</v>
      </c>
      <c r="P73" s="72"/>
      <c r="Q73" s="70">
        <f t="shared" si="1"/>
        <v>111335.42000000001</v>
      </c>
    </row>
    <row r="74" spans="1:17" ht="12.75" hidden="1">
      <c r="A74" s="26" t="s">
        <v>338</v>
      </c>
      <c r="B74" s="83"/>
      <c r="C74" s="136"/>
      <c r="D74" s="104"/>
      <c r="E74" s="236"/>
      <c r="F74" s="274">
        <f t="shared" si="15"/>
        <v>0</v>
      </c>
      <c r="G74" s="287"/>
      <c r="H74" s="235"/>
      <c r="I74" s="256">
        <f t="shared" si="16"/>
        <v>0</v>
      </c>
      <c r="J74" s="21"/>
      <c r="K74" s="7"/>
      <c r="L74" s="65"/>
      <c r="M74" s="127"/>
      <c r="N74" s="7"/>
      <c r="O74" s="18"/>
      <c r="P74" s="72"/>
      <c r="Q74" s="70"/>
    </row>
    <row r="75" spans="1:17" ht="12.75" hidden="1">
      <c r="A75" s="26" t="s">
        <v>245</v>
      </c>
      <c r="B75" s="83"/>
      <c r="C75" s="136"/>
      <c r="D75" s="104"/>
      <c r="E75" s="236"/>
      <c r="F75" s="274">
        <f t="shared" si="15"/>
        <v>0</v>
      </c>
      <c r="G75" s="287"/>
      <c r="H75" s="235"/>
      <c r="I75" s="256">
        <f t="shared" si="16"/>
        <v>0</v>
      </c>
      <c r="J75" s="21"/>
      <c r="K75" s="7"/>
      <c r="L75" s="65"/>
      <c r="M75" s="127"/>
      <c r="N75" s="7"/>
      <c r="O75" s="18"/>
      <c r="P75" s="72"/>
      <c r="Q75" s="70"/>
    </row>
    <row r="76" spans="1:17" ht="12.75">
      <c r="A76" s="26" t="s">
        <v>166</v>
      </c>
      <c r="B76" s="83"/>
      <c r="C76" s="136"/>
      <c r="D76" s="104">
        <f>96650.49</f>
        <v>96650.49</v>
      </c>
      <c r="E76" s="236"/>
      <c r="F76" s="274">
        <f t="shared" si="15"/>
        <v>96650.49</v>
      </c>
      <c r="G76" s="287"/>
      <c r="H76" s="235"/>
      <c r="I76" s="256">
        <f t="shared" si="16"/>
        <v>96650.49</v>
      </c>
      <c r="J76" s="21"/>
      <c r="K76" s="7"/>
      <c r="L76" s="65">
        <f t="shared" si="17"/>
        <v>96650.49</v>
      </c>
      <c r="M76" s="127"/>
      <c r="N76" s="7"/>
      <c r="O76" s="18">
        <f t="shared" si="18"/>
        <v>96650.49</v>
      </c>
      <c r="P76" s="72"/>
      <c r="Q76" s="70">
        <f t="shared" si="1"/>
        <v>96650.49</v>
      </c>
    </row>
    <row r="77" spans="1:17" ht="12.75" hidden="1">
      <c r="A77" s="26" t="s">
        <v>167</v>
      </c>
      <c r="B77" s="83"/>
      <c r="C77" s="136"/>
      <c r="D77" s="104"/>
      <c r="E77" s="236"/>
      <c r="F77" s="274">
        <f t="shared" si="15"/>
        <v>0</v>
      </c>
      <c r="G77" s="287"/>
      <c r="H77" s="235"/>
      <c r="I77" s="256">
        <f t="shared" si="16"/>
        <v>0</v>
      </c>
      <c r="J77" s="21"/>
      <c r="K77" s="7"/>
      <c r="L77" s="65">
        <f t="shared" si="17"/>
        <v>0</v>
      </c>
      <c r="M77" s="127"/>
      <c r="N77" s="7"/>
      <c r="O77" s="18">
        <f t="shared" si="18"/>
        <v>0</v>
      </c>
      <c r="P77" s="72"/>
      <c r="Q77" s="70">
        <f t="shared" si="1"/>
        <v>0</v>
      </c>
    </row>
    <row r="78" spans="1:17" ht="12.75">
      <c r="A78" s="26" t="s">
        <v>47</v>
      </c>
      <c r="B78" s="83"/>
      <c r="C78" s="136"/>
      <c r="D78" s="104"/>
      <c r="E78" s="236"/>
      <c r="F78" s="274">
        <f t="shared" si="15"/>
        <v>0</v>
      </c>
      <c r="G78" s="287">
        <f>83617.95+190000</f>
        <v>273617.95</v>
      </c>
      <c r="H78" s="235"/>
      <c r="I78" s="256">
        <f t="shared" si="16"/>
        <v>273617.95</v>
      </c>
      <c r="J78" s="21"/>
      <c r="K78" s="7"/>
      <c r="L78" s="65">
        <f t="shared" si="17"/>
        <v>273617.95</v>
      </c>
      <c r="M78" s="127"/>
      <c r="N78" s="7"/>
      <c r="O78" s="18">
        <f t="shared" si="18"/>
        <v>273617.95</v>
      </c>
      <c r="P78" s="72"/>
      <c r="Q78" s="70">
        <f t="shared" si="1"/>
        <v>273617.95</v>
      </c>
    </row>
    <row r="79" spans="1:17" ht="12.75" hidden="1">
      <c r="A79" s="26" t="s">
        <v>48</v>
      </c>
      <c r="B79" s="83"/>
      <c r="C79" s="136"/>
      <c r="D79" s="104"/>
      <c r="E79" s="236"/>
      <c r="F79" s="274">
        <f t="shared" si="15"/>
        <v>0</v>
      </c>
      <c r="G79" s="287"/>
      <c r="H79" s="235"/>
      <c r="I79" s="256">
        <f t="shared" si="16"/>
        <v>0</v>
      </c>
      <c r="J79" s="21"/>
      <c r="K79" s="7"/>
      <c r="L79" s="65">
        <f t="shared" si="17"/>
        <v>0</v>
      </c>
      <c r="M79" s="127"/>
      <c r="N79" s="7"/>
      <c r="O79" s="18">
        <f t="shared" si="18"/>
        <v>0</v>
      </c>
      <c r="P79" s="72"/>
      <c r="Q79" s="70">
        <f aca="true" t="shared" si="19" ref="Q79:Q143">O79+P79</f>
        <v>0</v>
      </c>
    </row>
    <row r="80" spans="1:17" ht="12.75" hidden="1">
      <c r="A80" s="26" t="s">
        <v>49</v>
      </c>
      <c r="B80" s="83"/>
      <c r="C80" s="136"/>
      <c r="D80" s="104"/>
      <c r="E80" s="236"/>
      <c r="F80" s="274">
        <f t="shared" si="15"/>
        <v>0</v>
      </c>
      <c r="G80" s="287"/>
      <c r="H80" s="235"/>
      <c r="I80" s="256">
        <f t="shared" si="16"/>
        <v>0</v>
      </c>
      <c r="J80" s="21"/>
      <c r="K80" s="7"/>
      <c r="L80" s="65">
        <f t="shared" si="17"/>
        <v>0</v>
      </c>
      <c r="M80" s="127"/>
      <c r="N80" s="7"/>
      <c r="O80" s="18">
        <f t="shared" si="18"/>
        <v>0</v>
      </c>
      <c r="P80" s="72"/>
      <c r="Q80" s="70">
        <f t="shared" si="19"/>
        <v>0</v>
      </c>
    </row>
    <row r="81" spans="1:17" ht="12.75">
      <c r="A81" s="26" t="s">
        <v>35</v>
      </c>
      <c r="B81" s="83"/>
      <c r="C81" s="136"/>
      <c r="D81" s="104">
        <f>68.88</f>
        <v>68.88</v>
      </c>
      <c r="E81" s="236"/>
      <c r="F81" s="274">
        <f t="shared" si="15"/>
        <v>68.88</v>
      </c>
      <c r="G81" s="287"/>
      <c r="H81" s="235"/>
      <c r="I81" s="256">
        <f t="shared" si="16"/>
        <v>68.88</v>
      </c>
      <c r="J81" s="21"/>
      <c r="K81" s="7"/>
      <c r="L81" s="65">
        <f t="shared" si="17"/>
        <v>68.88</v>
      </c>
      <c r="M81" s="127"/>
      <c r="N81" s="7"/>
      <c r="O81" s="18">
        <f t="shared" si="18"/>
        <v>68.88</v>
      </c>
      <c r="P81" s="77"/>
      <c r="Q81" s="70">
        <f t="shared" si="19"/>
        <v>68.88</v>
      </c>
    </row>
    <row r="82" spans="1:17" ht="12.75">
      <c r="A82" s="26" t="s">
        <v>39</v>
      </c>
      <c r="B82" s="83"/>
      <c r="C82" s="136"/>
      <c r="D82" s="104"/>
      <c r="E82" s="236"/>
      <c r="F82" s="274">
        <f t="shared" si="15"/>
        <v>0</v>
      </c>
      <c r="G82" s="287">
        <f>8486.19</f>
        <v>8486.19</v>
      </c>
      <c r="H82" s="235"/>
      <c r="I82" s="256">
        <f t="shared" si="16"/>
        <v>8486.19</v>
      </c>
      <c r="J82" s="21"/>
      <c r="K82" s="7"/>
      <c r="L82" s="65"/>
      <c r="M82" s="127"/>
      <c r="N82" s="7"/>
      <c r="O82" s="18"/>
      <c r="P82" s="77"/>
      <c r="Q82" s="70"/>
    </row>
    <row r="83" spans="1:17" ht="12.75" hidden="1">
      <c r="A83" s="26" t="s">
        <v>172</v>
      </c>
      <c r="B83" s="83"/>
      <c r="C83" s="136"/>
      <c r="D83" s="104"/>
      <c r="E83" s="236"/>
      <c r="F83" s="274">
        <f t="shared" si="15"/>
        <v>0</v>
      </c>
      <c r="G83" s="287"/>
      <c r="H83" s="235"/>
      <c r="I83" s="256">
        <f t="shared" si="16"/>
        <v>0</v>
      </c>
      <c r="J83" s="21"/>
      <c r="K83" s="7"/>
      <c r="L83" s="65">
        <f t="shared" si="17"/>
        <v>0</v>
      </c>
      <c r="M83" s="127"/>
      <c r="N83" s="7"/>
      <c r="O83" s="18">
        <f t="shared" si="18"/>
        <v>0</v>
      </c>
      <c r="P83" s="72"/>
      <c r="Q83" s="70">
        <f t="shared" si="19"/>
        <v>0</v>
      </c>
    </row>
    <row r="84" spans="1:17" ht="15" customHeight="1" hidden="1">
      <c r="A84" s="27" t="s">
        <v>50</v>
      </c>
      <c r="B84" s="84"/>
      <c r="C84" s="130">
        <f>SUM(C86:C88)</f>
        <v>0</v>
      </c>
      <c r="D84" s="107">
        <f>SUM(D86:D88)</f>
        <v>0</v>
      </c>
      <c r="E84" s="238">
        <f>SUM(E86:E88)</f>
        <v>0</v>
      </c>
      <c r="F84" s="275">
        <f>SUM(F86:F88)</f>
        <v>0</v>
      </c>
      <c r="G84" s="289"/>
      <c r="H84" s="239"/>
      <c r="I84" s="258">
        <f>SUM(I86:I88)</f>
        <v>0</v>
      </c>
      <c r="J84" s="198"/>
      <c r="K84" s="8"/>
      <c r="L84" s="22">
        <f>SUM(L86:L88)</f>
        <v>0</v>
      </c>
      <c r="M84" s="213"/>
      <c r="N84" s="8"/>
      <c r="O84" s="19">
        <f>SUM(O86:O88)</f>
        <v>0</v>
      </c>
      <c r="P84" s="73"/>
      <c r="Q84" s="22">
        <f>SUM(Q86:Q88)</f>
        <v>0</v>
      </c>
    </row>
    <row r="85" spans="1:17" ht="12.75" hidden="1">
      <c r="A85" s="24" t="s">
        <v>27</v>
      </c>
      <c r="B85" s="81"/>
      <c r="C85" s="136"/>
      <c r="D85" s="104"/>
      <c r="E85" s="236"/>
      <c r="F85" s="274"/>
      <c r="G85" s="287"/>
      <c r="H85" s="235"/>
      <c r="I85" s="256"/>
      <c r="J85" s="21"/>
      <c r="K85" s="7"/>
      <c r="L85" s="65"/>
      <c r="M85" s="127"/>
      <c r="N85" s="7"/>
      <c r="O85" s="18"/>
      <c r="P85" s="72"/>
      <c r="Q85" s="70"/>
    </row>
    <row r="86" spans="1:17" ht="12.75" hidden="1">
      <c r="A86" s="26" t="s">
        <v>51</v>
      </c>
      <c r="B86" s="83"/>
      <c r="C86" s="136"/>
      <c r="D86" s="104"/>
      <c r="E86" s="236"/>
      <c r="F86" s="274">
        <f>C86+D86+E86</f>
        <v>0</v>
      </c>
      <c r="G86" s="287"/>
      <c r="H86" s="235"/>
      <c r="I86" s="256">
        <f>F86+G86+H86</f>
        <v>0</v>
      </c>
      <c r="J86" s="21"/>
      <c r="K86" s="7"/>
      <c r="L86" s="65">
        <f>I86+J86+K86</f>
        <v>0</v>
      </c>
      <c r="M86" s="127"/>
      <c r="N86" s="7"/>
      <c r="O86" s="18">
        <f>L86+M86+N86</f>
        <v>0</v>
      </c>
      <c r="P86" s="72"/>
      <c r="Q86" s="70">
        <f t="shared" si="19"/>
        <v>0</v>
      </c>
    </row>
    <row r="87" spans="1:17" ht="12.75" hidden="1">
      <c r="A87" s="26" t="s">
        <v>25</v>
      </c>
      <c r="B87" s="83"/>
      <c r="C87" s="136"/>
      <c r="D87" s="104"/>
      <c r="E87" s="236"/>
      <c r="F87" s="274">
        <f>C87+D87+E87</f>
        <v>0</v>
      </c>
      <c r="G87" s="287"/>
      <c r="H87" s="235"/>
      <c r="I87" s="256">
        <f>F87+G87+H87</f>
        <v>0</v>
      </c>
      <c r="J87" s="21"/>
      <c r="K87" s="7"/>
      <c r="L87" s="65">
        <f>I87+J87+K87</f>
        <v>0</v>
      </c>
      <c r="M87" s="127"/>
      <c r="N87" s="7"/>
      <c r="O87" s="18">
        <f>L87+M87+N87</f>
        <v>0</v>
      </c>
      <c r="P87" s="72"/>
      <c r="Q87" s="70">
        <f t="shared" si="19"/>
        <v>0</v>
      </c>
    </row>
    <row r="88" spans="1:17" ht="12.75" hidden="1">
      <c r="A88" s="26" t="s">
        <v>43</v>
      </c>
      <c r="B88" s="83"/>
      <c r="C88" s="136"/>
      <c r="D88" s="104"/>
      <c r="E88" s="236"/>
      <c r="F88" s="274">
        <f>C88+D88+E88</f>
        <v>0</v>
      </c>
      <c r="G88" s="287"/>
      <c r="H88" s="235"/>
      <c r="I88" s="256">
        <f>F88+G88+H88</f>
        <v>0</v>
      </c>
      <c r="J88" s="21"/>
      <c r="K88" s="7"/>
      <c r="L88" s="65">
        <f>I88+J88+K88</f>
        <v>0</v>
      </c>
      <c r="M88" s="127"/>
      <c r="N88" s="7"/>
      <c r="O88" s="18">
        <f>L88+M88+N88</f>
        <v>0</v>
      </c>
      <c r="P88" s="72"/>
      <c r="Q88" s="70">
        <f t="shared" si="19"/>
        <v>0</v>
      </c>
    </row>
    <row r="89" spans="1:17" ht="16.5" thickBot="1">
      <c r="A89" s="31" t="s">
        <v>52</v>
      </c>
      <c r="B89" s="87"/>
      <c r="C89" s="162">
        <f aca="true" t="shared" si="20" ref="C89:Q89">C11+C16+C40+C67+C32+C84</f>
        <v>4320719.05</v>
      </c>
      <c r="D89" s="109">
        <f t="shared" si="20"/>
        <v>7197257.9</v>
      </c>
      <c r="E89" s="240">
        <f t="shared" si="20"/>
        <v>0</v>
      </c>
      <c r="F89" s="276">
        <f t="shared" si="20"/>
        <v>11517976.950000001</v>
      </c>
      <c r="G89" s="290">
        <f t="shared" si="20"/>
        <v>765931.69</v>
      </c>
      <c r="H89" s="240">
        <f t="shared" si="20"/>
        <v>0</v>
      </c>
      <c r="I89" s="259">
        <f t="shared" si="20"/>
        <v>12283908.64</v>
      </c>
      <c r="J89" s="162">
        <f t="shared" si="20"/>
        <v>0</v>
      </c>
      <c r="K89" s="109">
        <f t="shared" si="20"/>
        <v>0</v>
      </c>
      <c r="L89" s="182">
        <f t="shared" si="20"/>
        <v>8075774.210000001</v>
      </c>
      <c r="M89" s="153">
        <f t="shared" si="20"/>
        <v>0</v>
      </c>
      <c r="N89" s="108">
        <f t="shared" si="20"/>
        <v>0</v>
      </c>
      <c r="O89" s="108">
        <f t="shared" si="20"/>
        <v>8075774.210000001</v>
      </c>
      <c r="P89" s="108">
        <f t="shared" si="20"/>
        <v>0</v>
      </c>
      <c r="Q89" s="108">
        <f t="shared" si="20"/>
        <v>8075774.210000001</v>
      </c>
    </row>
    <row r="90" spans="1:17" ht="12.75">
      <c r="A90" s="23" t="s">
        <v>53</v>
      </c>
      <c r="B90" s="80"/>
      <c r="C90" s="143"/>
      <c r="D90" s="104"/>
      <c r="E90" s="236"/>
      <c r="F90" s="274"/>
      <c r="G90" s="287"/>
      <c r="H90" s="235"/>
      <c r="I90" s="256"/>
      <c r="J90" s="21"/>
      <c r="K90" s="7"/>
      <c r="L90" s="65"/>
      <c r="M90" s="127"/>
      <c r="N90" s="7"/>
      <c r="O90" s="18"/>
      <c r="P90" s="72"/>
      <c r="Q90" s="70"/>
    </row>
    <row r="91" spans="1:17" ht="12.75">
      <c r="A91" s="23" t="s">
        <v>69</v>
      </c>
      <c r="B91" s="92"/>
      <c r="C91" s="143">
        <f>C92+C101</f>
        <v>95515</v>
      </c>
      <c r="D91" s="103">
        <f aca="true" t="shared" si="21" ref="D91:Q91">D92+D101</f>
        <v>72257.36</v>
      </c>
      <c r="E91" s="233">
        <f t="shared" si="21"/>
        <v>0</v>
      </c>
      <c r="F91" s="254">
        <f t="shared" si="21"/>
        <v>167772.36</v>
      </c>
      <c r="G91" s="286">
        <f t="shared" si="21"/>
        <v>10855.89</v>
      </c>
      <c r="H91" s="233">
        <f t="shared" si="21"/>
        <v>0</v>
      </c>
      <c r="I91" s="257">
        <f t="shared" si="21"/>
        <v>178628.25</v>
      </c>
      <c r="J91" s="143">
        <f t="shared" si="21"/>
        <v>0</v>
      </c>
      <c r="K91" s="103">
        <f t="shared" si="21"/>
        <v>0</v>
      </c>
      <c r="L91" s="158">
        <f t="shared" si="21"/>
        <v>101028.25</v>
      </c>
      <c r="M91" s="128">
        <f t="shared" si="21"/>
        <v>0</v>
      </c>
      <c r="N91" s="102">
        <f t="shared" si="21"/>
        <v>0</v>
      </c>
      <c r="O91" s="102">
        <f t="shared" si="21"/>
        <v>101028.25</v>
      </c>
      <c r="P91" s="102">
        <f t="shared" si="21"/>
        <v>0</v>
      </c>
      <c r="Q91" s="102">
        <f t="shared" si="21"/>
        <v>101028.25</v>
      </c>
    </row>
    <row r="92" spans="1:17" ht="12.75">
      <c r="A92" s="32" t="s">
        <v>55</v>
      </c>
      <c r="B92" s="92"/>
      <c r="C92" s="163">
        <f>SUM(C94:C99)</f>
        <v>63515</v>
      </c>
      <c r="D92" s="111">
        <f aca="true" t="shared" si="22" ref="D92:Q92">SUM(D94:D99)</f>
        <v>7115.68</v>
      </c>
      <c r="E92" s="241">
        <f t="shared" si="22"/>
        <v>0</v>
      </c>
      <c r="F92" s="277">
        <f t="shared" si="22"/>
        <v>70630.68</v>
      </c>
      <c r="G92" s="291">
        <f t="shared" si="22"/>
        <v>50.72</v>
      </c>
      <c r="H92" s="241">
        <f t="shared" si="22"/>
        <v>0</v>
      </c>
      <c r="I92" s="260">
        <f t="shared" si="22"/>
        <v>70681.4</v>
      </c>
      <c r="J92" s="163">
        <f t="shared" si="22"/>
        <v>0</v>
      </c>
      <c r="K92" s="111">
        <f t="shared" si="22"/>
        <v>0</v>
      </c>
      <c r="L92" s="183">
        <f t="shared" si="22"/>
        <v>15081.4</v>
      </c>
      <c r="M92" s="154">
        <f t="shared" si="22"/>
        <v>0</v>
      </c>
      <c r="N92" s="110">
        <f t="shared" si="22"/>
        <v>0</v>
      </c>
      <c r="O92" s="110">
        <f t="shared" si="22"/>
        <v>15081.4</v>
      </c>
      <c r="P92" s="110">
        <f t="shared" si="22"/>
        <v>0</v>
      </c>
      <c r="Q92" s="110">
        <f t="shared" si="22"/>
        <v>15081.4</v>
      </c>
    </row>
    <row r="93" spans="1:17" ht="12.75">
      <c r="A93" s="28" t="s">
        <v>27</v>
      </c>
      <c r="B93" s="88"/>
      <c r="C93" s="136"/>
      <c r="D93" s="104"/>
      <c r="E93" s="236"/>
      <c r="F93" s="254"/>
      <c r="G93" s="287"/>
      <c r="H93" s="235"/>
      <c r="I93" s="257"/>
      <c r="J93" s="21"/>
      <c r="K93" s="7"/>
      <c r="L93" s="61"/>
      <c r="M93" s="127"/>
      <c r="N93" s="7"/>
      <c r="O93" s="17"/>
      <c r="P93" s="72"/>
      <c r="Q93" s="70"/>
    </row>
    <row r="94" spans="1:17" ht="12.75">
      <c r="A94" s="26" t="s">
        <v>57</v>
      </c>
      <c r="B94" s="88"/>
      <c r="C94" s="136">
        <v>12515</v>
      </c>
      <c r="D94" s="104"/>
      <c r="E94" s="236"/>
      <c r="F94" s="274">
        <v>12515</v>
      </c>
      <c r="G94" s="287"/>
      <c r="H94" s="235"/>
      <c r="I94" s="256">
        <f aca="true" t="shared" si="23" ref="I94:I100">F94+G94+H94</f>
        <v>12515</v>
      </c>
      <c r="J94" s="21"/>
      <c r="K94" s="7"/>
      <c r="L94" s="65">
        <f aca="true" t="shared" si="24" ref="L94:L100">I94+J94+K94</f>
        <v>12515</v>
      </c>
      <c r="M94" s="127"/>
      <c r="N94" s="7"/>
      <c r="O94" s="18">
        <f aca="true" t="shared" si="25" ref="O94:O100">L94+M94+N94</f>
        <v>12515</v>
      </c>
      <c r="P94" s="72"/>
      <c r="Q94" s="70">
        <f t="shared" si="19"/>
        <v>12515</v>
      </c>
    </row>
    <row r="95" spans="1:17" ht="12.75" hidden="1">
      <c r="A95" s="26" t="s">
        <v>71</v>
      </c>
      <c r="B95" s="88"/>
      <c r="C95" s="136"/>
      <c r="D95" s="104"/>
      <c r="E95" s="236"/>
      <c r="F95" s="274">
        <f aca="true" t="shared" si="26" ref="F95:F100">C95+D95+E95</f>
        <v>0</v>
      </c>
      <c r="G95" s="287"/>
      <c r="H95" s="235"/>
      <c r="I95" s="256">
        <f t="shared" si="23"/>
        <v>0</v>
      </c>
      <c r="J95" s="21"/>
      <c r="K95" s="7"/>
      <c r="L95" s="65">
        <f t="shared" si="24"/>
        <v>0</v>
      </c>
      <c r="M95" s="127"/>
      <c r="N95" s="7"/>
      <c r="O95" s="18">
        <f t="shared" si="25"/>
        <v>0</v>
      </c>
      <c r="P95" s="72"/>
      <c r="Q95" s="70">
        <f t="shared" si="19"/>
        <v>0</v>
      </c>
    </row>
    <row r="96" spans="1:17" ht="13.5" thickBot="1">
      <c r="A96" s="135" t="s">
        <v>232</v>
      </c>
      <c r="B96" s="133"/>
      <c r="C96" s="166">
        <v>51000</v>
      </c>
      <c r="D96" s="134">
        <f>4600</f>
        <v>4600</v>
      </c>
      <c r="E96" s="268"/>
      <c r="F96" s="280">
        <f t="shared" si="26"/>
        <v>55600</v>
      </c>
      <c r="G96" s="315"/>
      <c r="H96" s="316"/>
      <c r="I96" s="317">
        <f t="shared" si="23"/>
        <v>55600</v>
      </c>
      <c r="J96" s="21"/>
      <c r="K96" s="7"/>
      <c r="L96" s="65"/>
      <c r="M96" s="127"/>
      <c r="N96" s="7"/>
      <c r="O96" s="18"/>
      <c r="P96" s="72"/>
      <c r="Q96" s="70"/>
    </row>
    <row r="97" spans="1:17" ht="12.75">
      <c r="A97" s="26" t="s">
        <v>72</v>
      </c>
      <c r="B97" s="88">
        <v>98278</v>
      </c>
      <c r="C97" s="136"/>
      <c r="D97" s="104">
        <f>15.68</f>
        <v>15.68</v>
      </c>
      <c r="E97" s="236"/>
      <c r="F97" s="274">
        <f t="shared" si="26"/>
        <v>15.68</v>
      </c>
      <c r="G97" s="287">
        <f>21.42+29.3</f>
        <v>50.72</v>
      </c>
      <c r="H97" s="235"/>
      <c r="I97" s="256">
        <f t="shared" si="23"/>
        <v>66.4</v>
      </c>
      <c r="J97" s="21"/>
      <c r="K97" s="7"/>
      <c r="L97" s="65">
        <f t="shared" si="24"/>
        <v>66.4</v>
      </c>
      <c r="M97" s="127"/>
      <c r="N97" s="7"/>
      <c r="O97" s="18">
        <f t="shared" si="25"/>
        <v>66.4</v>
      </c>
      <c r="P97" s="72"/>
      <c r="Q97" s="70">
        <f t="shared" si="19"/>
        <v>66.4</v>
      </c>
    </row>
    <row r="98" spans="1:17" ht="12.75" hidden="1">
      <c r="A98" s="26" t="s">
        <v>86</v>
      </c>
      <c r="B98" s="88"/>
      <c r="C98" s="136"/>
      <c r="D98" s="104"/>
      <c r="E98" s="236"/>
      <c r="F98" s="274">
        <f t="shared" si="26"/>
        <v>0</v>
      </c>
      <c r="G98" s="287"/>
      <c r="H98" s="235"/>
      <c r="I98" s="256">
        <f t="shared" si="23"/>
        <v>0</v>
      </c>
      <c r="J98" s="21"/>
      <c r="K98" s="7"/>
      <c r="L98" s="65">
        <f t="shared" si="24"/>
        <v>0</v>
      </c>
      <c r="M98" s="127"/>
      <c r="N98" s="7"/>
      <c r="O98" s="18">
        <f t="shared" si="25"/>
        <v>0</v>
      </c>
      <c r="P98" s="72"/>
      <c r="Q98" s="70">
        <f t="shared" si="19"/>
        <v>0</v>
      </c>
    </row>
    <row r="99" spans="1:17" ht="12.75">
      <c r="A99" s="25" t="s">
        <v>73</v>
      </c>
      <c r="B99" s="88"/>
      <c r="C99" s="136"/>
      <c r="D99" s="104">
        <f>2500</f>
        <v>2500</v>
      </c>
      <c r="E99" s="236"/>
      <c r="F99" s="274">
        <f t="shared" si="26"/>
        <v>2500</v>
      </c>
      <c r="G99" s="287"/>
      <c r="H99" s="235"/>
      <c r="I99" s="256">
        <f t="shared" si="23"/>
        <v>2500</v>
      </c>
      <c r="J99" s="21"/>
      <c r="K99" s="7"/>
      <c r="L99" s="65">
        <f t="shared" si="24"/>
        <v>2500</v>
      </c>
      <c r="M99" s="127"/>
      <c r="N99" s="7"/>
      <c r="O99" s="18">
        <f t="shared" si="25"/>
        <v>2500</v>
      </c>
      <c r="P99" s="72"/>
      <c r="Q99" s="70">
        <f t="shared" si="19"/>
        <v>2500</v>
      </c>
    </row>
    <row r="100" spans="1:17" ht="12.75">
      <c r="A100" s="25" t="s">
        <v>74</v>
      </c>
      <c r="B100" s="88"/>
      <c r="C100" s="136"/>
      <c r="D100" s="104">
        <v>2500</v>
      </c>
      <c r="E100" s="236"/>
      <c r="F100" s="274">
        <f t="shared" si="26"/>
        <v>2500</v>
      </c>
      <c r="G100" s="292"/>
      <c r="H100" s="235"/>
      <c r="I100" s="256">
        <f t="shared" si="23"/>
        <v>2500</v>
      </c>
      <c r="J100" s="21"/>
      <c r="K100" s="7"/>
      <c r="L100" s="65">
        <f t="shared" si="24"/>
        <v>2500</v>
      </c>
      <c r="M100" s="127"/>
      <c r="N100" s="7"/>
      <c r="O100" s="18">
        <f t="shared" si="25"/>
        <v>2500</v>
      </c>
      <c r="P100" s="72"/>
      <c r="Q100" s="70">
        <f t="shared" si="19"/>
        <v>2500</v>
      </c>
    </row>
    <row r="101" spans="1:17" ht="12.75">
      <c r="A101" s="33" t="s">
        <v>60</v>
      </c>
      <c r="B101" s="92"/>
      <c r="C101" s="165">
        <f>SUM(C103:C109)</f>
        <v>32000</v>
      </c>
      <c r="D101" s="114">
        <f aca="true" t="shared" si="27" ref="D101:Q101">SUM(D103:D109)</f>
        <v>65141.68</v>
      </c>
      <c r="E101" s="242">
        <f t="shared" si="27"/>
        <v>0</v>
      </c>
      <c r="F101" s="278">
        <f t="shared" si="27"/>
        <v>97141.68</v>
      </c>
      <c r="G101" s="293">
        <f t="shared" si="27"/>
        <v>10805.17</v>
      </c>
      <c r="H101" s="242">
        <f t="shared" si="27"/>
        <v>0</v>
      </c>
      <c r="I101" s="261">
        <f t="shared" si="27"/>
        <v>107946.85</v>
      </c>
      <c r="J101" s="165">
        <f t="shared" si="27"/>
        <v>0</v>
      </c>
      <c r="K101" s="114">
        <f t="shared" si="27"/>
        <v>0</v>
      </c>
      <c r="L101" s="184">
        <f t="shared" si="27"/>
        <v>85946.85</v>
      </c>
      <c r="M101" s="155">
        <f t="shared" si="27"/>
        <v>0</v>
      </c>
      <c r="N101" s="113">
        <f t="shared" si="27"/>
        <v>0</v>
      </c>
      <c r="O101" s="113">
        <f t="shared" si="27"/>
        <v>85946.85</v>
      </c>
      <c r="P101" s="113">
        <f t="shared" si="27"/>
        <v>0</v>
      </c>
      <c r="Q101" s="113">
        <f t="shared" si="27"/>
        <v>85946.85</v>
      </c>
    </row>
    <row r="102" spans="1:17" ht="12.75">
      <c r="A102" s="24" t="s">
        <v>27</v>
      </c>
      <c r="B102" s="88"/>
      <c r="C102" s="130"/>
      <c r="D102" s="107"/>
      <c r="E102" s="238"/>
      <c r="F102" s="275"/>
      <c r="G102" s="289"/>
      <c r="H102" s="239"/>
      <c r="I102" s="258"/>
      <c r="J102" s="198"/>
      <c r="K102" s="8"/>
      <c r="L102" s="22"/>
      <c r="M102" s="213"/>
      <c r="N102" s="8"/>
      <c r="O102" s="19"/>
      <c r="P102" s="72"/>
      <c r="Q102" s="70"/>
    </row>
    <row r="103" spans="1:17" ht="12.75">
      <c r="A103" s="25" t="s">
        <v>75</v>
      </c>
      <c r="B103" s="88"/>
      <c r="C103" s="136"/>
      <c r="D103" s="104">
        <f>15437.75+10000</f>
        <v>25437.75</v>
      </c>
      <c r="E103" s="236"/>
      <c r="F103" s="274">
        <f aca="true" t="shared" si="28" ref="F103:F110">C103+D103+E103</f>
        <v>25437.75</v>
      </c>
      <c r="G103" s="287">
        <f>805.17+10000</f>
        <v>10805.17</v>
      </c>
      <c r="H103" s="235"/>
      <c r="I103" s="256">
        <f>F103+G103+H103</f>
        <v>36242.92</v>
      </c>
      <c r="J103" s="21"/>
      <c r="K103" s="7"/>
      <c r="L103" s="65">
        <f>I103+J103+K103</f>
        <v>36242.92</v>
      </c>
      <c r="M103" s="127"/>
      <c r="N103" s="7"/>
      <c r="O103" s="18">
        <f>L103+M103+N103</f>
        <v>36242.92</v>
      </c>
      <c r="P103" s="72"/>
      <c r="Q103" s="70">
        <f t="shared" si="19"/>
        <v>36242.92</v>
      </c>
    </row>
    <row r="104" spans="1:17" ht="12.75">
      <c r="A104" s="30" t="s">
        <v>281</v>
      </c>
      <c r="B104" s="88"/>
      <c r="C104" s="136"/>
      <c r="D104" s="104">
        <f>20000</f>
        <v>20000</v>
      </c>
      <c r="E104" s="236"/>
      <c r="F104" s="274">
        <f t="shared" si="28"/>
        <v>20000</v>
      </c>
      <c r="G104" s="287"/>
      <c r="H104" s="235"/>
      <c r="I104" s="256">
        <f aca="true" t="shared" si="29" ref="I104:I109">F104+G104+H104</f>
        <v>20000</v>
      </c>
      <c r="J104" s="21"/>
      <c r="K104" s="7"/>
      <c r="L104" s="65"/>
      <c r="M104" s="127"/>
      <c r="N104" s="7"/>
      <c r="O104" s="18"/>
      <c r="P104" s="72"/>
      <c r="Q104" s="70"/>
    </row>
    <row r="105" spans="1:17" ht="12.75" hidden="1">
      <c r="A105" s="25" t="s">
        <v>61</v>
      </c>
      <c r="B105" s="88"/>
      <c r="C105" s="136"/>
      <c r="D105" s="104"/>
      <c r="E105" s="236"/>
      <c r="F105" s="274">
        <f t="shared" si="28"/>
        <v>0</v>
      </c>
      <c r="G105" s="287"/>
      <c r="H105" s="235"/>
      <c r="I105" s="256">
        <f t="shared" si="29"/>
        <v>0</v>
      </c>
      <c r="J105" s="21"/>
      <c r="K105" s="7"/>
      <c r="L105" s="65"/>
      <c r="M105" s="127"/>
      <c r="N105" s="7"/>
      <c r="O105" s="18"/>
      <c r="P105" s="72"/>
      <c r="Q105" s="70"/>
    </row>
    <row r="106" spans="1:17" ht="12.75" hidden="1">
      <c r="A106" s="26" t="s">
        <v>230</v>
      </c>
      <c r="B106" s="88"/>
      <c r="C106" s="136"/>
      <c r="D106" s="104"/>
      <c r="E106" s="236"/>
      <c r="F106" s="274">
        <f t="shared" si="28"/>
        <v>0</v>
      </c>
      <c r="G106" s="287"/>
      <c r="H106" s="235"/>
      <c r="I106" s="256">
        <f t="shared" si="29"/>
        <v>0</v>
      </c>
      <c r="J106" s="21"/>
      <c r="K106" s="7"/>
      <c r="L106" s="65"/>
      <c r="M106" s="127"/>
      <c r="N106" s="7"/>
      <c r="O106" s="18"/>
      <c r="P106" s="72"/>
      <c r="Q106" s="70"/>
    </row>
    <row r="107" spans="1:17" ht="12.75" hidden="1">
      <c r="A107" s="26" t="s">
        <v>86</v>
      </c>
      <c r="B107" s="88"/>
      <c r="C107" s="136"/>
      <c r="D107" s="104"/>
      <c r="E107" s="236"/>
      <c r="F107" s="274">
        <f t="shared" si="28"/>
        <v>0</v>
      </c>
      <c r="G107" s="287"/>
      <c r="H107" s="235"/>
      <c r="I107" s="256">
        <f t="shared" si="29"/>
        <v>0</v>
      </c>
      <c r="J107" s="21"/>
      <c r="K107" s="7"/>
      <c r="L107" s="65">
        <f>I107+J107+K107</f>
        <v>0</v>
      </c>
      <c r="M107" s="127"/>
      <c r="N107" s="7"/>
      <c r="O107" s="18">
        <f>L107+M107+N107</f>
        <v>0</v>
      </c>
      <c r="P107" s="72"/>
      <c r="Q107" s="70">
        <f t="shared" si="19"/>
        <v>0</v>
      </c>
    </row>
    <row r="108" spans="1:17" ht="12.75">
      <c r="A108" s="26" t="s">
        <v>288</v>
      </c>
      <c r="B108" s="88"/>
      <c r="C108" s="136">
        <v>2000</v>
      </c>
      <c r="D108" s="104"/>
      <c r="E108" s="236"/>
      <c r="F108" s="274">
        <f t="shared" si="28"/>
        <v>2000</v>
      </c>
      <c r="G108" s="287"/>
      <c r="H108" s="235"/>
      <c r="I108" s="256">
        <f t="shared" si="29"/>
        <v>2000</v>
      </c>
      <c r="J108" s="21"/>
      <c r="K108" s="7"/>
      <c r="L108" s="65"/>
      <c r="M108" s="127"/>
      <c r="N108" s="7"/>
      <c r="O108" s="18"/>
      <c r="P108" s="72"/>
      <c r="Q108" s="70"/>
    </row>
    <row r="109" spans="1:17" ht="12.75">
      <c r="A109" s="25" t="s">
        <v>73</v>
      </c>
      <c r="B109" s="88"/>
      <c r="C109" s="136">
        <v>30000</v>
      </c>
      <c r="D109" s="104">
        <f>19388.73+315.2</f>
        <v>19703.93</v>
      </c>
      <c r="E109" s="236"/>
      <c r="F109" s="274">
        <f t="shared" si="28"/>
        <v>49703.93</v>
      </c>
      <c r="G109" s="287"/>
      <c r="H109" s="235"/>
      <c r="I109" s="256">
        <f t="shared" si="29"/>
        <v>49703.93</v>
      </c>
      <c r="J109" s="21"/>
      <c r="K109" s="7"/>
      <c r="L109" s="65">
        <f>I109+J109+K109</f>
        <v>49703.93</v>
      </c>
      <c r="M109" s="127"/>
      <c r="N109" s="7"/>
      <c r="O109" s="18">
        <f>L109+M109+N109</f>
        <v>49703.93</v>
      </c>
      <c r="P109" s="72"/>
      <c r="Q109" s="70">
        <f t="shared" si="19"/>
        <v>49703.93</v>
      </c>
    </row>
    <row r="110" spans="1:17" ht="12.75">
      <c r="A110" s="34" t="s">
        <v>76</v>
      </c>
      <c r="B110" s="91"/>
      <c r="C110" s="164"/>
      <c r="D110" s="112">
        <f>19388.73+315.2</f>
        <v>19703.93</v>
      </c>
      <c r="E110" s="267"/>
      <c r="F110" s="279">
        <f t="shared" si="28"/>
        <v>19703.93</v>
      </c>
      <c r="G110" s="294">
        <f>12547.5</f>
        <v>12547.5</v>
      </c>
      <c r="H110" s="243"/>
      <c r="I110" s="262">
        <f>F110+G110+H110</f>
        <v>32251.43</v>
      </c>
      <c r="J110" s="199"/>
      <c r="K110" s="10"/>
      <c r="L110" s="64">
        <f>I110+J110+K110</f>
        <v>32251.43</v>
      </c>
      <c r="M110" s="214"/>
      <c r="N110" s="10"/>
      <c r="O110" s="20">
        <f>L110+M110+N110</f>
        <v>32251.43</v>
      </c>
      <c r="P110" s="75"/>
      <c r="Q110" s="76">
        <f t="shared" si="19"/>
        <v>32251.43</v>
      </c>
    </row>
    <row r="111" spans="1:17" ht="12.75">
      <c r="A111" s="27" t="s">
        <v>77</v>
      </c>
      <c r="B111" s="92"/>
      <c r="C111" s="130">
        <f>C112+C118</f>
        <v>10484</v>
      </c>
      <c r="D111" s="107">
        <f aca="true" t="shared" si="30" ref="D111:Q111">D112+D118</f>
        <v>2843.67</v>
      </c>
      <c r="E111" s="238">
        <f t="shared" si="30"/>
        <v>0</v>
      </c>
      <c r="F111" s="275">
        <f t="shared" si="30"/>
        <v>13327.67</v>
      </c>
      <c r="G111" s="289">
        <f t="shared" si="30"/>
        <v>520</v>
      </c>
      <c r="H111" s="238">
        <f t="shared" si="30"/>
        <v>0</v>
      </c>
      <c r="I111" s="258">
        <f t="shared" si="30"/>
        <v>13847.67</v>
      </c>
      <c r="J111" s="130">
        <f t="shared" si="30"/>
        <v>0</v>
      </c>
      <c r="K111" s="107">
        <f t="shared" si="30"/>
        <v>0</v>
      </c>
      <c r="L111" s="181">
        <f t="shared" si="30"/>
        <v>13847.67</v>
      </c>
      <c r="M111" s="152">
        <f t="shared" si="30"/>
        <v>0</v>
      </c>
      <c r="N111" s="106">
        <f t="shared" si="30"/>
        <v>0</v>
      </c>
      <c r="O111" s="106">
        <f t="shared" si="30"/>
        <v>13847.67</v>
      </c>
      <c r="P111" s="106">
        <f t="shared" si="30"/>
        <v>0</v>
      </c>
      <c r="Q111" s="106">
        <f t="shared" si="30"/>
        <v>13847.67</v>
      </c>
    </row>
    <row r="112" spans="1:17" ht="12.75">
      <c r="A112" s="32" t="s">
        <v>55</v>
      </c>
      <c r="B112" s="92"/>
      <c r="C112" s="163">
        <f>SUM(C114:C117)</f>
        <v>10484</v>
      </c>
      <c r="D112" s="111">
        <f aca="true" t="shared" si="31" ref="D112:Q112">SUM(D114:D117)</f>
        <v>2843.67</v>
      </c>
      <c r="E112" s="241">
        <f t="shared" si="31"/>
        <v>0</v>
      </c>
      <c r="F112" s="277">
        <f t="shared" si="31"/>
        <v>13327.67</v>
      </c>
      <c r="G112" s="291">
        <f t="shared" si="31"/>
        <v>520</v>
      </c>
      <c r="H112" s="241">
        <f t="shared" si="31"/>
        <v>0</v>
      </c>
      <c r="I112" s="260">
        <f t="shared" si="31"/>
        <v>13847.67</v>
      </c>
      <c r="J112" s="163">
        <f t="shared" si="31"/>
        <v>0</v>
      </c>
      <c r="K112" s="111">
        <f t="shared" si="31"/>
        <v>0</v>
      </c>
      <c r="L112" s="183">
        <f t="shared" si="31"/>
        <v>13847.67</v>
      </c>
      <c r="M112" s="154">
        <f t="shared" si="31"/>
        <v>0</v>
      </c>
      <c r="N112" s="110">
        <f t="shared" si="31"/>
        <v>0</v>
      </c>
      <c r="O112" s="110">
        <f t="shared" si="31"/>
        <v>13847.67</v>
      </c>
      <c r="P112" s="110">
        <f t="shared" si="31"/>
        <v>0</v>
      </c>
      <c r="Q112" s="110">
        <f t="shared" si="31"/>
        <v>13847.67</v>
      </c>
    </row>
    <row r="113" spans="1:17" ht="12.75">
      <c r="A113" s="28" t="s">
        <v>27</v>
      </c>
      <c r="B113" s="88"/>
      <c r="C113" s="136"/>
      <c r="D113" s="104"/>
      <c r="E113" s="236"/>
      <c r="F113" s="254"/>
      <c r="G113" s="287"/>
      <c r="H113" s="235"/>
      <c r="I113" s="257"/>
      <c r="J113" s="21"/>
      <c r="K113" s="7"/>
      <c r="L113" s="61"/>
      <c r="M113" s="127"/>
      <c r="N113" s="7"/>
      <c r="O113" s="17"/>
      <c r="P113" s="72"/>
      <c r="Q113" s="70"/>
    </row>
    <row r="114" spans="1:17" ht="12.75">
      <c r="A114" s="26" t="s">
        <v>57</v>
      </c>
      <c r="B114" s="88"/>
      <c r="C114" s="136">
        <v>10484</v>
      </c>
      <c r="D114" s="104">
        <f>1285.67+185</f>
        <v>1470.67</v>
      </c>
      <c r="E114" s="236"/>
      <c r="F114" s="274">
        <f>C114+D114+E114</f>
        <v>11954.67</v>
      </c>
      <c r="G114" s="287"/>
      <c r="H114" s="235"/>
      <c r="I114" s="256">
        <f>SUM(F114:H114)</f>
        <v>11954.67</v>
      </c>
      <c r="J114" s="21"/>
      <c r="K114" s="7"/>
      <c r="L114" s="65">
        <f>I114+J114+K114</f>
        <v>11954.67</v>
      </c>
      <c r="M114" s="127"/>
      <c r="N114" s="7"/>
      <c r="O114" s="18">
        <f>L114+M114+N114</f>
        <v>11954.67</v>
      </c>
      <c r="P114" s="72"/>
      <c r="Q114" s="70">
        <f t="shared" si="19"/>
        <v>11954.67</v>
      </c>
    </row>
    <row r="115" spans="1:17" ht="12.75" hidden="1">
      <c r="A115" s="39" t="s">
        <v>328</v>
      </c>
      <c r="B115" s="88"/>
      <c r="C115" s="136"/>
      <c r="D115" s="104"/>
      <c r="E115" s="236"/>
      <c r="F115" s="274">
        <f>C115+D115+E115</f>
        <v>0</v>
      </c>
      <c r="G115" s="287"/>
      <c r="H115" s="235"/>
      <c r="I115" s="256"/>
      <c r="J115" s="21"/>
      <c r="K115" s="7"/>
      <c r="L115" s="65"/>
      <c r="M115" s="127"/>
      <c r="N115" s="7"/>
      <c r="O115" s="18"/>
      <c r="P115" s="72"/>
      <c r="Q115" s="70"/>
    </row>
    <row r="116" spans="1:17" ht="12.75">
      <c r="A116" s="37" t="s">
        <v>78</v>
      </c>
      <c r="B116" s="91">
        <v>33166</v>
      </c>
      <c r="C116" s="164"/>
      <c r="D116" s="112">
        <f>1373</f>
        <v>1373</v>
      </c>
      <c r="E116" s="267"/>
      <c r="F116" s="279">
        <f>C116+D116+E116</f>
        <v>1373</v>
      </c>
      <c r="G116" s="294">
        <f>520</f>
        <v>520</v>
      </c>
      <c r="H116" s="243"/>
      <c r="I116" s="262">
        <f>SUM(F116:H116)</f>
        <v>1893</v>
      </c>
      <c r="J116" s="21"/>
      <c r="K116" s="7"/>
      <c r="L116" s="65">
        <f>I116+J116+K116</f>
        <v>1893</v>
      </c>
      <c r="M116" s="127"/>
      <c r="N116" s="7"/>
      <c r="O116" s="18">
        <f>L116+M116+N116</f>
        <v>1893</v>
      </c>
      <c r="P116" s="72"/>
      <c r="Q116" s="70">
        <f t="shared" si="19"/>
        <v>1893</v>
      </c>
    </row>
    <row r="117" spans="1:17" ht="12.75" hidden="1">
      <c r="A117" s="30" t="s">
        <v>71</v>
      </c>
      <c r="B117" s="88"/>
      <c r="C117" s="136"/>
      <c r="D117" s="104"/>
      <c r="E117" s="236"/>
      <c r="F117" s="274">
        <f>C117+D117+E117</f>
        <v>0</v>
      </c>
      <c r="G117" s="287"/>
      <c r="H117" s="235"/>
      <c r="I117" s="256">
        <f>SUM(F117:H117)</f>
        <v>0</v>
      </c>
      <c r="J117" s="21"/>
      <c r="K117" s="7"/>
      <c r="L117" s="65">
        <f>I117+J117+K117</f>
        <v>0</v>
      </c>
      <c r="M117" s="127"/>
      <c r="N117" s="7"/>
      <c r="O117" s="18">
        <f>L117+M117+N117</f>
        <v>0</v>
      </c>
      <c r="P117" s="72"/>
      <c r="Q117" s="70">
        <f t="shared" si="19"/>
        <v>0</v>
      </c>
    </row>
    <row r="118" spans="1:17" ht="12.75" hidden="1">
      <c r="A118" s="32" t="s">
        <v>60</v>
      </c>
      <c r="B118" s="92"/>
      <c r="C118" s="163">
        <f>C120</f>
        <v>0</v>
      </c>
      <c r="D118" s="111">
        <f aca="true" t="shared" si="32" ref="D118:Q118">D120</f>
        <v>0</v>
      </c>
      <c r="E118" s="241">
        <f t="shared" si="32"/>
        <v>0</v>
      </c>
      <c r="F118" s="277">
        <f t="shared" si="32"/>
        <v>0</v>
      </c>
      <c r="G118" s="291">
        <f t="shared" si="32"/>
        <v>0</v>
      </c>
      <c r="H118" s="241">
        <f t="shared" si="32"/>
        <v>0</v>
      </c>
      <c r="I118" s="260">
        <f t="shared" si="32"/>
        <v>0</v>
      </c>
      <c r="J118" s="163">
        <f t="shared" si="32"/>
        <v>0</v>
      </c>
      <c r="K118" s="111">
        <f t="shared" si="32"/>
        <v>0</v>
      </c>
      <c r="L118" s="183">
        <f t="shared" si="32"/>
        <v>0</v>
      </c>
      <c r="M118" s="154">
        <f t="shared" si="32"/>
        <v>0</v>
      </c>
      <c r="N118" s="110">
        <f t="shared" si="32"/>
        <v>0</v>
      </c>
      <c r="O118" s="110">
        <f t="shared" si="32"/>
        <v>0</v>
      </c>
      <c r="P118" s="110">
        <f t="shared" si="32"/>
        <v>0</v>
      </c>
      <c r="Q118" s="110">
        <f t="shared" si="32"/>
        <v>0</v>
      </c>
    </row>
    <row r="119" spans="1:17" ht="12.75" hidden="1">
      <c r="A119" s="28" t="s">
        <v>27</v>
      </c>
      <c r="B119" s="88"/>
      <c r="C119" s="136"/>
      <c r="D119" s="104"/>
      <c r="E119" s="236"/>
      <c r="F119" s="254"/>
      <c r="G119" s="287"/>
      <c r="H119" s="235"/>
      <c r="I119" s="257"/>
      <c r="J119" s="21"/>
      <c r="K119" s="7"/>
      <c r="L119" s="61"/>
      <c r="M119" s="127"/>
      <c r="N119" s="7"/>
      <c r="O119" s="17"/>
      <c r="P119" s="72"/>
      <c r="Q119" s="70"/>
    </row>
    <row r="120" spans="1:17" ht="12.75" hidden="1">
      <c r="A120" s="29" t="s">
        <v>180</v>
      </c>
      <c r="B120" s="91"/>
      <c r="C120" s="164"/>
      <c r="D120" s="112"/>
      <c r="E120" s="267"/>
      <c r="F120" s="279">
        <f>C120+D120+E120</f>
        <v>0</v>
      </c>
      <c r="G120" s="294"/>
      <c r="H120" s="243"/>
      <c r="I120" s="263"/>
      <c r="J120" s="199"/>
      <c r="K120" s="10"/>
      <c r="L120" s="64">
        <f>I120+J120+K120</f>
        <v>0</v>
      </c>
      <c r="M120" s="214"/>
      <c r="N120" s="10"/>
      <c r="O120" s="20">
        <f>L120+M120+N120</f>
        <v>0</v>
      </c>
      <c r="P120" s="75"/>
      <c r="Q120" s="76">
        <f t="shared" si="19"/>
        <v>0</v>
      </c>
    </row>
    <row r="121" spans="1:17" ht="12.75">
      <c r="A121" s="23" t="s">
        <v>79</v>
      </c>
      <c r="B121" s="92"/>
      <c r="C121" s="143">
        <f>C122+C134</f>
        <v>1227223.9</v>
      </c>
      <c r="D121" s="103">
        <f aca="true" t="shared" si="33" ref="D121:Q121">D122+D134</f>
        <v>294323.48000000004</v>
      </c>
      <c r="E121" s="233">
        <f t="shared" si="33"/>
        <v>0</v>
      </c>
      <c r="F121" s="254">
        <f t="shared" si="33"/>
        <v>1521547.3800000001</v>
      </c>
      <c r="G121" s="286">
        <f t="shared" si="33"/>
        <v>68171.44</v>
      </c>
      <c r="H121" s="233">
        <f t="shared" si="33"/>
        <v>0</v>
      </c>
      <c r="I121" s="257">
        <f t="shared" si="33"/>
        <v>1589718.82</v>
      </c>
      <c r="J121" s="143">
        <f t="shared" si="33"/>
        <v>0</v>
      </c>
      <c r="K121" s="103">
        <f t="shared" si="33"/>
        <v>0</v>
      </c>
      <c r="L121" s="158">
        <f t="shared" si="33"/>
        <v>1589718.82</v>
      </c>
      <c r="M121" s="128">
        <f t="shared" si="33"/>
        <v>0</v>
      </c>
      <c r="N121" s="102">
        <f t="shared" si="33"/>
        <v>0</v>
      </c>
      <c r="O121" s="102">
        <f t="shared" si="33"/>
        <v>1589718.82</v>
      </c>
      <c r="P121" s="102">
        <f t="shared" si="33"/>
        <v>0</v>
      </c>
      <c r="Q121" s="102">
        <f t="shared" si="33"/>
        <v>1589718.82</v>
      </c>
    </row>
    <row r="122" spans="1:17" ht="12.75">
      <c r="A122" s="32" t="s">
        <v>55</v>
      </c>
      <c r="B122" s="92"/>
      <c r="C122" s="163">
        <f>SUM(C125:C133)</f>
        <v>1211223.9</v>
      </c>
      <c r="D122" s="111">
        <f aca="true" t="shared" si="34" ref="D122:Q122">SUM(D125:D133)</f>
        <v>290520.62000000005</v>
      </c>
      <c r="E122" s="241">
        <f t="shared" si="34"/>
        <v>0</v>
      </c>
      <c r="F122" s="277">
        <f t="shared" si="34"/>
        <v>1501744.52</v>
      </c>
      <c r="G122" s="291">
        <f t="shared" si="34"/>
        <v>76774.44</v>
      </c>
      <c r="H122" s="241">
        <f t="shared" si="34"/>
        <v>0</v>
      </c>
      <c r="I122" s="260">
        <f t="shared" si="34"/>
        <v>1578518.96</v>
      </c>
      <c r="J122" s="163">
        <f t="shared" si="34"/>
        <v>0</v>
      </c>
      <c r="K122" s="111">
        <f t="shared" si="34"/>
        <v>0</v>
      </c>
      <c r="L122" s="183">
        <f t="shared" si="34"/>
        <v>1578518.96</v>
      </c>
      <c r="M122" s="154">
        <f t="shared" si="34"/>
        <v>0</v>
      </c>
      <c r="N122" s="110">
        <f t="shared" si="34"/>
        <v>0</v>
      </c>
      <c r="O122" s="110">
        <f t="shared" si="34"/>
        <v>1578518.96</v>
      </c>
      <c r="P122" s="110">
        <f t="shared" si="34"/>
        <v>0</v>
      </c>
      <c r="Q122" s="110">
        <f t="shared" si="34"/>
        <v>1578518.96</v>
      </c>
    </row>
    <row r="123" spans="1:17" ht="12.75">
      <c r="A123" s="28" t="s">
        <v>27</v>
      </c>
      <c r="B123" s="88"/>
      <c r="C123" s="136"/>
      <c r="D123" s="104"/>
      <c r="E123" s="236"/>
      <c r="F123" s="254"/>
      <c r="G123" s="287"/>
      <c r="H123" s="235"/>
      <c r="I123" s="257"/>
      <c r="J123" s="21"/>
      <c r="K123" s="7"/>
      <c r="L123" s="61"/>
      <c r="M123" s="127"/>
      <c r="N123" s="7"/>
      <c r="O123" s="17"/>
      <c r="P123" s="72"/>
      <c r="Q123" s="70"/>
    </row>
    <row r="124" spans="1:17" ht="12.75">
      <c r="A124" s="30" t="s">
        <v>80</v>
      </c>
      <c r="B124" s="88"/>
      <c r="C124" s="136">
        <f>C125+C126</f>
        <v>734071</v>
      </c>
      <c r="D124" s="104">
        <f>D125+D126</f>
        <v>20111.829999999998</v>
      </c>
      <c r="E124" s="236">
        <f>E125+E126</f>
        <v>-595.71</v>
      </c>
      <c r="F124" s="274">
        <f>F125+F126</f>
        <v>753587.12</v>
      </c>
      <c r="G124" s="287"/>
      <c r="H124" s="235"/>
      <c r="I124" s="256">
        <f>I125+I126</f>
        <v>755901.01</v>
      </c>
      <c r="J124" s="21"/>
      <c r="K124" s="7"/>
      <c r="L124" s="65">
        <f>L125+L126</f>
        <v>755901.01</v>
      </c>
      <c r="M124" s="127"/>
      <c r="N124" s="7"/>
      <c r="O124" s="18">
        <f>O125+O126</f>
        <v>755901.01</v>
      </c>
      <c r="P124" s="72"/>
      <c r="Q124" s="70">
        <f t="shared" si="19"/>
        <v>755901.01</v>
      </c>
    </row>
    <row r="125" spans="1:17" ht="12.75">
      <c r="A125" s="30" t="s">
        <v>81</v>
      </c>
      <c r="B125" s="88"/>
      <c r="C125" s="136">
        <v>354000</v>
      </c>
      <c r="D125" s="104">
        <f>18957.44+39.86+1108+6.53</f>
        <v>20111.829999999998</v>
      </c>
      <c r="E125" s="236">
        <v>-595.71</v>
      </c>
      <c r="F125" s="274">
        <f aca="true" t="shared" si="35" ref="F125:F133">C125+D125+E125</f>
        <v>373516.12</v>
      </c>
      <c r="G125" s="287">
        <f>1685.75+628.14</f>
        <v>2313.89</v>
      </c>
      <c r="H125" s="244"/>
      <c r="I125" s="256">
        <f aca="true" t="shared" si="36" ref="I125:I133">F125+G125+H125</f>
        <v>375830.01</v>
      </c>
      <c r="J125" s="21"/>
      <c r="K125" s="7"/>
      <c r="L125" s="65">
        <f aca="true" t="shared" si="37" ref="L125:L133">I125+J125+K125</f>
        <v>375830.01</v>
      </c>
      <c r="M125" s="127"/>
      <c r="N125" s="7"/>
      <c r="O125" s="18">
        <f aca="true" t="shared" si="38" ref="O125:O133">L125+M125+N125</f>
        <v>375830.01</v>
      </c>
      <c r="P125" s="72"/>
      <c r="Q125" s="70">
        <f t="shared" si="19"/>
        <v>375830.01</v>
      </c>
    </row>
    <row r="126" spans="1:17" ht="12.75">
      <c r="A126" s="26" t="s">
        <v>82</v>
      </c>
      <c r="B126" s="88"/>
      <c r="C126" s="136">
        <v>380071</v>
      </c>
      <c r="D126" s="104"/>
      <c r="E126" s="236"/>
      <c r="F126" s="274">
        <f t="shared" si="35"/>
        <v>380071</v>
      </c>
      <c r="G126" s="295"/>
      <c r="H126" s="244"/>
      <c r="I126" s="256">
        <f t="shared" si="36"/>
        <v>380071</v>
      </c>
      <c r="J126" s="21"/>
      <c r="K126" s="7"/>
      <c r="L126" s="65">
        <f t="shared" si="37"/>
        <v>380071</v>
      </c>
      <c r="M126" s="127"/>
      <c r="N126" s="7"/>
      <c r="O126" s="18">
        <f t="shared" si="38"/>
        <v>380071</v>
      </c>
      <c r="P126" s="72"/>
      <c r="Q126" s="70">
        <f t="shared" si="19"/>
        <v>380071</v>
      </c>
    </row>
    <row r="127" spans="1:17" ht="12.75">
      <c r="A127" s="30" t="s">
        <v>83</v>
      </c>
      <c r="B127" s="88"/>
      <c r="C127" s="136">
        <v>21152.9</v>
      </c>
      <c r="D127" s="104"/>
      <c r="E127" s="236"/>
      <c r="F127" s="274">
        <f t="shared" si="35"/>
        <v>21152.9</v>
      </c>
      <c r="G127" s="287">
        <f>4147.1</f>
        <v>4147.1</v>
      </c>
      <c r="H127" s="235"/>
      <c r="I127" s="256">
        <f t="shared" si="36"/>
        <v>25300</v>
      </c>
      <c r="J127" s="21"/>
      <c r="K127" s="7"/>
      <c r="L127" s="65">
        <f t="shared" si="37"/>
        <v>25300</v>
      </c>
      <c r="M127" s="127"/>
      <c r="N127" s="7"/>
      <c r="O127" s="18">
        <f t="shared" si="38"/>
        <v>25300</v>
      </c>
      <c r="P127" s="72"/>
      <c r="Q127" s="70">
        <f t="shared" si="19"/>
        <v>25300</v>
      </c>
    </row>
    <row r="128" spans="1:17" ht="12.75">
      <c r="A128" s="26" t="s">
        <v>84</v>
      </c>
      <c r="B128" s="88"/>
      <c r="C128" s="136"/>
      <c r="D128" s="104"/>
      <c r="E128" s="236">
        <v>250</v>
      </c>
      <c r="F128" s="274">
        <f t="shared" si="35"/>
        <v>250</v>
      </c>
      <c r="G128" s="287"/>
      <c r="H128" s="235"/>
      <c r="I128" s="256">
        <f t="shared" si="36"/>
        <v>250</v>
      </c>
      <c r="J128" s="21"/>
      <c r="K128" s="7"/>
      <c r="L128" s="65">
        <f t="shared" si="37"/>
        <v>250</v>
      </c>
      <c r="M128" s="127"/>
      <c r="N128" s="7"/>
      <c r="O128" s="18">
        <f t="shared" si="38"/>
        <v>250</v>
      </c>
      <c r="P128" s="72"/>
      <c r="Q128" s="70">
        <f t="shared" si="19"/>
        <v>250</v>
      </c>
    </row>
    <row r="129" spans="1:17" ht="12.75">
      <c r="A129" s="26" t="s">
        <v>71</v>
      </c>
      <c r="B129" s="88"/>
      <c r="C129" s="136"/>
      <c r="D129" s="104"/>
      <c r="E129" s="236">
        <v>345.71</v>
      </c>
      <c r="F129" s="274">
        <f t="shared" si="35"/>
        <v>345.71</v>
      </c>
      <c r="G129" s="287"/>
      <c r="H129" s="235"/>
      <c r="I129" s="256">
        <f t="shared" si="36"/>
        <v>345.71</v>
      </c>
      <c r="J129" s="21"/>
      <c r="K129" s="7"/>
      <c r="L129" s="65">
        <f t="shared" si="37"/>
        <v>345.71</v>
      </c>
      <c r="M129" s="127"/>
      <c r="N129" s="7"/>
      <c r="O129" s="18">
        <f t="shared" si="38"/>
        <v>345.71</v>
      </c>
      <c r="P129" s="72"/>
      <c r="Q129" s="70">
        <f t="shared" si="19"/>
        <v>345.71</v>
      </c>
    </row>
    <row r="130" spans="1:17" ht="12.75">
      <c r="A130" s="26" t="s">
        <v>85</v>
      </c>
      <c r="B130" s="88">
        <v>91252</v>
      </c>
      <c r="C130" s="136"/>
      <c r="D130" s="104"/>
      <c r="E130" s="236"/>
      <c r="F130" s="274">
        <f t="shared" si="35"/>
        <v>0</v>
      </c>
      <c r="G130" s="287">
        <f>69355</f>
        <v>69355</v>
      </c>
      <c r="H130" s="235"/>
      <c r="I130" s="256">
        <f t="shared" si="36"/>
        <v>69355</v>
      </c>
      <c r="J130" s="21"/>
      <c r="K130" s="7"/>
      <c r="L130" s="65">
        <f t="shared" si="37"/>
        <v>69355</v>
      </c>
      <c r="M130" s="127"/>
      <c r="N130" s="7"/>
      <c r="O130" s="18">
        <f t="shared" si="38"/>
        <v>69355</v>
      </c>
      <c r="P130" s="72"/>
      <c r="Q130" s="70">
        <f t="shared" si="19"/>
        <v>69355</v>
      </c>
    </row>
    <row r="131" spans="1:17" ht="12.75">
      <c r="A131" s="26" t="s">
        <v>155</v>
      </c>
      <c r="B131" s="88">
        <v>27355</v>
      </c>
      <c r="C131" s="136"/>
      <c r="D131" s="104">
        <f>270393.45</f>
        <v>270393.45</v>
      </c>
      <c r="E131" s="236"/>
      <c r="F131" s="274">
        <f t="shared" si="35"/>
        <v>270393.45</v>
      </c>
      <c r="G131" s="287"/>
      <c r="H131" s="235"/>
      <c r="I131" s="256">
        <f t="shared" si="36"/>
        <v>270393.45</v>
      </c>
      <c r="J131" s="21"/>
      <c r="K131" s="7"/>
      <c r="L131" s="65">
        <f t="shared" si="37"/>
        <v>270393.45</v>
      </c>
      <c r="M131" s="127"/>
      <c r="N131" s="7"/>
      <c r="O131" s="18">
        <f t="shared" si="38"/>
        <v>270393.45</v>
      </c>
      <c r="P131" s="72"/>
      <c r="Q131" s="70">
        <f t="shared" si="19"/>
        <v>270393.45</v>
      </c>
    </row>
    <row r="132" spans="1:17" ht="12.75">
      <c r="A132" s="26" t="s">
        <v>57</v>
      </c>
      <c r="B132" s="88"/>
      <c r="C132" s="136">
        <v>456000</v>
      </c>
      <c r="D132" s="104">
        <f>15.34</f>
        <v>15.34</v>
      </c>
      <c r="E132" s="236"/>
      <c r="F132" s="274">
        <f t="shared" si="35"/>
        <v>456015.34</v>
      </c>
      <c r="G132" s="287">
        <f>958.45</f>
        <v>958.45</v>
      </c>
      <c r="H132" s="235"/>
      <c r="I132" s="256">
        <f t="shared" si="36"/>
        <v>456973.79000000004</v>
      </c>
      <c r="J132" s="21"/>
      <c r="K132" s="7"/>
      <c r="L132" s="65">
        <f t="shared" si="37"/>
        <v>456973.79000000004</v>
      </c>
      <c r="M132" s="127"/>
      <c r="N132" s="7"/>
      <c r="O132" s="18">
        <f t="shared" si="38"/>
        <v>456973.79000000004</v>
      </c>
      <c r="P132" s="72"/>
      <c r="Q132" s="70">
        <f t="shared" si="19"/>
        <v>456973.79000000004</v>
      </c>
    </row>
    <row r="133" spans="1:17" ht="12" customHeight="1" hidden="1">
      <c r="A133" s="26" t="s">
        <v>86</v>
      </c>
      <c r="B133" s="88"/>
      <c r="C133" s="136"/>
      <c r="D133" s="104"/>
      <c r="E133" s="236"/>
      <c r="F133" s="274">
        <f t="shared" si="35"/>
        <v>0</v>
      </c>
      <c r="G133" s="287"/>
      <c r="H133" s="235"/>
      <c r="I133" s="256">
        <f t="shared" si="36"/>
        <v>0</v>
      </c>
      <c r="J133" s="21"/>
      <c r="K133" s="7"/>
      <c r="L133" s="65">
        <f t="shared" si="37"/>
        <v>0</v>
      </c>
      <c r="M133" s="127"/>
      <c r="N133" s="7"/>
      <c r="O133" s="18">
        <f t="shared" si="38"/>
        <v>0</v>
      </c>
      <c r="P133" s="72"/>
      <c r="Q133" s="70">
        <f t="shared" si="19"/>
        <v>0</v>
      </c>
    </row>
    <row r="134" spans="1:17" ht="12.75">
      <c r="A134" s="33" t="s">
        <v>60</v>
      </c>
      <c r="B134" s="92"/>
      <c r="C134" s="165">
        <f>SUM(C136:C138)</f>
        <v>16000</v>
      </c>
      <c r="D134" s="114">
        <f aca="true" t="shared" si="39" ref="D134:Q134">SUM(D136:D138)</f>
        <v>3802.86</v>
      </c>
      <c r="E134" s="242">
        <f t="shared" si="39"/>
        <v>0</v>
      </c>
      <c r="F134" s="278">
        <f t="shared" si="39"/>
        <v>19802.86</v>
      </c>
      <c r="G134" s="293">
        <f t="shared" si="39"/>
        <v>-8603</v>
      </c>
      <c r="H134" s="242">
        <f t="shared" si="39"/>
        <v>0</v>
      </c>
      <c r="I134" s="261">
        <f t="shared" si="39"/>
        <v>11199.86</v>
      </c>
      <c r="J134" s="165">
        <f t="shared" si="39"/>
        <v>0</v>
      </c>
      <c r="K134" s="114">
        <f t="shared" si="39"/>
        <v>0</v>
      </c>
      <c r="L134" s="184">
        <f t="shared" si="39"/>
        <v>11199.86</v>
      </c>
      <c r="M134" s="155">
        <f t="shared" si="39"/>
        <v>0</v>
      </c>
      <c r="N134" s="113">
        <f t="shared" si="39"/>
        <v>0</v>
      </c>
      <c r="O134" s="113">
        <f t="shared" si="39"/>
        <v>11199.86</v>
      </c>
      <c r="P134" s="113">
        <f t="shared" si="39"/>
        <v>0</v>
      </c>
      <c r="Q134" s="113">
        <f t="shared" si="39"/>
        <v>11199.86</v>
      </c>
    </row>
    <row r="135" spans="1:17" ht="12.75">
      <c r="A135" s="24" t="s">
        <v>27</v>
      </c>
      <c r="B135" s="88"/>
      <c r="C135" s="130"/>
      <c r="D135" s="107"/>
      <c r="E135" s="238"/>
      <c r="F135" s="275"/>
      <c r="G135" s="289"/>
      <c r="H135" s="239"/>
      <c r="I135" s="258"/>
      <c r="J135" s="198"/>
      <c r="K135" s="8"/>
      <c r="L135" s="22"/>
      <c r="M135" s="213"/>
      <c r="N135" s="8"/>
      <c r="O135" s="19"/>
      <c r="P135" s="72"/>
      <c r="Q135" s="70"/>
    </row>
    <row r="136" spans="1:17" ht="12.75">
      <c r="A136" s="25" t="s">
        <v>61</v>
      </c>
      <c r="B136" s="88"/>
      <c r="C136" s="136">
        <v>10000</v>
      </c>
      <c r="D136" s="104">
        <f>3802.86</f>
        <v>3802.86</v>
      </c>
      <c r="E136" s="236"/>
      <c r="F136" s="274">
        <f>C136+D136+E136</f>
        <v>13802.86</v>
      </c>
      <c r="G136" s="287">
        <f>-2603</f>
        <v>-2603</v>
      </c>
      <c r="H136" s="235"/>
      <c r="I136" s="256">
        <f>F136+G136+H136</f>
        <v>11199.86</v>
      </c>
      <c r="J136" s="21"/>
      <c r="K136" s="7"/>
      <c r="L136" s="65">
        <f>I136+J136+K136</f>
        <v>11199.86</v>
      </c>
      <c r="M136" s="127"/>
      <c r="N136" s="7"/>
      <c r="O136" s="18">
        <f>L136+M136+N136</f>
        <v>11199.86</v>
      </c>
      <c r="P136" s="72"/>
      <c r="Q136" s="70">
        <f t="shared" si="19"/>
        <v>11199.86</v>
      </c>
    </row>
    <row r="137" spans="1:17" ht="12.75">
      <c r="A137" s="29" t="s">
        <v>99</v>
      </c>
      <c r="B137" s="91"/>
      <c r="C137" s="164">
        <v>6000</v>
      </c>
      <c r="D137" s="112"/>
      <c r="E137" s="267"/>
      <c r="F137" s="279">
        <f>C137+D137+E137</f>
        <v>6000</v>
      </c>
      <c r="G137" s="294">
        <f>-6000</f>
        <v>-6000</v>
      </c>
      <c r="H137" s="243"/>
      <c r="I137" s="262">
        <f>F137+G137+H137</f>
        <v>0</v>
      </c>
      <c r="J137" s="21"/>
      <c r="K137" s="7"/>
      <c r="L137" s="65">
        <f>I137+J137+K137</f>
        <v>0</v>
      </c>
      <c r="M137" s="127"/>
      <c r="N137" s="7"/>
      <c r="O137" s="18">
        <f>L137+M137+N137</f>
        <v>0</v>
      </c>
      <c r="P137" s="72"/>
      <c r="Q137" s="70">
        <f t="shared" si="19"/>
        <v>0</v>
      </c>
    </row>
    <row r="138" spans="1:17" ht="12.75" hidden="1">
      <c r="A138" s="29" t="s">
        <v>87</v>
      </c>
      <c r="B138" s="91"/>
      <c r="C138" s="164"/>
      <c r="D138" s="112"/>
      <c r="E138" s="267"/>
      <c r="F138" s="279">
        <f>C138+D138+E138</f>
        <v>0</v>
      </c>
      <c r="G138" s="294"/>
      <c r="H138" s="243"/>
      <c r="I138" s="262">
        <f>F138+G138+H138</f>
        <v>0</v>
      </c>
      <c r="J138" s="199"/>
      <c r="K138" s="10"/>
      <c r="L138" s="64">
        <f>I138+J138+K138</f>
        <v>0</v>
      </c>
      <c r="M138" s="214"/>
      <c r="N138" s="10"/>
      <c r="O138" s="20">
        <f>L138+M138+N138</f>
        <v>0</v>
      </c>
      <c r="P138" s="75"/>
      <c r="Q138" s="76">
        <f t="shared" si="19"/>
        <v>0</v>
      </c>
    </row>
    <row r="139" spans="1:17" ht="12.75">
      <c r="A139" s="27" t="s">
        <v>88</v>
      </c>
      <c r="B139" s="92"/>
      <c r="C139" s="130">
        <f>C140+C145</f>
        <v>34232.8</v>
      </c>
      <c r="D139" s="107">
        <f aca="true" t="shared" si="40" ref="D139:Q139">D140+D145</f>
        <v>2800</v>
      </c>
      <c r="E139" s="238">
        <f t="shared" si="40"/>
        <v>0</v>
      </c>
      <c r="F139" s="275">
        <f t="shared" si="40"/>
        <v>37032.8</v>
      </c>
      <c r="G139" s="289">
        <f t="shared" si="40"/>
        <v>0</v>
      </c>
      <c r="H139" s="238">
        <f t="shared" si="40"/>
        <v>0</v>
      </c>
      <c r="I139" s="258">
        <f t="shared" si="40"/>
        <v>37032.8</v>
      </c>
      <c r="J139" s="130">
        <f t="shared" si="40"/>
        <v>0</v>
      </c>
      <c r="K139" s="107">
        <f t="shared" si="40"/>
        <v>0</v>
      </c>
      <c r="L139" s="181">
        <f t="shared" si="40"/>
        <v>37032.8</v>
      </c>
      <c r="M139" s="152">
        <f t="shared" si="40"/>
        <v>0</v>
      </c>
      <c r="N139" s="106">
        <f t="shared" si="40"/>
        <v>0</v>
      </c>
      <c r="O139" s="106">
        <f t="shared" si="40"/>
        <v>37032.8</v>
      </c>
      <c r="P139" s="106">
        <f t="shared" si="40"/>
        <v>0</v>
      </c>
      <c r="Q139" s="106">
        <f t="shared" si="40"/>
        <v>37032.8</v>
      </c>
    </row>
    <row r="140" spans="1:17" ht="12.75">
      <c r="A140" s="32" t="s">
        <v>55</v>
      </c>
      <c r="B140" s="92"/>
      <c r="C140" s="163">
        <f>SUM(C142:C144)</f>
        <v>32232.8</v>
      </c>
      <c r="D140" s="111">
        <f aca="true" t="shared" si="41" ref="D140:Q140">SUM(D142:D144)</f>
        <v>1800</v>
      </c>
      <c r="E140" s="241">
        <f t="shared" si="41"/>
        <v>0</v>
      </c>
      <c r="F140" s="277">
        <f t="shared" si="41"/>
        <v>34032.8</v>
      </c>
      <c r="G140" s="291">
        <f t="shared" si="41"/>
        <v>0</v>
      </c>
      <c r="H140" s="241">
        <f t="shared" si="41"/>
        <v>0</v>
      </c>
      <c r="I140" s="260">
        <f t="shared" si="41"/>
        <v>34032.8</v>
      </c>
      <c r="J140" s="163">
        <f t="shared" si="41"/>
        <v>0</v>
      </c>
      <c r="K140" s="111">
        <f t="shared" si="41"/>
        <v>0</v>
      </c>
      <c r="L140" s="183">
        <f t="shared" si="41"/>
        <v>34032.8</v>
      </c>
      <c r="M140" s="154">
        <f t="shared" si="41"/>
        <v>0</v>
      </c>
      <c r="N140" s="110">
        <f t="shared" si="41"/>
        <v>0</v>
      </c>
      <c r="O140" s="110">
        <f t="shared" si="41"/>
        <v>34032.8</v>
      </c>
      <c r="P140" s="110">
        <f t="shared" si="41"/>
        <v>0</v>
      </c>
      <c r="Q140" s="110">
        <f t="shared" si="41"/>
        <v>34032.8</v>
      </c>
    </row>
    <row r="141" spans="1:17" ht="12.75">
      <c r="A141" s="28" t="s">
        <v>27</v>
      </c>
      <c r="B141" s="88"/>
      <c r="C141" s="136"/>
      <c r="D141" s="104"/>
      <c r="E141" s="236"/>
      <c r="F141" s="254"/>
      <c r="G141" s="287"/>
      <c r="H141" s="235"/>
      <c r="I141" s="257"/>
      <c r="J141" s="21"/>
      <c r="K141" s="7"/>
      <c r="L141" s="61"/>
      <c r="M141" s="127"/>
      <c r="N141" s="7"/>
      <c r="O141" s="17"/>
      <c r="P141" s="72"/>
      <c r="Q141" s="70"/>
    </row>
    <row r="142" spans="1:17" ht="12.75">
      <c r="A142" s="26" t="s">
        <v>57</v>
      </c>
      <c r="B142" s="88"/>
      <c r="C142" s="136">
        <v>8232.8</v>
      </c>
      <c r="D142" s="104">
        <f>500+1300</f>
        <v>1800</v>
      </c>
      <c r="E142" s="236"/>
      <c r="F142" s="274">
        <f>C142+D142+E142</f>
        <v>10032.8</v>
      </c>
      <c r="G142" s="287"/>
      <c r="H142" s="235"/>
      <c r="I142" s="256">
        <f>F142+G142+H142</f>
        <v>10032.8</v>
      </c>
      <c r="J142" s="21"/>
      <c r="K142" s="7"/>
      <c r="L142" s="65">
        <f>I142+J142+K142</f>
        <v>10032.8</v>
      </c>
      <c r="M142" s="127"/>
      <c r="N142" s="7"/>
      <c r="O142" s="18">
        <f>L142+M142+N142</f>
        <v>10032.8</v>
      </c>
      <c r="P142" s="72"/>
      <c r="Q142" s="70">
        <f t="shared" si="19"/>
        <v>10032.8</v>
      </c>
    </row>
    <row r="143" spans="1:17" ht="12.75" hidden="1">
      <c r="A143" s="26" t="s">
        <v>87</v>
      </c>
      <c r="B143" s="88"/>
      <c r="C143" s="136"/>
      <c r="D143" s="104"/>
      <c r="E143" s="236"/>
      <c r="F143" s="274">
        <f>C143+D143+E143</f>
        <v>0</v>
      </c>
      <c r="G143" s="287"/>
      <c r="H143" s="235"/>
      <c r="I143" s="256"/>
      <c r="J143" s="21"/>
      <c r="K143" s="7"/>
      <c r="L143" s="65"/>
      <c r="M143" s="127"/>
      <c r="N143" s="7"/>
      <c r="O143" s="18">
        <f>L143+M143+N143</f>
        <v>0</v>
      </c>
      <c r="P143" s="72"/>
      <c r="Q143" s="70">
        <f t="shared" si="19"/>
        <v>0</v>
      </c>
    </row>
    <row r="144" spans="1:17" ht="12.75">
      <c r="A144" s="26" t="s">
        <v>89</v>
      </c>
      <c r="B144" s="88"/>
      <c r="C144" s="136">
        <v>24000</v>
      </c>
      <c r="D144" s="104"/>
      <c r="E144" s="236"/>
      <c r="F144" s="274">
        <f>C144+D144+E144</f>
        <v>24000</v>
      </c>
      <c r="G144" s="287"/>
      <c r="H144" s="235"/>
      <c r="I144" s="256">
        <f>F144+G144+H144</f>
        <v>24000</v>
      </c>
      <c r="J144" s="21"/>
      <c r="K144" s="7"/>
      <c r="L144" s="65">
        <f>I144+J144+K144</f>
        <v>24000</v>
      </c>
      <c r="M144" s="127"/>
      <c r="N144" s="7"/>
      <c r="O144" s="18">
        <f>L144+M144+N144</f>
        <v>24000</v>
      </c>
      <c r="P144" s="72"/>
      <c r="Q144" s="70">
        <f>O144+P144</f>
        <v>24000</v>
      </c>
    </row>
    <row r="145" spans="1:17" ht="12.75">
      <c r="A145" s="33" t="s">
        <v>60</v>
      </c>
      <c r="B145" s="92"/>
      <c r="C145" s="165">
        <f>SUM(C147:C150)</f>
        <v>2000</v>
      </c>
      <c r="D145" s="114">
        <f aca="true" t="shared" si="42" ref="D145:Q145">SUM(D147:D150)</f>
        <v>1000</v>
      </c>
      <c r="E145" s="242">
        <f t="shared" si="42"/>
        <v>0</v>
      </c>
      <c r="F145" s="278">
        <f t="shared" si="42"/>
        <v>3000</v>
      </c>
      <c r="G145" s="293">
        <f t="shared" si="42"/>
        <v>0</v>
      </c>
      <c r="H145" s="242">
        <f t="shared" si="42"/>
        <v>0</v>
      </c>
      <c r="I145" s="261">
        <f t="shared" si="42"/>
        <v>3000</v>
      </c>
      <c r="J145" s="165">
        <f t="shared" si="42"/>
        <v>0</v>
      </c>
      <c r="K145" s="114">
        <f t="shared" si="42"/>
        <v>0</v>
      </c>
      <c r="L145" s="184">
        <f t="shared" si="42"/>
        <v>3000</v>
      </c>
      <c r="M145" s="155">
        <f t="shared" si="42"/>
        <v>0</v>
      </c>
      <c r="N145" s="113">
        <f t="shared" si="42"/>
        <v>0</v>
      </c>
      <c r="O145" s="113">
        <f t="shared" si="42"/>
        <v>3000</v>
      </c>
      <c r="P145" s="113">
        <f t="shared" si="42"/>
        <v>0</v>
      </c>
      <c r="Q145" s="113">
        <f t="shared" si="42"/>
        <v>3000</v>
      </c>
    </row>
    <row r="146" spans="1:17" ht="12.75">
      <c r="A146" s="24" t="s">
        <v>27</v>
      </c>
      <c r="B146" s="88"/>
      <c r="C146" s="130"/>
      <c r="D146" s="107"/>
      <c r="E146" s="238"/>
      <c r="F146" s="275"/>
      <c r="G146" s="289"/>
      <c r="H146" s="239"/>
      <c r="I146" s="258"/>
      <c r="J146" s="198"/>
      <c r="K146" s="8"/>
      <c r="L146" s="22"/>
      <c r="M146" s="213"/>
      <c r="N146" s="8"/>
      <c r="O146" s="19"/>
      <c r="P146" s="72"/>
      <c r="Q146" s="70"/>
    </row>
    <row r="147" spans="1:17" ht="12.75" hidden="1">
      <c r="A147" s="26" t="s">
        <v>176</v>
      </c>
      <c r="B147" s="88">
        <v>98861</v>
      </c>
      <c r="C147" s="136"/>
      <c r="D147" s="104"/>
      <c r="E147" s="236"/>
      <c r="F147" s="274">
        <f>C147+D147+E147</f>
        <v>0</v>
      </c>
      <c r="G147" s="289"/>
      <c r="H147" s="239"/>
      <c r="I147" s="256"/>
      <c r="J147" s="198"/>
      <c r="K147" s="8"/>
      <c r="L147" s="65"/>
      <c r="M147" s="213"/>
      <c r="N147" s="8"/>
      <c r="O147" s="18">
        <f>L147+M147+N147</f>
        <v>0</v>
      </c>
      <c r="P147" s="72"/>
      <c r="Q147" s="70">
        <f>O147+P147</f>
        <v>0</v>
      </c>
    </row>
    <row r="148" spans="1:17" ht="12.75" hidden="1">
      <c r="A148" s="26" t="s">
        <v>246</v>
      </c>
      <c r="B148" s="88">
        <v>7938</v>
      </c>
      <c r="C148" s="136"/>
      <c r="D148" s="104"/>
      <c r="E148" s="236"/>
      <c r="F148" s="274">
        <f>C148+D148+E148</f>
        <v>0</v>
      </c>
      <c r="G148" s="289"/>
      <c r="H148" s="239"/>
      <c r="I148" s="256"/>
      <c r="J148" s="198"/>
      <c r="K148" s="8"/>
      <c r="L148" s="65"/>
      <c r="M148" s="213"/>
      <c r="N148" s="8"/>
      <c r="O148" s="18"/>
      <c r="P148" s="72"/>
      <c r="Q148" s="70"/>
    </row>
    <row r="149" spans="1:17" ht="12.75" hidden="1">
      <c r="A149" s="26" t="s">
        <v>283</v>
      </c>
      <c r="B149" s="88"/>
      <c r="C149" s="136"/>
      <c r="D149" s="104"/>
      <c r="E149" s="236"/>
      <c r="F149" s="274">
        <f>C149+D149+E149</f>
        <v>0</v>
      </c>
      <c r="G149" s="289"/>
      <c r="H149" s="239"/>
      <c r="I149" s="256"/>
      <c r="J149" s="198"/>
      <c r="K149" s="8"/>
      <c r="L149" s="65"/>
      <c r="M149" s="213"/>
      <c r="N149" s="8"/>
      <c r="O149" s="18"/>
      <c r="P149" s="72"/>
      <c r="Q149" s="70"/>
    </row>
    <row r="150" spans="1:17" ht="12.75">
      <c r="A150" s="37" t="s">
        <v>61</v>
      </c>
      <c r="B150" s="91"/>
      <c r="C150" s="164">
        <v>2000</v>
      </c>
      <c r="D150" s="112">
        <f>1000</f>
        <v>1000</v>
      </c>
      <c r="E150" s="267"/>
      <c r="F150" s="279">
        <f>C150+D150+E150</f>
        <v>3000</v>
      </c>
      <c r="G150" s="294"/>
      <c r="H150" s="243"/>
      <c r="I150" s="262">
        <f>F150+G150+H150</f>
        <v>3000</v>
      </c>
      <c r="J150" s="199"/>
      <c r="K150" s="10"/>
      <c r="L150" s="64">
        <f>I150+J150+K150</f>
        <v>3000</v>
      </c>
      <c r="M150" s="214"/>
      <c r="N150" s="10"/>
      <c r="O150" s="20">
        <f>L150+M150+N150</f>
        <v>3000</v>
      </c>
      <c r="P150" s="75"/>
      <c r="Q150" s="76">
        <f>O150+P150</f>
        <v>3000</v>
      </c>
    </row>
    <row r="151" spans="1:17" ht="12.75">
      <c r="A151" s="23" t="s">
        <v>318</v>
      </c>
      <c r="B151" s="92"/>
      <c r="C151" s="143">
        <f aca="true" t="shared" si="43" ref="C151:Q151">C152+C169</f>
        <v>3930.7</v>
      </c>
      <c r="D151" s="103">
        <f t="shared" si="43"/>
        <v>241589.71000000002</v>
      </c>
      <c r="E151" s="233">
        <f t="shared" si="43"/>
        <v>0</v>
      </c>
      <c r="F151" s="254">
        <f t="shared" si="43"/>
        <v>245520.41</v>
      </c>
      <c r="G151" s="286">
        <f t="shared" si="43"/>
        <v>14000.34</v>
      </c>
      <c r="H151" s="233">
        <f t="shared" si="43"/>
        <v>0</v>
      </c>
      <c r="I151" s="257">
        <f t="shared" si="43"/>
        <v>259520.75</v>
      </c>
      <c r="J151" s="143">
        <f t="shared" si="43"/>
        <v>0</v>
      </c>
      <c r="K151" s="103">
        <f t="shared" si="43"/>
        <v>0</v>
      </c>
      <c r="L151" s="158">
        <f t="shared" si="43"/>
        <v>34375.94</v>
      </c>
      <c r="M151" s="128">
        <f t="shared" si="43"/>
        <v>0</v>
      </c>
      <c r="N151" s="102">
        <f t="shared" si="43"/>
        <v>0</v>
      </c>
      <c r="O151" s="102">
        <f t="shared" si="43"/>
        <v>34375.94</v>
      </c>
      <c r="P151" s="102">
        <f t="shared" si="43"/>
        <v>0</v>
      </c>
      <c r="Q151" s="102">
        <f t="shared" si="43"/>
        <v>34375.94</v>
      </c>
    </row>
    <row r="152" spans="1:17" ht="12.75">
      <c r="A152" s="32" t="s">
        <v>55</v>
      </c>
      <c r="B152" s="92"/>
      <c r="C152" s="163">
        <f aca="true" t="shared" si="44" ref="C152:Q152">SUM(C154:C168)</f>
        <v>3930.7</v>
      </c>
      <c r="D152" s="111">
        <f t="shared" si="44"/>
        <v>19637.949999999997</v>
      </c>
      <c r="E152" s="241">
        <f t="shared" si="44"/>
        <v>0</v>
      </c>
      <c r="F152" s="277">
        <f t="shared" si="44"/>
        <v>23568.65</v>
      </c>
      <c r="G152" s="291">
        <f t="shared" si="44"/>
        <v>13097.460000000001</v>
      </c>
      <c r="H152" s="241">
        <f t="shared" si="44"/>
        <v>0</v>
      </c>
      <c r="I152" s="260">
        <f t="shared" si="44"/>
        <v>36666.11</v>
      </c>
      <c r="J152" s="163">
        <f t="shared" si="44"/>
        <v>0</v>
      </c>
      <c r="K152" s="111">
        <f t="shared" si="44"/>
        <v>0</v>
      </c>
      <c r="L152" s="183">
        <f t="shared" si="44"/>
        <v>4822.28</v>
      </c>
      <c r="M152" s="154">
        <f t="shared" si="44"/>
        <v>0</v>
      </c>
      <c r="N152" s="110">
        <f t="shared" si="44"/>
        <v>0</v>
      </c>
      <c r="O152" s="110">
        <f t="shared" si="44"/>
        <v>4822.28</v>
      </c>
      <c r="P152" s="110">
        <f t="shared" si="44"/>
        <v>0</v>
      </c>
      <c r="Q152" s="110">
        <f t="shared" si="44"/>
        <v>4822.28</v>
      </c>
    </row>
    <row r="153" spans="1:17" ht="12.75">
      <c r="A153" s="24" t="s">
        <v>27</v>
      </c>
      <c r="B153" s="88"/>
      <c r="C153" s="130"/>
      <c r="D153" s="107"/>
      <c r="E153" s="238"/>
      <c r="F153" s="275"/>
      <c r="G153" s="289"/>
      <c r="H153" s="239"/>
      <c r="I153" s="258"/>
      <c r="J153" s="198"/>
      <c r="K153" s="8"/>
      <c r="L153" s="22"/>
      <c r="M153" s="213"/>
      <c r="N153" s="8"/>
      <c r="O153" s="19"/>
      <c r="P153" s="72"/>
      <c r="Q153" s="70"/>
    </row>
    <row r="154" spans="1:17" ht="12.75">
      <c r="A154" s="26" t="s">
        <v>57</v>
      </c>
      <c r="B154" s="88"/>
      <c r="C154" s="136">
        <v>2330.7</v>
      </c>
      <c r="D154" s="104">
        <f>600</f>
        <v>600</v>
      </c>
      <c r="E154" s="236"/>
      <c r="F154" s="274">
        <f aca="true" t="shared" si="45" ref="F154:F168">C154+D154+E154</f>
        <v>2930.7</v>
      </c>
      <c r="G154" s="287"/>
      <c r="H154" s="235"/>
      <c r="I154" s="256">
        <f>F154+G154+H154</f>
        <v>2930.7</v>
      </c>
      <c r="J154" s="197"/>
      <c r="K154" s="7"/>
      <c r="L154" s="65">
        <f>I154+J154+K154</f>
        <v>2930.7</v>
      </c>
      <c r="M154" s="212"/>
      <c r="N154" s="7"/>
      <c r="O154" s="18">
        <f>L154+M154+N154</f>
        <v>2930.7</v>
      </c>
      <c r="P154" s="72"/>
      <c r="Q154" s="70">
        <f>O154+P154</f>
        <v>2930.7</v>
      </c>
    </row>
    <row r="155" spans="1:17" ht="12.75">
      <c r="A155" s="89" t="s">
        <v>309</v>
      </c>
      <c r="B155" s="88">
        <v>2042</v>
      </c>
      <c r="C155" s="136"/>
      <c r="D155" s="104">
        <f>1888.73</f>
        <v>1888.73</v>
      </c>
      <c r="E155" s="236"/>
      <c r="F155" s="274">
        <f t="shared" si="45"/>
        <v>1888.73</v>
      </c>
      <c r="G155" s="287">
        <f>2.85</f>
        <v>2.85</v>
      </c>
      <c r="H155" s="235"/>
      <c r="I155" s="256">
        <f>F155+G155+H155</f>
        <v>1891.58</v>
      </c>
      <c r="J155" s="21"/>
      <c r="K155" s="7"/>
      <c r="L155" s="65">
        <f>I155+J155+K155</f>
        <v>1891.58</v>
      </c>
      <c r="M155" s="127"/>
      <c r="N155" s="7"/>
      <c r="O155" s="18">
        <f>L155+M155+N155</f>
        <v>1891.58</v>
      </c>
      <c r="P155" s="72"/>
      <c r="Q155" s="70">
        <f>O155+P155</f>
        <v>1891.58</v>
      </c>
    </row>
    <row r="156" spans="1:17" ht="12.75">
      <c r="A156" s="89" t="s">
        <v>343</v>
      </c>
      <c r="B156" s="88">
        <v>2042</v>
      </c>
      <c r="C156" s="136"/>
      <c r="D156" s="104"/>
      <c r="E156" s="236"/>
      <c r="F156" s="274">
        <f t="shared" si="45"/>
        <v>0</v>
      </c>
      <c r="G156" s="287">
        <f>4287.51</f>
        <v>4287.51</v>
      </c>
      <c r="H156" s="235"/>
      <c r="I156" s="256">
        <f>F156+G156+H156</f>
        <v>4287.51</v>
      </c>
      <c r="J156" s="21"/>
      <c r="K156" s="7"/>
      <c r="L156" s="65"/>
      <c r="M156" s="127"/>
      <c r="N156" s="7"/>
      <c r="O156" s="18"/>
      <c r="P156" s="72"/>
      <c r="Q156" s="70"/>
    </row>
    <row r="157" spans="1:17" ht="12.75">
      <c r="A157" s="89" t="s">
        <v>310</v>
      </c>
      <c r="B157" s="88">
        <v>2045</v>
      </c>
      <c r="C157" s="136"/>
      <c r="D157" s="104">
        <f>1273.39</f>
        <v>1273.39</v>
      </c>
      <c r="E157" s="236"/>
      <c r="F157" s="274">
        <f t="shared" si="45"/>
        <v>1273.39</v>
      </c>
      <c r="G157" s="287"/>
      <c r="H157" s="235"/>
      <c r="I157" s="256">
        <f aca="true" t="shared" si="46" ref="I157:I168">F157+G157+H157</f>
        <v>1273.39</v>
      </c>
      <c r="J157" s="21"/>
      <c r="K157" s="7"/>
      <c r="L157" s="65"/>
      <c r="M157" s="127"/>
      <c r="N157" s="7"/>
      <c r="O157" s="18"/>
      <c r="P157" s="72"/>
      <c r="Q157" s="70"/>
    </row>
    <row r="158" spans="1:17" ht="12.75">
      <c r="A158" s="89" t="s">
        <v>335</v>
      </c>
      <c r="B158" s="88">
        <v>2045</v>
      </c>
      <c r="C158" s="136"/>
      <c r="D158" s="104"/>
      <c r="E158" s="236"/>
      <c r="F158" s="274">
        <f t="shared" si="45"/>
        <v>0</v>
      </c>
      <c r="G158" s="287">
        <f>3280.86</f>
        <v>3280.86</v>
      </c>
      <c r="H158" s="235"/>
      <c r="I158" s="256">
        <f t="shared" si="46"/>
        <v>3280.86</v>
      </c>
      <c r="J158" s="21"/>
      <c r="K158" s="7"/>
      <c r="L158" s="65"/>
      <c r="M158" s="127"/>
      <c r="N158" s="7"/>
      <c r="O158" s="18"/>
      <c r="P158" s="72"/>
      <c r="Q158" s="70"/>
    </row>
    <row r="159" spans="1:17" ht="12.75">
      <c r="A159" s="89" t="s">
        <v>311</v>
      </c>
      <c r="B159" s="88">
        <v>2016</v>
      </c>
      <c r="C159" s="136"/>
      <c r="D159" s="104">
        <f>1520.99</f>
        <v>1520.99</v>
      </c>
      <c r="E159" s="236"/>
      <c r="F159" s="274">
        <f t="shared" si="45"/>
        <v>1520.99</v>
      </c>
      <c r="G159" s="287"/>
      <c r="H159" s="235"/>
      <c r="I159" s="256">
        <f t="shared" si="46"/>
        <v>1520.99</v>
      </c>
      <c r="J159" s="21"/>
      <c r="K159" s="7"/>
      <c r="L159" s="65"/>
      <c r="M159" s="127"/>
      <c r="N159" s="7"/>
      <c r="O159" s="18"/>
      <c r="P159" s="72"/>
      <c r="Q159" s="70"/>
    </row>
    <row r="160" spans="1:17" ht="12.75">
      <c r="A160" s="89" t="s">
        <v>332</v>
      </c>
      <c r="B160" s="88">
        <v>2016</v>
      </c>
      <c r="C160" s="136"/>
      <c r="D160" s="104"/>
      <c r="E160" s="236"/>
      <c r="F160" s="274">
        <f t="shared" si="45"/>
        <v>0</v>
      </c>
      <c r="G160" s="287">
        <f>643.52</f>
        <v>643.52</v>
      </c>
      <c r="H160" s="235"/>
      <c r="I160" s="256">
        <f t="shared" si="46"/>
        <v>643.52</v>
      </c>
      <c r="J160" s="21"/>
      <c r="K160" s="7"/>
      <c r="L160" s="65"/>
      <c r="M160" s="127"/>
      <c r="N160" s="7"/>
      <c r="O160" s="18"/>
      <c r="P160" s="72"/>
      <c r="Q160" s="70"/>
    </row>
    <row r="161" spans="1:17" ht="12.75">
      <c r="A161" s="35" t="s">
        <v>333</v>
      </c>
      <c r="B161" s="88">
        <v>2067</v>
      </c>
      <c r="C161" s="136"/>
      <c r="D161" s="104"/>
      <c r="E161" s="236"/>
      <c r="F161" s="274">
        <f t="shared" si="45"/>
        <v>0</v>
      </c>
      <c r="G161" s="287">
        <f>2510.76</f>
        <v>2510.76</v>
      </c>
      <c r="H161" s="235"/>
      <c r="I161" s="256">
        <f t="shared" si="46"/>
        <v>2510.76</v>
      </c>
      <c r="J161" s="21"/>
      <c r="K161" s="7"/>
      <c r="L161" s="65"/>
      <c r="M161" s="127"/>
      <c r="N161" s="7"/>
      <c r="O161" s="18"/>
      <c r="P161" s="72"/>
      <c r="Q161" s="70"/>
    </row>
    <row r="162" spans="1:17" ht="12.75">
      <c r="A162" s="35" t="s">
        <v>331</v>
      </c>
      <c r="B162" s="88">
        <v>2057</v>
      </c>
      <c r="C162" s="136"/>
      <c r="D162" s="104">
        <f>1063.44</f>
        <v>1063.44</v>
      </c>
      <c r="E162" s="236"/>
      <c r="F162" s="274">
        <f t="shared" si="45"/>
        <v>1063.44</v>
      </c>
      <c r="G162" s="287"/>
      <c r="H162" s="235"/>
      <c r="I162" s="256">
        <f t="shared" si="46"/>
        <v>1063.44</v>
      </c>
      <c r="J162" s="21"/>
      <c r="K162" s="7"/>
      <c r="L162" s="65"/>
      <c r="M162" s="127"/>
      <c r="N162" s="7"/>
      <c r="O162" s="18"/>
      <c r="P162" s="72"/>
      <c r="Q162" s="70"/>
    </row>
    <row r="163" spans="1:17" ht="12.75">
      <c r="A163" s="35" t="s">
        <v>323</v>
      </c>
      <c r="B163" s="88">
        <v>2064</v>
      </c>
      <c r="C163" s="136"/>
      <c r="D163" s="104">
        <f>3008.56</f>
        <v>3008.56</v>
      </c>
      <c r="E163" s="236"/>
      <c r="F163" s="274">
        <f t="shared" si="45"/>
        <v>3008.56</v>
      </c>
      <c r="G163" s="287"/>
      <c r="H163" s="235"/>
      <c r="I163" s="256">
        <f t="shared" si="46"/>
        <v>3008.56</v>
      </c>
      <c r="J163" s="21"/>
      <c r="K163" s="7"/>
      <c r="L163" s="65"/>
      <c r="M163" s="127"/>
      <c r="N163" s="7"/>
      <c r="O163" s="18"/>
      <c r="P163" s="72"/>
      <c r="Q163" s="70"/>
    </row>
    <row r="164" spans="1:17" ht="12.75">
      <c r="A164" s="35" t="s">
        <v>324</v>
      </c>
      <c r="B164" s="88">
        <v>2064</v>
      </c>
      <c r="C164" s="136"/>
      <c r="D164" s="104">
        <f>3399.51</f>
        <v>3399.51</v>
      </c>
      <c r="E164" s="236"/>
      <c r="F164" s="274">
        <f t="shared" si="45"/>
        <v>3399.51</v>
      </c>
      <c r="G164" s="287"/>
      <c r="H164" s="235"/>
      <c r="I164" s="256">
        <f t="shared" si="46"/>
        <v>3399.51</v>
      </c>
      <c r="J164" s="21"/>
      <c r="K164" s="7"/>
      <c r="L164" s="65"/>
      <c r="M164" s="127"/>
      <c r="N164" s="7"/>
      <c r="O164" s="18"/>
      <c r="P164" s="72"/>
      <c r="Q164" s="70"/>
    </row>
    <row r="165" spans="1:17" ht="12.75">
      <c r="A165" s="35" t="s">
        <v>329</v>
      </c>
      <c r="B165" s="88">
        <v>2065</v>
      </c>
      <c r="C165" s="136"/>
      <c r="D165" s="104">
        <f>81.93</f>
        <v>81.93</v>
      </c>
      <c r="E165" s="236"/>
      <c r="F165" s="274">
        <f t="shared" si="45"/>
        <v>81.93</v>
      </c>
      <c r="G165" s="287"/>
      <c r="H165" s="235"/>
      <c r="I165" s="256">
        <f t="shared" si="46"/>
        <v>81.93</v>
      </c>
      <c r="J165" s="21"/>
      <c r="K165" s="7"/>
      <c r="L165" s="65"/>
      <c r="M165" s="127"/>
      <c r="N165" s="7"/>
      <c r="O165" s="18"/>
      <c r="P165" s="72"/>
      <c r="Q165" s="70"/>
    </row>
    <row r="166" spans="1:17" ht="12.75">
      <c r="A166" s="89" t="s">
        <v>344</v>
      </c>
      <c r="B166" s="88">
        <v>2065</v>
      </c>
      <c r="C166" s="136"/>
      <c r="D166" s="104"/>
      <c r="E166" s="236"/>
      <c r="F166" s="274">
        <f t="shared" si="45"/>
        <v>0</v>
      </c>
      <c r="G166" s="287">
        <f>1249.89</f>
        <v>1249.89</v>
      </c>
      <c r="H166" s="235"/>
      <c r="I166" s="256">
        <f t="shared" si="46"/>
        <v>1249.89</v>
      </c>
      <c r="J166" s="21"/>
      <c r="K166" s="7"/>
      <c r="L166" s="65"/>
      <c r="M166" s="127"/>
      <c r="N166" s="7"/>
      <c r="O166" s="18"/>
      <c r="P166" s="72"/>
      <c r="Q166" s="70"/>
    </row>
    <row r="167" spans="1:17" ht="12.75">
      <c r="A167" s="89" t="s">
        <v>312</v>
      </c>
      <c r="B167" s="88">
        <v>2058</v>
      </c>
      <c r="C167" s="136"/>
      <c r="D167" s="104">
        <f>537.4</f>
        <v>537.4</v>
      </c>
      <c r="E167" s="236"/>
      <c r="F167" s="274">
        <f t="shared" si="45"/>
        <v>537.4</v>
      </c>
      <c r="G167" s="287"/>
      <c r="H167" s="235"/>
      <c r="I167" s="256">
        <f t="shared" si="46"/>
        <v>537.4</v>
      </c>
      <c r="J167" s="21"/>
      <c r="K167" s="7"/>
      <c r="L167" s="65"/>
      <c r="M167" s="127"/>
      <c r="N167" s="7"/>
      <c r="O167" s="18"/>
      <c r="P167" s="72"/>
      <c r="Q167" s="70"/>
    </row>
    <row r="168" spans="1:17" ht="12.75">
      <c r="A168" s="26" t="s">
        <v>87</v>
      </c>
      <c r="B168" s="88"/>
      <c r="C168" s="136">
        <v>1600</v>
      </c>
      <c r="D168" s="104">
        <f>206+300+802+2236+120+1330+620+650</f>
        <v>6264</v>
      </c>
      <c r="E168" s="236"/>
      <c r="F168" s="274">
        <f t="shared" si="45"/>
        <v>7864</v>
      </c>
      <c r="G168" s="287">
        <f>0.15+120+764.85+13.17+223.9</f>
        <v>1122.07</v>
      </c>
      <c r="H168" s="235"/>
      <c r="I168" s="256">
        <f t="shared" si="46"/>
        <v>8986.07</v>
      </c>
      <c r="J168" s="21"/>
      <c r="K168" s="7"/>
      <c r="L168" s="65"/>
      <c r="M168" s="127"/>
      <c r="N168" s="7"/>
      <c r="O168" s="18"/>
      <c r="P168" s="72"/>
      <c r="Q168" s="70"/>
    </row>
    <row r="169" spans="1:17" ht="12.75">
      <c r="A169" s="33" t="s">
        <v>60</v>
      </c>
      <c r="B169" s="92"/>
      <c r="C169" s="165">
        <f>SUM(C171:C176)</f>
        <v>0</v>
      </c>
      <c r="D169" s="114">
        <f aca="true" t="shared" si="47" ref="D169:Q169">SUM(D171:D176)</f>
        <v>221951.76</v>
      </c>
      <c r="E169" s="242">
        <f t="shared" si="47"/>
        <v>0</v>
      </c>
      <c r="F169" s="278">
        <f t="shared" si="47"/>
        <v>221951.76</v>
      </c>
      <c r="G169" s="293">
        <f t="shared" si="47"/>
        <v>902.88</v>
      </c>
      <c r="H169" s="242">
        <f t="shared" si="47"/>
        <v>0</v>
      </c>
      <c r="I169" s="261">
        <f t="shared" si="47"/>
        <v>222854.64</v>
      </c>
      <c r="J169" s="165">
        <f t="shared" si="47"/>
        <v>0</v>
      </c>
      <c r="K169" s="114">
        <f t="shared" si="47"/>
        <v>0</v>
      </c>
      <c r="L169" s="184">
        <f t="shared" si="47"/>
        <v>29553.660000000003</v>
      </c>
      <c r="M169" s="155">
        <f t="shared" si="47"/>
        <v>0</v>
      </c>
      <c r="N169" s="113">
        <f t="shared" si="47"/>
        <v>0</v>
      </c>
      <c r="O169" s="113">
        <f t="shared" si="47"/>
        <v>29553.660000000003</v>
      </c>
      <c r="P169" s="113">
        <f t="shared" si="47"/>
        <v>0</v>
      </c>
      <c r="Q169" s="113">
        <f t="shared" si="47"/>
        <v>29553.660000000003</v>
      </c>
    </row>
    <row r="170" spans="1:17" ht="12.75">
      <c r="A170" s="35" t="s">
        <v>27</v>
      </c>
      <c r="B170" s="88"/>
      <c r="C170" s="136"/>
      <c r="D170" s="104"/>
      <c r="E170" s="236"/>
      <c r="F170" s="274"/>
      <c r="G170" s="287"/>
      <c r="H170" s="235"/>
      <c r="I170" s="256"/>
      <c r="J170" s="21"/>
      <c r="K170" s="7"/>
      <c r="L170" s="65"/>
      <c r="M170" s="127"/>
      <c r="N170" s="7"/>
      <c r="O170" s="18"/>
      <c r="P170" s="72"/>
      <c r="Q170" s="70"/>
    </row>
    <row r="171" spans="1:17" ht="12.75">
      <c r="A171" s="35" t="s">
        <v>330</v>
      </c>
      <c r="B171" s="88">
        <v>2057</v>
      </c>
      <c r="C171" s="136"/>
      <c r="D171" s="104">
        <f>28487.47+43.31+120</f>
        <v>28650.780000000002</v>
      </c>
      <c r="E171" s="236"/>
      <c r="F171" s="274">
        <f aca="true" t="shared" si="48" ref="F171:F176">C171+D171+E171</f>
        <v>28650.780000000002</v>
      </c>
      <c r="G171" s="287">
        <f>95.88</f>
        <v>95.88</v>
      </c>
      <c r="H171" s="235"/>
      <c r="I171" s="256">
        <f aca="true" t="shared" si="49" ref="I171:I176">F171+G171+H171</f>
        <v>28746.660000000003</v>
      </c>
      <c r="J171" s="21"/>
      <c r="K171" s="7"/>
      <c r="L171" s="65">
        <f>I171+J171+K171</f>
        <v>28746.660000000003</v>
      </c>
      <c r="M171" s="127"/>
      <c r="N171" s="7"/>
      <c r="O171" s="18">
        <f>L171+M171+N171</f>
        <v>28746.660000000003</v>
      </c>
      <c r="P171" s="72"/>
      <c r="Q171" s="70">
        <f aca="true" t="shared" si="50" ref="Q171:Q222">O171+P171</f>
        <v>28746.660000000003</v>
      </c>
    </row>
    <row r="172" spans="1:17" ht="12.75">
      <c r="A172" s="35" t="s">
        <v>323</v>
      </c>
      <c r="B172" s="88">
        <v>2064</v>
      </c>
      <c r="C172" s="136"/>
      <c r="D172" s="104">
        <f>96650.49</f>
        <v>96650.49</v>
      </c>
      <c r="E172" s="236"/>
      <c r="F172" s="274">
        <f t="shared" si="48"/>
        <v>96650.49</v>
      </c>
      <c r="G172" s="287"/>
      <c r="H172" s="235"/>
      <c r="I172" s="256">
        <f t="shared" si="49"/>
        <v>96650.49</v>
      </c>
      <c r="J172" s="21"/>
      <c r="K172" s="7"/>
      <c r="L172" s="65"/>
      <c r="M172" s="127"/>
      <c r="N172" s="7"/>
      <c r="O172" s="18"/>
      <c r="P172" s="72"/>
      <c r="Q172" s="70"/>
    </row>
    <row r="173" spans="1:17" ht="12.75">
      <c r="A173" s="35" t="s">
        <v>324</v>
      </c>
      <c r="B173" s="88">
        <v>2064</v>
      </c>
      <c r="C173" s="136"/>
      <c r="D173" s="104">
        <f>96650.49</f>
        <v>96650.49</v>
      </c>
      <c r="E173" s="236"/>
      <c r="F173" s="274">
        <f t="shared" si="48"/>
        <v>96650.49</v>
      </c>
      <c r="G173" s="287"/>
      <c r="H173" s="235"/>
      <c r="I173" s="256">
        <f t="shared" si="49"/>
        <v>96650.49</v>
      </c>
      <c r="J173" s="21"/>
      <c r="K173" s="7"/>
      <c r="L173" s="65"/>
      <c r="M173" s="127"/>
      <c r="N173" s="7"/>
      <c r="O173" s="18"/>
      <c r="P173" s="72"/>
      <c r="Q173" s="70"/>
    </row>
    <row r="174" spans="1:17" ht="12.75" hidden="1">
      <c r="A174" s="26" t="s">
        <v>75</v>
      </c>
      <c r="B174" s="88"/>
      <c r="C174" s="136"/>
      <c r="D174" s="104"/>
      <c r="E174" s="236"/>
      <c r="F174" s="274">
        <f t="shared" si="48"/>
        <v>0</v>
      </c>
      <c r="G174" s="287"/>
      <c r="H174" s="235"/>
      <c r="I174" s="256">
        <f t="shared" si="49"/>
        <v>0</v>
      </c>
      <c r="J174" s="21"/>
      <c r="K174" s="7"/>
      <c r="L174" s="65">
        <f>I174+J174+K174</f>
        <v>0</v>
      </c>
      <c r="M174" s="127"/>
      <c r="N174" s="7"/>
      <c r="O174" s="18">
        <f>L174+M174+N174</f>
        <v>0</v>
      </c>
      <c r="P174" s="72"/>
      <c r="Q174" s="70">
        <f t="shared" si="50"/>
        <v>0</v>
      </c>
    </row>
    <row r="175" spans="1:17" ht="13.5" thickBot="1">
      <c r="A175" s="207" t="s">
        <v>61</v>
      </c>
      <c r="B175" s="133"/>
      <c r="C175" s="166"/>
      <c r="D175" s="134"/>
      <c r="E175" s="268"/>
      <c r="F175" s="280">
        <f t="shared" si="48"/>
        <v>0</v>
      </c>
      <c r="G175" s="315">
        <f>500+307</f>
        <v>807</v>
      </c>
      <c r="H175" s="316"/>
      <c r="I175" s="317">
        <f t="shared" si="49"/>
        <v>807</v>
      </c>
      <c r="J175" s="21"/>
      <c r="K175" s="7"/>
      <c r="L175" s="65">
        <f>I175+J175+K175</f>
        <v>807</v>
      </c>
      <c r="M175" s="127"/>
      <c r="N175" s="7"/>
      <c r="O175" s="18">
        <f>L175+M175+N175</f>
        <v>807</v>
      </c>
      <c r="P175" s="72"/>
      <c r="Q175" s="70">
        <f t="shared" si="50"/>
        <v>807</v>
      </c>
    </row>
    <row r="176" spans="1:17" ht="12.75" hidden="1">
      <c r="A176" s="29" t="s">
        <v>87</v>
      </c>
      <c r="B176" s="91"/>
      <c r="C176" s="164"/>
      <c r="D176" s="112"/>
      <c r="E176" s="267"/>
      <c r="F176" s="279">
        <f t="shared" si="48"/>
        <v>0</v>
      </c>
      <c r="G176" s="294"/>
      <c r="H176" s="243"/>
      <c r="I176" s="262">
        <f t="shared" si="49"/>
        <v>0</v>
      </c>
      <c r="J176" s="199"/>
      <c r="K176" s="10"/>
      <c r="L176" s="64">
        <f>I176+J176+K176</f>
        <v>0</v>
      </c>
      <c r="M176" s="214"/>
      <c r="N176" s="10"/>
      <c r="O176" s="20">
        <f>L176+M176+N176</f>
        <v>0</v>
      </c>
      <c r="P176" s="75"/>
      <c r="Q176" s="76">
        <f t="shared" si="50"/>
        <v>0</v>
      </c>
    </row>
    <row r="177" spans="1:17" ht="12.75">
      <c r="A177" s="23" t="s">
        <v>92</v>
      </c>
      <c r="B177" s="92"/>
      <c r="C177" s="143">
        <f aca="true" t="shared" si="51" ref="C177:Q177">C178+C215</f>
        <v>363327.89999999997</v>
      </c>
      <c r="D177" s="103">
        <f t="shared" si="51"/>
        <v>5961285.180000001</v>
      </c>
      <c r="E177" s="233">
        <f t="shared" si="51"/>
        <v>0</v>
      </c>
      <c r="F177" s="254">
        <f t="shared" si="51"/>
        <v>6324613.080000001</v>
      </c>
      <c r="G177" s="286">
        <f t="shared" si="51"/>
        <v>104415.62</v>
      </c>
      <c r="H177" s="233">
        <f t="shared" si="51"/>
        <v>0</v>
      </c>
      <c r="I177" s="257">
        <f t="shared" si="51"/>
        <v>6429028.700000001</v>
      </c>
      <c r="J177" s="143">
        <f t="shared" si="51"/>
        <v>0</v>
      </c>
      <c r="K177" s="103">
        <f t="shared" si="51"/>
        <v>0</v>
      </c>
      <c r="L177" s="158">
        <f t="shared" si="51"/>
        <v>6392407.68</v>
      </c>
      <c r="M177" s="128">
        <f t="shared" si="51"/>
        <v>0</v>
      </c>
      <c r="N177" s="102">
        <f t="shared" si="51"/>
        <v>0</v>
      </c>
      <c r="O177" s="102">
        <f t="shared" si="51"/>
        <v>6392407.68</v>
      </c>
      <c r="P177" s="102">
        <f t="shared" si="51"/>
        <v>0</v>
      </c>
      <c r="Q177" s="102">
        <f t="shared" si="51"/>
        <v>6392407.68</v>
      </c>
    </row>
    <row r="178" spans="1:17" ht="12.75">
      <c r="A178" s="32" t="s">
        <v>55</v>
      </c>
      <c r="B178" s="92"/>
      <c r="C178" s="163">
        <f aca="true" t="shared" si="52" ref="C178:Q178">SUM(C180:C214)</f>
        <v>363327.89999999997</v>
      </c>
      <c r="D178" s="111">
        <f t="shared" si="52"/>
        <v>5946864.95</v>
      </c>
      <c r="E178" s="241">
        <f t="shared" si="52"/>
        <v>0</v>
      </c>
      <c r="F178" s="277">
        <f t="shared" si="52"/>
        <v>6310192.850000001</v>
      </c>
      <c r="G178" s="291">
        <f t="shared" si="52"/>
        <v>99148.62</v>
      </c>
      <c r="H178" s="241">
        <f t="shared" si="52"/>
        <v>0</v>
      </c>
      <c r="I178" s="260">
        <f t="shared" si="52"/>
        <v>6409341.470000001</v>
      </c>
      <c r="J178" s="163">
        <f t="shared" si="52"/>
        <v>0</v>
      </c>
      <c r="K178" s="111">
        <f t="shared" si="52"/>
        <v>0</v>
      </c>
      <c r="L178" s="183">
        <f t="shared" si="52"/>
        <v>6372793.38</v>
      </c>
      <c r="M178" s="154">
        <f t="shared" si="52"/>
        <v>0</v>
      </c>
      <c r="N178" s="110">
        <f t="shared" si="52"/>
        <v>0</v>
      </c>
      <c r="O178" s="110">
        <f t="shared" si="52"/>
        <v>6372793.38</v>
      </c>
      <c r="P178" s="110">
        <f t="shared" si="52"/>
        <v>0</v>
      </c>
      <c r="Q178" s="110">
        <f t="shared" si="52"/>
        <v>6372793.38</v>
      </c>
    </row>
    <row r="179" spans="1:17" ht="12.75">
      <c r="A179" s="24" t="s">
        <v>27</v>
      </c>
      <c r="B179" s="88"/>
      <c r="C179" s="136"/>
      <c r="D179" s="104"/>
      <c r="E179" s="236"/>
      <c r="F179" s="274"/>
      <c r="G179" s="287"/>
      <c r="H179" s="235"/>
      <c r="I179" s="256"/>
      <c r="J179" s="21"/>
      <c r="K179" s="7"/>
      <c r="L179" s="65"/>
      <c r="M179" s="127"/>
      <c r="N179" s="7"/>
      <c r="O179" s="18"/>
      <c r="P179" s="72"/>
      <c r="Q179" s="70"/>
    </row>
    <row r="180" spans="1:17" ht="12.75">
      <c r="A180" s="30" t="s">
        <v>83</v>
      </c>
      <c r="B180" s="88"/>
      <c r="C180" s="136">
        <v>334848.8</v>
      </c>
      <c r="D180" s="104">
        <f>537.8+1348.51+183.4+5587.9+2483.8+6000</f>
        <v>16141.41</v>
      </c>
      <c r="E180" s="236"/>
      <c r="F180" s="274">
        <f aca="true" t="shared" si="53" ref="F180:F214">C180+D180+E180</f>
        <v>350990.20999999996</v>
      </c>
      <c r="G180" s="287">
        <f>5136.29+6893.7</f>
        <v>12029.99</v>
      </c>
      <c r="H180" s="235"/>
      <c r="I180" s="256">
        <f>F180+G180+H180</f>
        <v>363020.19999999995</v>
      </c>
      <c r="J180" s="21"/>
      <c r="K180" s="7"/>
      <c r="L180" s="65">
        <f>I180+J180+K180</f>
        <v>363020.19999999995</v>
      </c>
      <c r="M180" s="127"/>
      <c r="N180" s="7"/>
      <c r="O180" s="18">
        <f>L180+M180+N180</f>
        <v>363020.19999999995</v>
      </c>
      <c r="P180" s="72"/>
      <c r="Q180" s="70">
        <f t="shared" si="50"/>
        <v>363020.19999999995</v>
      </c>
    </row>
    <row r="181" spans="1:17" ht="12.75">
      <c r="A181" s="30" t="s">
        <v>260</v>
      </c>
      <c r="B181" s="88"/>
      <c r="C181" s="136"/>
      <c r="D181" s="104"/>
      <c r="E181" s="236"/>
      <c r="F181" s="274"/>
      <c r="G181" s="287"/>
      <c r="H181" s="235"/>
      <c r="I181" s="256"/>
      <c r="J181" s="21"/>
      <c r="K181" s="7"/>
      <c r="L181" s="65"/>
      <c r="M181" s="127"/>
      <c r="N181" s="7"/>
      <c r="O181" s="18"/>
      <c r="P181" s="72"/>
      <c r="Q181" s="70"/>
    </row>
    <row r="182" spans="1:17" ht="12.75">
      <c r="A182" s="30" t="s">
        <v>93</v>
      </c>
      <c r="B182" s="88">
        <v>33353</v>
      </c>
      <c r="C182" s="136"/>
      <c r="D182" s="115">
        <f>1790480.88+450.59</f>
        <v>1790931.47</v>
      </c>
      <c r="E182" s="236"/>
      <c r="F182" s="274">
        <f t="shared" si="53"/>
        <v>1790931.47</v>
      </c>
      <c r="G182" s="287">
        <f>93.39-2.72+49</f>
        <v>139.67000000000002</v>
      </c>
      <c r="H182" s="235"/>
      <c r="I182" s="256">
        <f aca="true" t="shared" si="54" ref="I182:I214">F182+G182+H182</f>
        <v>1791071.14</v>
      </c>
      <c r="J182" s="21"/>
      <c r="K182" s="7"/>
      <c r="L182" s="65">
        <f aca="true" t="shared" si="55" ref="L182:L214">I182+J182+K182</f>
        <v>1791071.14</v>
      </c>
      <c r="M182" s="127"/>
      <c r="N182" s="7"/>
      <c r="O182" s="18">
        <f aca="true" t="shared" si="56" ref="O182:O214">L182+M182+N182</f>
        <v>1791071.14</v>
      </c>
      <c r="P182" s="72"/>
      <c r="Q182" s="70">
        <f t="shared" si="50"/>
        <v>1791071.14</v>
      </c>
    </row>
    <row r="183" spans="1:17" ht="12.75">
      <c r="A183" s="30" t="s">
        <v>95</v>
      </c>
      <c r="B183" s="88">
        <v>33353</v>
      </c>
      <c r="C183" s="136"/>
      <c r="D183" s="104">
        <f>4015715.59+8677.98</f>
        <v>4024393.57</v>
      </c>
      <c r="E183" s="236"/>
      <c r="F183" s="274">
        <f t="shared" si="53"/>
        <v>4024393.57</v>
      </c>
      <c r="G183" s="296">
        <f>5131.21+5662.67+2806.25</f>
        <v>13600.130000000001</v>
      </c>
      <c r="H183" s="235"/>
      <c r="I183" s="256">
        <f t="shared" si="54"/>
        <v>4037993.6999999997</v>
      </c>
      <c r="J183" s="21"/>
      <c r="K183" s="7"/>
      <c r="L183" s="65">
        <f t="shared" si="55"/>
        <v>4037993.6999999997</v>
      </c>
      <c r="M183" s="127"/>
      <c r="N183" s="7"/>
      <c r="O183" s="18">
        <f t="shared" si="56"/>
        <v>4037993.6999999997</v>
      </c>
      <c r="P183" s="72"/>
      <c r="Q183" s="70">
        <f t="shared" si="50"/>
        <v>4037993.6999999997</v>
      </c>
    </row>
    <row r="184" spans="1:17" ht="12.75">
      <c r="A184" s="30" t="s">
        <v>94</v>
      </c>
      <c r="B184" s="88">
        <v>33155</v>
      </c>
      <c r="C184" s="136"/>
      <c r="D184" s="115">
        <f>71282.48</f>
        <v>71282.48</v>
      </c>
      <c r="E184" s="236"/>
      <c r="F184" s="274">
        <f t="shared" si="53"/>
        <v>71282.48</v>
      </c>
      <c r="G184" s="287">
        <f>72228.5</f>
        <v>72228.5</v>
      </c>
      <c r="H184" s="235"/>
      <c r="I184" s="256">
        <f t="shared" si="54"/>
        <v>143510.97999999998</v>
      </c>
      <c r="J184" s="21"/>
      <c r="K184" s="7"/>
      <c r="L184" s="65">
        <f t="shared" si="55"/>
        <v>143510.97999999998</v>
      </c>
      <c r="M184" s="127"/>
      <c r="N184" s="7"/>
      <c r="O184" s="18">
        <f t="shared" si="56"/>
        <v>143510.97999999998</v>
      </c>
      <c r="P184" s="72"/>
      <c r="Q184" s="70">
        <f t="shared" si="50"/>
        <v>143510.97999999998</v>
      </c>
    </row>
    <row r="185" spans="1:17" ht="12.75" hidden="1">
      <c r="A185" s="30" t="s">
        <v>96</v>
      </c>
      <c r="B185" s="88" t="s">
        <v>243</v>
      </c>
      <c r="C185" s="136"/>
      <c r="D185" s="104"/>
      <c r="E185" s="236"/>
      <c r="F185" s="274">
        <f t="shared" si="53"/>
        <v>0</v>
      </c>
      <c r="G185" s="287"/>
      <c r="H185" s="235"/>
      <c r="I185" s="256">
        <f t="shared" si="54"/>
        <v>0</v>
      </c>
      <c r="J185" s="21"/>
      <c r="K185" s="7"/>
      <c r="L185" s="65">
        <f t="shared" si="55"/>
        <v>0</v>
      </c>
      <c r="M185" s="127"/>
      <c r="N185" s="7"/>
      <c r="O185" s="18">
        <f t="shared" si="56"/>
        <v>0</v>
      </c>
      <c r="P185" s="72"/>
      <c r="Q185" s="70">
        <f t="shared" si="50"/>
        <v>0</v>
      </c>
    </row>
    <row r="186" spans="1:17" ht="12.75" hidden="1">
      <c r="A186" s="30" t="s">
        <v>152</v>
      </c>
      <c r="B186" s="88"/>
      <c r="C186" s="136"/>
      <c r="D186" s="104"/>
      <c r="E186" s="236"/>
      <c r="F186" s="274">
        <f t="shared" si="53"/>
        <v>0</v>
      </c>
      <c r="G186" s="287"/>
      <c r="H186" s="235"/>
      <c r="I186" s="256">
        <f t="shared" si="54"/>
        <v>0</v>
      </c>
      <c r="J186" s="21"/>
      <c r="K186" s="7"/>
      <c r="L186" s="65">
        <f t="shared" si="55"/>
        <v>0</v>
      </c>
      <c r="M186" s="127"/>
      <c r="N186" s="7"/>
      <c r="O186" s="18">
        <f t="shared" si="56"/>
        <v>0</v>
      </c>
      <c r="P186" s="72"/>
      <c r="Q186" s="70">
        <f t="shared" si="50"/>
        <v>0</v>
      </c>
    </row>
    <row r="187" spans="1:17" ht="12.75">
      <c r="A187" s="30" t="s">
        <v>239</v>
      </c>
      <c r="B187" s="88">
        <v>33215</v>
      </c>
      <c r="C187" s="136"/>
      <c r="D187" s="104">
        <f>482.38</f>
        <v>482.38</v>
      </c>
      <c r="E187" s="236"/>
      <c r="F187" s="274">
        <f t="shared" si="53"/>
        <v>482.38</v>
      </c>
      <c r="G187" s="287"/>
      <c r="H187" s="235"/>
      <c r="I187" s="256">
        <f t="shared" si="54"/>
        <v>482.38</v>
      </c>
      <c r="J187" s="21"/>
      <c r="K187" s="7"/>
      <c r="L187" s="65">
        <f t="shared" si="55"/>
        <v>482.38</v>
      </c>
      <c r="M187" s="127"/>
      <c r="N187" s="7"/>
      <c r="O187" s="18">
        <f t="shared" si="56"/>
        <v>482.38</v>
      </c>
      <c r="P187" s="72"/>
      <c r="Q187" s="70">
        <f t="shared" si="50"/>
        <v>482.38</v>
      </c>
    </row>
    <row r="188" spans="1:17" ht="12.75">
      <c r="A188" s="30" t="s">
        <v>240</v>
      </c>
      <c r="B188" s="88">
        <v>33457</v>
      </c>
      <c r="C188" s="136"/>
      <c r="D188" s="104">
        <f>3261.32</f>
        <v>3261.32</v>
      </c>
      <c r="E188" s="236"/>
      <c r="F188" s="274">
        <f t="shared" si="53"/>
        <v>3261.32</v>
      </c>
      <c r="G188" s="287"/>
      <c r="H188" s="235"/>
      <c r="I188" s="256">
        <f t="shared" si="54"/>
        <v>3261.32</v>
      </c>
      <c r="J188" s="21"/>
      <c r="K188" s="7"/>
      <c r="L188" s="65">
        <f t="shared" si="55"/>
        <v>3261.32</v>
      </c>
      <c r="M188" s="127"/>
      <c r="N188" s="7"/>
      <c r="O188" s="18">
        <f t="shared" si="56"/>
        <v>3261.32</v>
      </c>
      <c r="P188" s="72"/>
      <c r="Q188" s="70">
        <f t="shared" si="50"/>
        <v>3261.32</v>
      </c>
    </row>
    <row r="189" spans="1:17" ht="12.75" hidden="1">
      <c r="A189" s="48" t="s">
        <v>220</v>
      </c>
      <c r="B189" s="88">
        <v>33052</v>
      </c>
      <c r="C189" s="136"/>
      <c r="D189" s="104"/>
      <c r="E189" s="236"/>
      <c r="F189" s="274">
        <f t="shared" si="53"/>
        <v>0</v>
      </c>
      <c r="G189" s="287"/>
      <c r="H189" s="235"/>
      <c r="I189" s="256">
        <f t="shared" si="54"/>
        <v>0</v>
      </c>
      <c r="J189" s="21"/>
      <c r="K189" s="7"/>
      <c r="L189" s="65">
        <f t="shared" si="55"/>
        <v>0</v>
      </c>
      <c r="M189" s="127"/>
      <c r="N189" s="7"/>
      <c r="O189" s="18">
        <f t="shared" si="56"/>
        <v>0</v>
      </c>
      <c r="P189" s="72"/>
      <c r="Q189" s="70">
        <f t="shared" si="50"/>
        <v>0</v>
      </c>
    </row>
    <row r="190" spans="1:17" ht="12.75">
      <c r="A190" s="48" t="s">
        <v>261</v>
      </c>
      <c r="B190" s="88">
        <v>33069</v>
      </c>
      <c r="C190" s="136"/>
      <c r="D190" s="104">
        <f>10259.23</f>
        <v>10259.23</v>
      </c>
      <c r="E190" s="236"/>
      <c r="F190" s="274">
        <f t="shared" si="53"/>
        <v>10259.23</v>
      </c>
      <c r="G190" s="287"/>
      <c r="H190" s="235"/>
      <c r="I190" s="256">
        <f t="shared" si="54"/>
        <v>10259.23</v>
      </c>
      <c r="J190" s="21"/>
      <c r="K190" s="7"/>
      <c r="L190" s="65"/>
      <c r="M190" s="127"/>
      <c r="N190" s="7"/>
      <c r="O190" s="18"/>
      <c r="P190" s="72"/>
      <c r="Q190" s="70"/>
    </row>
    <row r="191" spans="1:17" ht="12.75">
      <c r="A191" s="48" t="s">
        <v>317</v>
      </c>
      <c r="B191" s="88">
        <v>33070</v>
      </c>
      <c r="C191" s="136"/>
      <c r="D191" s="104">
        <f>2043.37</f>
        <v>2043.37</v>
      </c>
      <c r="E191" s="236"/>
      <c r="F191" s="274">
        <f t="shared" si="53"/>
        <v>2043.37</v>
      </c>
      <c r="G191" s="287"/>
      <c r="H191" s="235"/>
      <c r="I191" s="256">
        <f t="shared" si="54"/>
        <v>2043.37</v>
      </c>
      <c r="J191" s="21"/>
      <c r="K191" s="7"/>
      <c r="L191" s="65"/>
      <c r="M191" s="127"/>
      <c r="N191" s="7"/>
      <c r="O191" s="18"/>
      <c r="P191" s="72"/>
      <c r="Q191" s="70"/>
    </row>
    <row r="192" spans="1:17" ht="12.75">
      <c r="A192" s="30" t="s">
        <v>300</v>
      </c>
      <c r="B192" s="88">
        <v>33071</v>
      </c>
      <c r="C192" s="136"/>
      <c r="D192" s="104">
        <f>612.5</f>
        <v>612.5</v>
      </c>
      <c r="E192" s="236"/>
      <c r="F192" s="274">
        <f t="shared" si="53"/>
        <v>612.5</v>
      </c>
      <c r="G192" s="287"/>
      <c r="H192" s="235"/>
      <c r="I192" s="256">
        <f t="shared" si="54"/>
        <v>612.5</v>
      </c>
      <c r="J192" s="21"/>
      <c r="K192" s="7"/>
      <c r="L192" s="65">
        <f t="shared" si="55"/>
        <v>612.5</v>
      </c>
      <c r="M192" s="127"/>
      <c r="N192" s="7"/>
      <c r="O192" s="18">
        <f t="shared" si="56"/>
        <v>612.5</v>
      </c>
      <c r="P192" s="72"/>
      <c r="Q192" s="70">
        <f t="shared" si="50"/>
        <v>612.5</v>
      </c>
    </row>
    <row r="193" spans="1:17" ht="12.75" hidden="1">
      <c r="A193" s="30" t="s">
        <v>221</v>
      </c>
      <c r="B193" s="88">
        <v>33050</v>
      </c>
      <c r="C193" s="136"/>
      <c r="D193" s="104"/>
      <c r="E193" s="236"/>
      <c r="F193" s="274">
        <f t="shared" si="53"/>
        <v>0</v>
      </c>
      <c r="G193" s="287"/>
      <c r="H193" s="235"/>
      <c r="I193" s="256">
        <f t="shared" si="54"/>
        <v>0</v>
      </c>
      <c r="J193" s="21"/>
      <c r="K193" s="7"/>
      <c r="L193" s="65">
        <f t="shared" si="55"/>
        <v>0</v>
      </c>
      <c r="M193" s="127"/>
      <c r="N193" s="7"/>
      <c r="O193" s="18">
        <f t="shared" si="56"/>
        <v>0</v>
      </c>
      <c r="P193" s="72"/>
      <c r="Q193" s="70">
        <f t="shared" si="50"/>
        <v>0</v>
      </c>
    </row>
    <row r="194" spans="1:17" ht="12.75">
      <c r="A194" s="30" t="s">
        <v>337</v>
      </c>
      <c r="B194" s="88">
        <v>33435</v>
      </c>
      <c r="C194" s="136"/>
      <c r="D194" s="104"/>
      <c r="E194" s="236"/>
      <c r="F194" s="274">
        <f t="shared" si="53"/>
        <v>0</v>
      </c>
      <c r="G194" s="287">
        <f>720.53+160.14-54.14</f>
        <v>826.53</v>
      </c>
      <c r="H194" s="235"/>
      <c r="I194" s="256">
        <f t="shared" si="54"/>
        <v>826.53</v>
      </c>
      <c r="J194" s="21"/>
      <c r="K194" s="7"/>
      <c r="L194" s="65">
        <f t="shared" si="55"/>
        <v>826.53</v>
      </c>
      <c r="M194" s="127"/>
      <c r="N194" s="7"/>
      <c r="O194" s="18">
        <f t="shared" si="56"/>
        <v>826.53</v>
      </c>
      <c r="P194" s="72"/>
      <c r="Q194" s="70">
        <f t="shared" si="50"/>
        <v>826.53</v>
      </c>
    </row>
    <row r="195" spans="1:17" ht="12.75">
      <c r="A195" s="30" t="s">
        <v>247</v>
      </c>
      <c r="B195" s="88">
        <v>33049</v>
      </c>
      <c r="C195" s="136"/>
      <c r="D195" s="104">
        <f>5938</f>
        <v>5938</v>
      </c>
      <c r="E195" s="236"/>
      <c r="F195" s="274">
        <f t="shared" si="53"/>
        <v>5938</v>
      </c>
      <c r="G195" s="287"/>
      <c r="H195" s="235"/>
      <c r="I195" s="256">
        <f t="shared" si="54"/>
        <v>5938</v>
      </c>
      <c r="J195" s="21"/>
      <c r="K195" s="7"/>
      <c r="L195" s="65"/>
      <c r="M195" s="127"/>
      <c r="N195" s="7"/>
      <c r="O195" s="18"/>
      <c r="P195" s="72"/>
      <c r="Q195" s="70"/>
    </row>
    <row r="196" spans="1:17" ht="12.75" hidden="1">
      <c r="A196" s="30" t="s">
        <v>222</v>
      </c>
      <c r="B196" s="88">
        <v>33044</v>
      </c>
      <c r="C196" s="136"/>
      <c r="D196" s="104"/>
      <c r="E196" s="236"/>
      <c r="F196" s="274">
        <f t="shared" si="53"/>
        <v>0</v>
      </c>
      <c r="G196" s="287"/>
      <c r="H196" s="235"/>
      <c r="I196" s="256">
        <f t="shared" si="54"/>
        <v>0</v>
      </c>
      <c r="J196" s="21"/>
      <c r="K196" s="7"/>
      <c r="L196" s="65">
        <f t="shared" si="55"/>
        <v>0</v>
      </c>
      <c r="M196" s="127"/>
      <c r="N196" s="7"/>
      <c r="O196" s="18">
        <f t="shared" si="56"/>
        <v>0</v>
      </c>
      <c r="P196" s="72"/>
      <c r="Q196" s="70">
        <f t="shared" si="50"/>
        <v>0</v>
      </c>
    </row>
    <row r="197" spans="1:17" ht="12.75">
      <c r="A197" s="30" t="s">
        <v>336</v>
      </c>
      <c r="B197" s="88">
        <v>33024</v>
      </c>
      <c r="C197" s="136"/>
      <c r="D197" s="104"/>
      <c r="E197" s="236"/>
      <c r="F197" s="274">
        <f t="shared" si="53"/>
        <v>0</v>
      </c>
      <c r="G197" s="287">
        <f>546.71-60.39</f>
        <v>486.32000000000005</v>
      </c>
      <c r="H197" s="235"/>
      <c r="I197" s="256">
        <f t="shared" si="54"/>
        <v>486.32000000000005</v>
      </c>
      <c r="J197" s="21"/>
      <c r="K197" s="7"/>
      <c r="L197" s="65"/>
      <c r="M197" s="127"/>
      <c r="N197" s="7"/>
      <c r="O197" s="18"/>
      <c r="P197" s="72"/>
      <c r="Q197" s="70"/>
    </row>
    <row r="198" spans="1:17" ht="12.75" hidden="1">
      <c r="A198" s="48" t="s">
        <v>170</v>
      </c>
      <c r="B198" s="88">
        <v>33018</v>
      </c>
      <c r="C198" s="136"/>
      <c r="D198" s="104"/>
      <c r="E198" s="236"/>
      <c r="F198" s="274">
        <f t="shared" si="53"/>
        <v>0</v>
      </c>
      <c r="G198" s="287"/>
      <c r="H198" s="235"/>
      <c r="I198" s="256">
        <f t="shared" si="54"/>
        <v>0</v>
      </c>
      <c r="J198" s="21"/>
      <c r="K198" s="7"/>
      <c r="L198" s="65">
        <f t="shared" si="55"/>
        <v>0</v>
      </c>
      <c r="M198" s="127"/>
      <c r="N198" s="7"/>
      <c r="O198" s="18">
        <f t="shared" si="56"/>
        <v>0</v>
      </c>
      <c r="P198" s="72"/>
      <c r="Q198" s="70">
        <f t="shared" si="50"/>
        <v>0</v>
      </c>
    </row>
    <row r="199" spans="1:17" ht="12.75" hidden="1">
      <c r="A199" s="28" t="s">
        <v>171</v>
      </c>
      <c r="B199" s="88"/>
      <c r="C199" s="136"/>
      <c r="D199" s="104"/>
      <c r="E199" s="236"/>
      <c r="F199" s="274">
        <f t="shared" si="53"/>
        <v>0</v>
      </c>
      <c r="G199" s="287"/>
      <c r="H199" s="235"/>
      <c r="I199" s="256">
        <f t="shared" si="54"/>
        <v>0</v>
      </c>
      <c r="J199" s="21"/>
      <c r="K199" s="7"/>
      <c r="L199" s="65">
        <f t="shared" si="55"/>
        <v>0</v>
      </c>
      <c r="M199" s="127"/>
      <c r="N199" s="7"/>
      <c r="O199" s="18">
        <f t="shared" si="56"/>
        <v>0</v>
      </c>
      <c r="P199" s="72"/>
      <c r="Q199" s="70">
        <f t="shared" si="50"/>
        <v>0</v>
      </c>
    </row>
    <row r="200" spans="1:17" ht="12.75">
      <c r="A200" s="48" t="s">
        <v>198</v>
      </c>
      <c r="B200" s="88">
        <v>33160</v>
      </c>
      <c r="C200" s="136"/>
      <c r="D200" s="104"/>
      <c r="E200" s="236"/>
      <c r="F200" s="274">
        <f t="shared" si="53"/>
        <v>0</v>
      </c>
      <c r="G200" s="287">
        <f>271.7</f>
        <v>271.7</v>
      </c>
      <c r="H200" s="235"/>
      <c r="I200" s="256">
        <f t="shared" si="54"/>
        <v>271.7</v>
      </c>
      <c r="J200" s="21"/>
      <c r="K200" s="7"/>
      <c r="L200" s="65">
        <f t="shared" si="55"/>
        <v>271.7</v>
      </c>
      <c r="M200" s="127"/>
      <c r="N200" s="7"/>
      <c r="O200" s="18">
        <f t="shared" si="56"/>
        <v>271.7</v>
      </c>
      <c r="P200" s="72"/>
      <c r="Q200" s="70">
        <f t="shared" si="50"/>
        <v>271.7</v>
      </c>
    </row>
    <row r="201" spans="1:17" ht="12.75" hidden="1">
      <c r="A201" s="30" t="s">
        <v>158</v>
      </c>
      <c r="B201" s="88"/>
      <c r="C201" s="136"/>
      <c r="D201" s="104"/>
      <c r="E201" s="236"/>
      <c r="F201" s="274">
        <f t="shared" si="53"/>
        <v>0</v>
      </c>
      <c r="G201" s="287"/>
      <c r="H201" s="235"/>
      <c r="I201" s="256">
        <f t="shared" si="54"/>
        <v>0</v>
      </c>
      <c r="J201" s="21"/>
      <c r="K201" s="7"/>
      <c r="L201" s="65">
        <f t="shared" si="55"/>
        <v>0</v>
      </c>
      <c r="M201" s="127"/>
      <c r="N201" s="7"/>
      <c r="O201" s="18">
        <f t="shared" si="56"/>
        <v>0</v>
      </c>
      <c r="P201" s="72"/>
      <c r="Q201" s="70">
        <f t="shared" si="50"/>
        <v>0</v>
      </c>
    </row>
    <row r="202" spans="1:17" ht="12.75" hidden="1">
      <c r="A202" s="48" t="s">
        <v>147</v>
      </c>
      <c r="B202" s="88"/>
      <c r="C202" s="136"/>
      <c r="D202" s="104"/>
      <c r="E202" s="236"/>
      <c r="F202" s="274">
        <f t="shared" si="53"/>
        <v>0</v>
      </c>
      <c r="G202" s="287"/>
      <c r="H202" s="235"/>
      <c r="I202" s="256">
        <f t="shared" si="54"/>
        <v>0</v>
      </c>
      <c r="J202" s="21"/>
      <c r="K202" s="7"/>
      <c r="L202" s="65">
        <f t="shared" si="55"/>
        <v>0</v>
      </c>
      <c r="M202" s="127"/>
      <c r="N202" s="7"/>
      <c r="O202" s="18">
        <f t="shared" si="56"/>
        <v>0</v>
      </c>
      <c r="P202" s="72"/>
      <c r="Q202" s="70">
        <f t="shared" si="50"/>
        <v>0</v>
      </c>
    </row>
    <row r="203" spans="1:17" ht="12.75" hidden="1">
      <c r="A203" s="48" t="s">
        <v>157</v>
      </c>
      <c r="B203" s="88"/>
      <c r="C203" s="136"/>
      <c r="D203" s="104"/>
      <c r="E203" s="236"/>
      <c r="F203" s="274">
        <f t="shared" si="53"/>
        <v>0</v>
      </c>
      <c r="G203" s="287"/>
      <c r="H203" s="235"/>
      <c r="I203" s="256">
        <f t="shared" si="54"/>
        <v>0</v>
      </c>
      <c r="J203" s="21"/>
      <c r="K203" s="7"/>
      <c r="L203" s="65">
        <f t="shared" si="55"/>
        <v>0</v>
      </c>
      <c r="M203" s="127"/>
      <c r="N203" s="7"/>
      <c r="O203" s="18">
        <f t="shared" si="56"/>
        <v>0</v>
      </c>
      <c r="P203" s="72"/>
      <c r="Q203" s="70">
        <f t="shared" si="50"/>
        <v>0</v>
      </c>
    </row>
    <row r="204" spans="1:17" ht="12.75" hidden="1">
      <c r="A204" s="30" t="s">
        <v>97</v>
      </c>
      <c r="B204" s="88">
        <v>33025</v>
      </c>
      <c r="C204" s="136"/>
      <c r="D204" s="104"/>
      <c r="E204" s="236"/>
      <c r="F204" s="274">
        <f t="shared" si="53"/>
        <v>0</v>
      </c>
      <c r="G204" s="287"/>
      <c r="H204" s="235"/>
      <c r="I204" s="256">
        <f t="shared" si="54"/>
        <v>0</v>
      </c>
      <c r="J204" s="21"/>
      <c r="K204" s="7"/>
      <c r="L204" s="65">
        <f t="shared" si="55"/>
        <v>0</v>
      </c>
      <c r="M204" s="127"/>
      <c r="N204" s="7"/>
      <c r="O204" s="18">
        <f t="shared" si="56"/>
        <v>0</v>
      </c>
      <c r="P204" s="72"/>
      <c r="Q204" s="70">
        <f t="shared" si="50"/>
        <v>0</v>
      </c>
    </row>
    <row r="205" spans="1:17" ht="12.75">
      <c r="A205" s="30" t="s">
        <v>181</v>
      </c>
      <c r="B205" s="88">
        <v>33038</v>
      </c>
      <c r="C205" s="136"/>
      <c r="D205" s="104"/>
      <c r="E205" s="236"/>
      <c r="F205" s="274">
        <f t="shared" si="53"/>
        <v>0</v>
      </c>
      <c r="G205" s="287">
        <f>1396.04</f>
        <v>1396.04</v>
      </c>
      <c r="H205" s="235"/>
      <c r="I205" s="256">
        <f t="shared" si="54"/>
        <v>1396.04</v>
      </c>
      <c r="J205" s="21"/>
      <c r="K205" s="7"/>
      <c r="L205" s="65">
        <f t="shared" si="55"/>
        <v>1396.04</v>
      </c>
      <c r="M205" s="127"/>
      <c r="N205" s="7"/>
      <c r="O205" s="18">
        <f t="shared" si="56"/>
        <v>1396.04</v>
      </c>
      <c r="P205" s="72"/>
      <c r="Q205" s="70">
        <f t="shared" si="50"/>
        <v>1396.04</v>
      </c>
    </row>
    <row r="206" spans="1:17" ht="12.75">
      <c r="A206" s="30" t="s">
        <v>301</v>
      </c>
      <c r="B206" s="88">
        <v>33063</v>
      </c>
      <c r="C206" s="136"/>
      <c r="D206" s="104">
        <f>5782.93+206.42</f>
        <v>5989.35</v>
      </c>
      <c r="E206" s="236"/>
      <c r="F206" s="274">
        <f t="shared" si="53"/>
        <v>5989.35</v>
      </c>
      <c r="G206" s="287">
        <f>135.06+1476.68+211.52+422.23+680.95+765.24</f>
        <v>3691.6799999999994</v>
      </c>
      <c r="H206" s="235"/>
      <c r="I206" s="256">
        <f t="shared" si="54"/>
        <v>9681.029999999999</v>
      </c>
      <c r="J206" s="21"/>
      <c r="K206" s="7"/>
      <c r="L206" s="65"/>
      <c r="M206" s="127"/>
      <c r="N206" s="7"/>
      <c r="O206" s="18"/>
      <c r="P206" s="72"/>
      <c r="Q206" s="70"/>
    </row>
    <row r="207" spans="1:17" ht="12.75">
      <c r="A207" s="30" t="s">
        <v>346</v>
      </c>
      <c r="B207" s="88">
        <v>33063</v>
      </c>
      <c r="C207" s="136"/>
      <c r="D207" s="104"/>
      <c r="E207" s="236"/>
      <c r="F207" s="274">
        <f t="shared" si="53"/>
        <v>0</v>
      </c>
      <c r="G207" s="287">
        <f>1500</f>
        <v>1500</v>
      </c>
      <c r="H207" s="235"/>
      <c r="I207" s="256">
        <f t="shared" si="54"/>
        <v>1500</v>
      </c>
      <c r="J207" s="21"/>
      <c r="K207" s="7"/>
      <c r="L207" s="65"/>
      <c r="M207" s="127"/>
      <c r="N207" s="7"/>
      <c r="O207" s="18"/>
      <c r="P207" s="72"/>
      <c r="Q207" s="70"/>
    </row>
    <row r="208" spans="1:17" ht="12.75" hidden="1">
      <c r="A208" s="30" t="s">
        <v>278</v>
      </c>
      <c r="B208" s="88">
        <v>33063</v>
      </c>
      <c r="C208" s="136"/>
      <c r="D208" s="104"/>
      <c r="E208" s="236"/>
      <c r="F208" s="274">
        <f t="shared" si="53"/>
        <v>0</v>
      </c>
      <c r="G208" s="287"/>
      <c r="H208" s="235"/>
      <c r="I208" s="256">
        <f t="shared" si="54"/>
        <v>0</v>
      </c>
      <c r="J208" s="21"/>
      <c r="K208" s="7"/>
      <c r="L208" s="65">
        <f t="shared" si="55"/>
        <v>0</v>
      </c>
      <c r="M208" s="127"/>
      <c r="N208" s="7"/>
      <c r="O208" s="18">
        <f t="shared" si="56"/>
        <v>0</v>
      </c>
      <c r="P208" s="72"/>
      <c r="Q208" s="70">
        <f t="shared" si="50"/>
        <v>0</v>
      </c>
    </row>
    <row r="209" spans="1:17" ht="12.75">
      <c r="A209" s="30" t="s">
        <v>325</v>
      </c>
      <c r="B209" s="88" t="s">
        <v>326</v>
      </c>
      <c r="C209" s="136"/>
      <c r="D209" s="104">
        <f>55.91+1609.06</f>
        <v>1664.97</v>
      </c>
      <c r="E209" s="236"/>
      <c r="F209" s="274">
        <f t="shared" si="53"/>
        <v>1664.97</v>
      </c>
      <c r="G209" s="287"/>
      <c r="H209" s="235"/>
      <c r="I209" s="256">
        <f t="shared" si="54"/>
        <v>1664.97</v>
      </c>
      <c r="J209" s="21"/>
      <c r="K209" s="7"/>
      <c r="L209" s="65"/>
      <c r="M209" s="127"/>
      <c r="N209" s="7"/>
      <c r="O209" s="18"/>
      <c r="P209" s="72"/>
      <c r="Q209" s="70"/>
    </row>
    <row r="210" spans="1:17" ht="12.75">
      <c r="A210" s="30" t="s">
        <v>299</v>
      </c>
      <c r="B210" s="88">
        <v>2054</v>
      </c>
      <c r="C210" s="136"/>
      <c r="D210" s="104">
        <f>700+272.97</f>
        <v>972.97</v>
      </c>
      <c r="E210" s="236"/>
      <c r="F210" s="274">
        <f t="shared" si="53"/>
        <v>972.97</v>
      </c>
      <c r="G210" s="287">
        <f>1659.16</f>
        <v>1659.16</v>
      </c>
      <c r="H210" s="235"/>
      <c r="I210" s="256">
        <f t="shared" si="54"/>
        <v>2632.13</v>
      </c>
      <c r="J210" s="21"/>
      <c r="K210" s="7"/>
      <c r="L210" s="65"/>
      <c r="M210" s="127"/>
      <c r="N210" s="7"/>
      <c r="O210" s="18"/>
      <c r="P210" s="72"/>
      <c r="Q210" s="70"/>
    </row>
    <row r="211" spans="1:17" ht="12.75">
      <c r="A211" s="30" t="s">
        <v>334</v>
      </c>
      <c r="B211" s="88">
        <v>13305</v>
      </c>
      <c r="C211" s="136"/>
      <c r="D211" s="104"/>
      <c r="E211" s="236"/>
      <c r="F211" s="274">
        <f t="shared" si="53"/>
        <v>0</v>
      </c>
      <c r="G211" s="287">
        <f>2343.04</f>
        <v>2343.04</v>
      </c>
      <c r="H211" s="235"/>
      <c r="I211" s="256">
        <f t="shared" si="54"/>
        <v>2343.04</v>
      </c>
      <c r="J211" s="21"/>
      <c r="K211" s="7"/>
      <c r="L211" s="65"/>
      <c r="M211" s="127"/>
      <c r="N211" s="7"/>
      <c r="O211" s="18"/>
      <c r="P211" s="72"/>
      <c r="Q211" s="70"/>
    </row>
    <row r="212" spans="1:17" ht="12.75" hidden="1">
      <c r="A212" s="30" t="s">
        <v>98</v>
      </c>
      <c r="B212" s="88"/>
      <c r="C212" s="136"/>
      <c r="D212" s="104"/>
      <c r="E212" s="236"/>
      <c r="F212" s="274">
        <f t="shared" si="53"/>
        <v>0</v>
      </c>
      <c r="G212" s="287"/>
      <c r="H212" s="235"/>
      <c r="I212" s="256">
        <f t="shared" si="54"/>
        <v>0</v>
      </c>
      <c r="J212" s="21"/>
      <c r="K212" s="7"/>
      <c r="L212" s="65">
        <f t="shared" si="55"/>
        <v>0</v>
      </c>
      <c r="M212" s="127"/>
      <c r="N212" s="7"/>
      <c r="O212" s="18">
        <f t="shared" si="56"/>
        <v>0</v>
      </c>
      <c r="P212" s="72"/>
      <c r="Q212" s="70">
        <f t="shared" si="50"/>
        <v>0</v>
      </c>
    </row>
    <row r="213" spans="1:17" ht="12.75">
      <c r="A213" s="30" t="s">
        <v>86</v>
      </c>
      <c r="B213" s="205" t="s">
        <v>320</v>
      </c>
      <c r="C213" s="136">
        <v>200</v>
      </c>
      <c r="D213" s="104">
        <f>500+3340+8000+4202+140.9</f>
        <v>16182.9</v>
      </c>
      <c r="E213" s="236"/>
      <c r="F213" s="274">
        <f t="shared" si="53"/>
        <v>16382.9</v>
      </c>
      <c r="G213" s="287">
        <f>1075.48-4462</f>
        <v>-3386.52</v>
      </c>
      <c r="H213" s="235"/>
      <c r="I213" s="256">
        <f t="shared" si="54"/>
        <v>12996.38</v>
      </c>
      <c r="J213" s="21"/>
      <c r="K213" s="7"/>
      <c r="L213" s="65">
        <f t="shared" si="55"/>
        <v>12996.38</v>
      </c>
      <c r="M213" s="212"/>
      <c r="N213" s="7"/>
      <c r="O213" s="18">
        <f t="shared" si="56"/>
        <v>12996.38</v>
      </c>
      <c r="P213" s="72"/>
      <c r="Q213" s="70">
        <f t="shared" si="50"/>
        <v>12996.38</v>
      </c>
    </row>
    <row r="214" spans="1:17" ht="12.75">
      <c r="A214" s="30" t="s">
        <v>57</v>
      </c>
      <c r="B214" s="88"/>
      <c r="C214" s="136">
        <v>28279.1</v>
      </c>
      <c r="D214" s="104">
        <f>32.5+309.93+1009-14642.4+10000</f>
        <v>-3290.9699999999993</v>
      </c>
      <c r="E214" s="236"/>
      <c r="F214" s="274">
        <f t="shared" si="53"/>
        <v>24988.129999999997</v>
      </c>
      <c r="G214" s="287">
        <f>-805-4938.92-1893.7</f>
        <v>-7637.62</v>
      </c>
      <c r="H214" s="235"/>
      <c r="I214" s="256">
        <f t="shared" si="54"/>
        <v>17350.51</v>
      </c>
      <c r="J214" s="21"/>
      <c r="K214" s="7"/>
      <c r="L214" s="65">
        <f t="shared" si="55"/>
        <v>17350.51</v>
      </c>
      <c r="M214" s="212"/>
      <c r="N214" s="7"/>
      <c r="O214" s="18">
        <f t="shared" si="56"/>
        <v>17350.51</v>
      </c>
      <c r="P214" s="72"/>
      <c r="Q214" s="70">
        <f t="shared" si="50"/>
        <v>17350.51</v>
      </c>
    </row>
    <row r="215" spans="1:17" ht="12.75">
      <c r="A215" s="33" t="s">
        <v>60</v>
      </c>
      <c r="B215" s="92"/>
      <c r="C215" s="165">
        <f>SUM(C217:C222)</f>
        <v>0</v>
      </c>
      <c r="D215" s="114">
        <f aca="true" t="shared" si="57" ref="D215:Q215">SUM(D217:D222)</f>
        <v>14420.23</v>
      </c>
      <c r="E215" s="242">
        <f t="shared" si="57"/>
        <v>0</v>
      </c>
      <c r="F215" s="278">
        <f t="shared" si="57"/>
        <v>14420.23</v>
      </c>
      <c r="G215" s="293">
        <f t="shared" si="57"/>
        <v>5267</v>
      </c>
      <c r="H215" s="242">
        <f t="shared" si="57"/>
        <v>0</v>
      </c>
      <c r="I215" s="261">
        <f t="shared" si="57"/>
        <v>19687.23</v>
      </c>
      <c r="J215" s="165">
        <f t="shared" si="57"/>
        <v>0</v>
      </c>
      <c r="K215" s="114">
        <f t="shared" si="57"/>
        <v>0</v>
      </c>
      <c r="L215" s="184">
        <f t="shared" si="57"/>
        <v>19614.3</v>
      </c>
      <c r="M215" s="155">
        <f t="shared" si="57"/>
        <v>0</v>
      </c>
      <c r="N215" s="113">
        <f t="shared" si="57"/>
        <v>0</v>
      </c>
      <c r="O215" s="113">
        <f t="shared" si="57"/>
        <v>19614.3</v>
      </c>
      <c r="P215" s="113">
        <f t="shared" si="57"/>
        <v>0</v>
      </c>
      <c r="Q215" s="113">
        <f t="shared" si="57"/>
        <v>19614.3</v>
      </c>
    </row>
    <row r="216" spans="1:17" ht="12.75">
      <c r="A216" s="28" t="s">
        <v>27</v>
      </c>
      <c r="B216" s="88"/>
      <c r="C216" s="136"/>
      <c r="D216" s="104"/>
      <c r="E216" s="236"/>
      <c r="F216" s="274"/>
      <c r="G216" s="287"/>
      <c r="H216" s="235"/>
      <c r="I216" s="257"/>
      <c r="J216" s="21"/>
      <c r="K216" s="7"/>
      <c r="L216" s="61"/>
      <c r="M216" s="127"/>
      <c r="N216" s="7"/>
      <c r="O216" s="17"/>
      <c r="P216" s="72"/>
      <c r="Q216" s="70"/>
    </row>
    <row r="217" spans="1:17" ht="12.75">
      <c r="A217" s="30" t="s">
        <v>99</v>
      </c>
      <c r="B217" s="88"/>
      <c r="C217" s="136"/>
      <c r="D217" s="104">
        <f>300+387.3</f>
        <v>687.3</v>
      </c>
      <c r="E217" s="236"/>
      <c r="F217" s="274">
        <f aca="true" t="shared" si="58" ref="F217:F222">C217+D217+E217</f>
        <v>687.3</v>
      </c>
      <c r="G217" s="287">
        <f>805</f>
        <v>805</v>
      </c>
      <c r="H217" s="235"/>
      <c r="I217" s="256">
        <f aca="true" t="shared" si="59" ref="I217:I222">F217+G217+H217</f>
        <v>1492.3</v>
      </c>
      <c r="J217" s="21"/>
      <c r="K217" s="7"/>
      <c r="L217" s="65">
        <f>I217+J217+K217</f>
        <v>1492.3</v>
      </c>
      <c r="M217" s="127"/>
      <c r="N217" s="7"/>
      <c r="O217" s="18">
        <f>L217+M217+N217</f>
        <v>1492.3</v>
      </c>
      <c r="P217" s="72"/>
      <c r="Q217" s="70">
        <f t="shared" si="50"/>
        <v>1492.3</v>
      </c>
    </row>
    <row r="218" spans="1:17" ht="12.75">
      <c r="A218" s="30" t="s">
        <v>325</v>
      </c>
      <c r="B218" s="88" t="s">
        <v>327</v>
      </c>
      <c r="C218" s="136"/>
      <c r="D218" s="104">
        <f>4.05+68.88</f>
        <v>72.92999999999999</v>
      </c>
      <c r="E218" s="236"/>
      <c r="F218" s="274">
        <f t="shared" si="58"/>
        <v>72.92999999999999</v>
      </c>
      <c r="G218" s="287"/>
      <c r="H218" s="235"/>
      <c r="I218" s="256">
        <f t="shared" si="59"/>
        <v>72.92999999999999</v>
      </c>
      <c r="J218" s="21"/>
      <c r="K218" s="7"/>
      <c r="L218" s="65"/>
      <c r="M218" s="127"/>
      <c r="N218" s="7"/>
      <c r="O218" s="18"/>
      <c r="P218" s="72"/>
      <c r="Q218" s="70"/>
    </row>
    <row r="219" spans="1:17" ht="12.75" hidden="1">
      <c r="A219" s="30" t="s">
        <v>75</v>
      </c>
      <c r="B219" s="88"/>
      <c r="C219" s="136"/>
      <c r="D219" s="104"/>
      <c r="E219" s="236"/>
      <c r="F219" s="274">
        <f t="shared" si="58"/>
        <v>0</v>
      </c>
      <c r="G219" s="287"/>
      <c r="H219" s="235"/>
      <c r="I219" s="256">
        <f t="shared" si="59"/>
        <v>0</v>
      </c>
      <c r="J219" s="21"/>
      <c r="K219" s="7"/>
      <c r="L219" s="65">
        <f>I219+J219+K219</f>
        <v>0</v>
      </c>
      <c r="M219" s="127"/>
      <c r="N219" s="7"/>
      <c r="O219" s="18">
        <f>L219+M219+N219</f>
        <v>0</v>
      </c>
      <c r="P219" s="72"/>
      <c r="Q219" s="70">
        <f t="shared" si="50"/>
        <v>0</v>
      </c>
    </row>
    <row r="220" spans="1:17" ht="12.75" hidden="1">
      <c r="A220" s="30" t="s">
        <v>100</v>
      </c>
      <c r="B220" s="88"/>
      <c r="C220" s="136"/>
      <c r="D220" s="104"/>
      <c r="E220" s="236"/>
      <c r="F220" s="274">
        <f t="shared" si="58"/>
        <v>0</v>
      </c>
      <c r="G220" s="287"/>
      <c r="H220" s="235"/>
      <c r="I220" s="256">
        <f t="shared" si="59"/>
        <v>0</v>
      </c>
      <c r="J220" s="21"/>
      <c r="K220" s="7"/>
      <c r="L220" s="65">
        <f>I220+J220+K220</f>
        <v>0</v>
      </c>
      <c r="M220" s="127"/>
      <c r="N220" s="7"/>
      <c r="O220" s="18">
        <f>L220+M220+N220</f>
        <v>0</v>
      </c>
      <c r="P220" s="72"/>
      <c r="Q220" s="70">
        <f t="shared" si="50"/>
        <v>0</v>
      </c>
    </row>
    <row r="221" spans="1:17" ht="12.75" hidden="1">
      <c r="A221" s="30" t="s">
        <v>61</v>
      </c>
      <c r="B221" s="88"/>
      <c r="C221" s="136"/>
      <c r="D221" s="104"/>
      <c r="E221" s="236"/>
      <c r="F221" s="274">
        <f t="shared" si="58"/>
        <v>0</v>
      </c>
      <c r="G221" s="287"/>
      <c r="H221" s="235"/>
      <c r="I221" s="256">
        <f t="shared" si="59"/>
        <v>0</v>
      </c>
      <c r="J221" s="21"/>
      <c r="K221" s="9"/>
      <c r="L221" s="65">
        <f>I221+J221+K221</f>
        <v>0</v>
      </c>
      <c r="M221" s="127"/>
      <c r="N221" s="7"/>
      <c r="O221" s="18">
        <f>L221+M221+N221</f>
        <v>0</v>
      </c>
      <c r="P221" s="72"/>
      <c r="Q221" s="70">
        <f t="shared" si="50"/>
        <v>0</v>
      </c>
    </row>
    <row r="222" spans="1:17" ht="12.75">
      <c r="A222" s="37" t="s">
        <v>86</v>
      </c>
      <c r="B222" s="91"/>
      <c r="C222" s="164"/>
      <c r="D222" s="112">
        <f>660+13000</f>
        <v>13660</v>
      </c>
      <c r="E222" s="267"/>
      <c r="F222" s="279">
        <f t="shared" si="58"/>
        <v>13660</v>
      </c>
      <c r="G222" s="294">
        <f>4462</f>
        <v>4462</v>
      </c>
      <c r="H222" s="243"/>
      <c r="I222" s="262">
        <f t="shared" si="59"/>
        <v>18122</v>
      </c>
      <c r="J222" s="199"/>
      <c r="K222" s="60"/>
      <c r="L222" s="64">
        <f>I222+J222+K222</f>
        <v>18122</v>
      </c>
      <c r="M222" s="214"/>
      <c r="N222" s="10"/>
      <c r="O222" s="20">
        <f>L222+M222+N222</f>
        <v>18122</v>
      </c>
      <c r="P222" s="75"/>
      <c r="Q222" s="76">
        <f t="shared" si="50"/>
        <v>18122</v>
      </c>
    </row>
    <row r="223" spans="1:17" ht="12.75">
      <c r="A223" s="23" t="s">
        <v>101</v>
      </c>
      <c r="B223" s="92"/>
      <c r="C223" s="143">
        <f aca="true" t="shared" si="60" ref="C223:Q223">C224+C235</f>
        <v>416450.8</v>
      </c>
      <c r="D223" s="103">
        <f t="shared" si="60"/>
        <v>70155.5</v>
      </c>
      <c r="E223" s="233">
        <f t="shared" si="60"/>
        <v>0</v>
      </c>
      <c r="F223" s="254">
        <f t="shared" si="60"/>
        <v>486606.3</v>
      </c>
      <c r="G223" s="286">
        <f t="shared" si="60"/>
        <v>67616.26</v>
      </c>
      <c r="H223" s="233">
        <f t="shared" si="60"/>
        <v>0</v>
      </c>
      <c r="I223" s="257">
        <f t="shared" si="60"/>
        <v>554222.5599999999</v>
      </c>
      <c r="J223" s="143">
        <f t="shared" si="60"/>
        <v>0</v>
      </c>
      <c r="K223" s="103">
        <f t="shared" si="60"/>
        <v>0</v>
      </c>
      <c r="L223" s="158">
        <f t="shared" si="60"/>
        <v>506991.06</v>
      </c>
      <c r="M223" s="128">
        <f t="shared" si="60"/>
        <v>0</v>
      </c>
      <c r="N223" s="102">
        <f t="shared" si="60"/>
        <v>0</v>
      </c>
      <c r="O223" s="102">
        <f t="shared" si="60"/>
        <v>506991.06</v>
      </c>
      <c r="P223" s="102">
        <f t="shared" si="60"/>
        <v>0</v>
      </c>
      <c r="Q223" s="102">
        <f t="shared" si="60"/>
        <v>506991.06</v>
      </c>
    </row>
    <row r="224" spans="1:17" ht="12.75">
      <c r="A224" s="32" t="s">
        <v>55</v>
      </c>
      <c r="B224" s="92"/>
      <c r="C224" s="163">
        <f aca="true" t="shared" si="61" ref="C224:Q224">SUM(C226:C234)</f>
        <v>416180.8</v>
      </c>
      <c r="D224" s="111">
        <f t="shared" si="61"/>
        <v>70155.5</v>
      </c>
      <c r="E224" s="241">
        <f t="shared" si="61"/>
        <v>0</v>
      </c>
      <c r="F224" s="277">
        <f t="shared" si="61"/>
        <v>486336.3</v>
      </c>
      <c r="G224" s="291">
        <f t="shared" si="61"/>
        <v>60159.07</v>
      </c>
      <c r="H224" s="241">
        <f t="shared" si="61"/>
        <v>0</v>
      </c>
      <c r="I224" s="260">
        <f t="shared" si="61"/>
        <v>546495.37</v>
      </c>
      <c r="J224" s="163">
        <f t="shared" si="61"/>
        <v>0</v>
      </c>
      <c r="K224" s="111">
        <f t="shared" si="61"/>
        <v>0</v>
      </c>
      <c r="L224" s="183">
        <f t="shared" si="61"/>
        <v>499533.87</v>
      </c>
      <c r="M224" s="154">
        <f t="shared" si="61"/>
        <v>0</v>
      </c>
      <c r="N224" s="110">
        <f t="shared" si="61"/>
        <v>0</v>
      </c>
      <c r="O224" s="110">
        <f t="shared" si="61"/>
        <v>499533.87</v>
      </c>
      <c r="P224" s="110">
        <f t="shared" si="61"/>
        <v>0</v>
      </c>
      <c r="Q224" s="110">
        <f t="shared" si="61"/>
        <v>499533.87</v>
      </c>
    </row>
    <row r="225" spans="1:17" ht="12.75">
      <c r="A225" s="28" t="s">
        <v>27</v>
      </c>
      <c r="B225" s="88"/>
      <c r="C225" s="136"/>
      <c r="D225" s="104"/>
      <c r="E225" s="236"/>
      <c r="F225" s="254"/>
      <c r="G225" s="287"/>
      <c r="H225" s="235"/>
      <c r="I225" s="257"/>
      <c r="J225" s="21"/>
      <c r="K225" s="7"/>
      <c r="L225" s="61"/>
      <c r="M225" s="127"/>
      <c r="N225" s="7"/>
      <c r="O225" s="17"/>
      <c r="P225" s="72"/>
      <c r="Q225" s="70"/>
    </row>
    <row r="226" spans="1:17" ht="12.75">
      <c r="A226" s="25" t="s">
        <v>83</v>
      </c>
      <c r="B226" s="88"/>
      <c r="C226" s="136">
        <v>230584</v>
      </c>
      <c r="D226" s="104">
        <f>2075+135</f>
        <v>2210</v>
      </c>
      <c r="E226" s="236"/>
      <c r="F226" s="274">
        <f aca="true" t="shared" si="62" ref="F226:F234">C226+D226+E226</f>
        <v>232794</v>
      </c>
      <c r="G226" s="287"/>
      <c r="H226" s="235"/>
      <c r="I226" s="256">
        <f aca="true" t="shared" si="63" ref="I226:I234">F226+G226+H226</f>
        <v>232794</v>
      </c>
      <c r="J226" s="21"/>
      <c r="K226" s="7"/>
      <c r="L226" s="65">
        <f aca="true" t="shared" si="64" ref="L226:L234">I226+J226+K226</f>
        <v>232794</v>
      </c>
      <c r="M226" s="127"/>
      <c r="N226" s="7"/>
      <c r="O226" s="18">
        <f aca="true" t="shared" si="65" ref="O226:O234">L226+M226+N226</f>
        <v>232794</v>
      </c>
      <c r="P226" s="72"/>
      <c r="Q226" s="70">
        <f>O226+P226</f>
        <v>232794</v>
      </c>
    </row>
    <row r="227" spans="1:17" ht="12.75">
      <c r="A227" s="89" t="s">
        <v>234</v>
      </c>
      <c r="B227" s="88"/>
      <c r="C227" s="136">
        <v>29670</v>
      </c>
      <c r="D227" s="104">
        <f>16015.5+1661-2075-10-300</f>
        <v>15291.5</v>
      </c>
      <c r="E227" s="236"/>
      <c r="F227" s="274">
        <f t="shared" si="62"/>
        <v>44961.5</v>
      </c>
      <c r="G227" s="287"/>
      <c r="H227" s="235"/>
      <c r="I227" s="256">
        <f t="shared" si="63"/>
        <v>44961.5</v>
      </c>
      <c r="J227" s="21"/>
      <c r="K227" s="7"/>
      <c r="L227" s="65"/>
      <c r="M227" s="127"/>
      <c r="N227" s="7"/>
      <c r="O227" s="18"/>
      <c r="P227" s="72"/>
      <c r="Q227" s="70"/>
    </row>
    <row r="228" spans="1:17" ht="12.75">
      <c r="A228" s="30" t="s">
        <v>70</v>
      </c>
      <c r="B228" s="88"/>
      <c r="C228" s="136">
        <v>90000</v>
      </c>
      <c r="D228" s="104">
        <f>600</f>
        <v>600</v>
      </c>
      <c r="E228" s="236">
        <v>90000</v>
      </c>
      <c r="F228" s="274">
        <f t="shared" si="62"/>
        <v>180600</v>
      </c>
      <c r="G228" s="287">
        <f>56000</f>
        <v>56000</v>
      </c>
      <c r="H228" s="235"/>
      <c r="I228" s="256">
        <f t="shared" si="63"/>
        <v>236600</v>
      </c>
      <c r="J228" s="21"/>
      <c r="K228" s="7"/>
      <c r="L228" s="65">
        <f t="shared" si="64"/>
        <v>236600</v>
      </c>
      <c r="M228" s="127"/>
      <c r="N228" s="7"/>
      <c r="O228" s="18">
        <f t="shared" si="65"/>
        <v>236600</v>
      </c>
      <c r="P228" s="72"/>
      <c r="Q228" s="70">
        <f>O228+P228</f>
        <v>236600</v>
      </c>
    </row>
    <row r="229" spans="1:17" ht="12.75">
      <c r="A229" s="30" t="s">
        <v>191</v>
      </c>
      <c r="B229" s="88"/>
      <c r="C229" s="136">
        <v>40000</v>
      </c>
      <c r="D229" s="115">
        <f>50000</f>
        <v>50000</v>
      </c>
      <c r="E229" s="236">
        <v>-90000</v>
      </c>
      <c r="F229" s="274">
        <f t="shared" si="62"/>
        <v>0</v>
      </c>
      <c r="G229" s="287"/>
      <c r="H229" s="235"/>
      <c r="I229" s="256">
        <f t="shared" si="63"/>
        <v>0</v>
      </c>
      <c r="J229" s="21"/>
      <c r="K229" s="7"/>
      <c r="L229" s="65"/>
      <c r="M229" s="127"/>
      <c r="N229" s="7"/>
      <c r="O229" s="18"/>
      <c r="P229" s="72"/>
      <c r="Q229" s="70"/>
    </row>
    <row r="230" spans="1:17" ht="12.75">
      <c r="A230" s="30" t="s">
        <v>57</v>
      </c>
      <c r="B230" s="88"/>
      <c r="C230" s="138">
        <v>25926.8</v>
      </c>
      <c r="D230" s="104">
        <f>690+300+500+100+289-125+300</f>
        <v>2054</v>
      </c>
      <c r="E230" s="236"/>
      <c r="F230" s="274">
        <f t="shared" si="62"/>
        <v>27980.8</v>
      </c>
      <c r="G230" s="287">
        <f>351+1638.07</f>
        <v>1989.07</v>
      </c>
      <c r="H230" s="235"/>
      <c r="I230" s="256">
        <f t="shared" si="63"/>
        <v>29969.87</v>
      </c>
      <c r="J230" s="21"/>
      <c r="K230" s="7"/>
      <c r="L230" s="65">
        <f t="shared" si="64"/>
        <v>29969.87</v>
      </c>
      <c r="M230" s="127"/>
      <c r="N230" s="7"/>
      <c r="O230" s="18">
        <f t="shared" si="65"/>
        <v>29969.87</v>
      </c>
      <c r="P230" s="72"/>
      <c r="Q230" s="70">
        <f>O230+P230</f>
        <v>29969.87</v>
      </c>
    </row>
    <row r="231" spans="1:17" ht="12.75" hidden="1">
      <c r="A231" s="30" t="s">
        <v>87</v>
      </c>
      <c r="B231" s="88"/>
      <c r="C231" s="138"/>
      <c r="D231" s="104"/>
      <c r="E231" s="236"/>
      <c r="F231" s="274">
        <f t="shared" si="62"/>
        <v>0</v>
      </c>
      <c r="G231" s="287"/>
      <c r="H231" s="235"/>
      <c r="I231" s="256">
        <f t="shared" si="63"/>
        <v>0</v>
      </c>
      <c r="J231" s="21"/>
      <c r="K231" s="7"/>
      <c r="L231" s="65">
        <f t="shared" si="64"/>
        <v>0</v>
      </c>
      <c r="M231" s="127"/>
      <c r="N231" s="7"/>
      <c r="O231" s="18">
        <f t="shared" si="65"/>
        <v>0</v>
      </c>
      <c r="P231" s="72"/>
      <c r="Q231" s="70">
        <f>O231+P231</f>
        <v>0</v>
      </c>
    </row>
    <row r="232" spans="1:17" ht="12.75">
      <c r="A232" s="30" t="s">
        <v>342</v>
      </c>
      <c r="B232" s="88">
        <v>35018</v>
      </c>
      <c r="C232" s="138"/>
      <c r="D232" s="104"/>
      <c r="E232" s="236"/>
      <c r="F232" s="274">
        <f t="shared" si="62"/>
        <v>0</v>
      </c>
      <c r="G232" s="287">
        <f>2000</f>
        <v>2000</v>
      </c>
      <c r="H232" s="235"/>
      <c r="I232" s="256">
        <f t="shared" si="63"/>
        <v>2000</v>
      </c>
      <c r="J232" s="21"/>
      <c r="K232" s="7"/>
      <c r="L232" s="65"/>
      <c r="M232" s="127"/>
      <c r="N232" s="7"/>
      <c r="O232" s="18"/>
      <c r="P232" s="72"/>
      <c r="Q232" s="70"/>
    </row>
    <row r="233" spans="1:17" ht="12.75" hidden="1">
      <c r="A233" s="30" t="s">
        <v>153</v>
      </c>
      <c r="B233" s="88"/>
      <c r="C233" s="138"/>
      <c r="D233" s="104"/>
      <c r="E233" s="236"/>
      <c r="F233" s="274">
        <f t="shared" si="62"/>
        <v>0</v>
      </c>
      <c r="G233" s="287"/>
      <c r="H233" s="235"/>
      <c r="I233" s="256">
        <f t="shared" si="63"/>
        <v>0</v>
      </c>
      <c r="J233" s="21"/>
      <c r="K233" s="7"/>
      <c r="L233" s="65">
        <f t="shared" si="64"/>
        <v>0</v>
      </c>
      <c r="M233" s="127"/>
      <c r="N233" s="7"/>
      <c r="O233" s="18">
        <f t="shared" si="65"/>
        <v>0</v>
      </c>
      <c r="P233" s="72"/>
      <c r="Q233" s="70">
        <f>O233+P233</f>
        <v>0</v>
      </c>
    </row>
    <row r="234" spans="1:17" ht="12.75">
      <c r="A234" s="30" t="s">
        <v>102</v>
      </c>
      <c r="B234" s="88">
        <v>35063</v>
      </c>
      <c r="C234" s="136"/>
      <c r="D234" s="104"/>
      <c r="E234" s="236"/>
      <c r="F234" s="274">
        <f t="shared" si="62"/>
        <v>0</v>
      </c>
      <c r="G234" s="287">
        <f>170</f>
        <v>170</v>
      </c>
      <c r="H234" s="235"/>
      <c r="I234" s="256">
        <f t="shared" si="63"/>
        <v>170</v>
      </c>
      <c r="J234" s="21"/>
      <c r="K234" s="7"/>
      <c r="L234" s="65">
        <f t="shared" si="64"/>
        <v>170</v>
      </c>
      <c r="M234" s="127"/>
      <c r="N234" s="7"/>
      <c r="O234" s="18">
        <f t="shared" si="65"/>
        <v>170</v>
      </c>
      <c r="P234" s="72"/>
      <c r="Q234" s="70">
        <f>O234+P234</f>
        <v>170</v>
      </c>
    </row>
    <row r="235" spans="1:17" ht="12.75">
      <c r="A235" s="32" t="s">
        <v>60</v>
      </c>
      <c r="B235" s="92"/>
      <c r="C235" s="163">
        <f>SUM(C237:C241)</f>
        <v>270</v>
      </c>
      <c r="D235" s="111">
        <f aca="true" t="shared" si="66" ref="D235:Q235">SUM(D237:D241)</f>
        <v>0</v>
      </c>
      <c r="E235" s="241">
        <f t="shared" si="66"/>
        <v>0</v>
      </c>
      <c r="F235" s="277">
        <f t="shared" si="66"/>
        <v>270</v>
      </c>
      <c r="G235" s="291">
        <f t="shared" si="66"/>
        <v>7457.19</v>
      </c>
      <c r="H235" s="241">
        <f t="shared" si="66"/>
        <v>0</v>
      </c>
      <c r="I235" s="260">
        <f t="shared" si="66"/>
        <v>7727.19</v>
      </c>
      <c r="J235" s="163">
        <f t="shared" si="66"/>
        <v>0</v>
      </c>
      <c r="K235" s="111">
        <f t="shared" si="66"/>
        <v>0</v>
      </c>
      <c r="L235" s="183">
        <f t="shared" si="66"/>
        <v>7457.19</v>
      </c>
      <c r="M235" s="154">
        <f t="shared" si="66"/>
        <v>0</v>
      </c>
      <c r="N235" s="110">
        <f t="shared" si="66"/>
        <v>0</v>
      </c>
      <c r="O235" s="110">
        <f t="shared" si="66"/>
        <v>7457.19</v>
      </c>
      <c r="P235" s="110">
        <f t="shared" si="66"/>
        <v>0</v>
      </c>
      <c r="Q235" s="110">
        <f t="shared" si="66"/>
        <v>7457.19</v>
      </c>
    </row>
    <row r="236" spans="1:17" ht="12.75">
      <c r="A236" s="28" t="s">
        <v>27</v>
      </c>
      <c r="B236" s="88"/>
      <c r="C236" s="136"/>
      <c r="D236" s="104"/>
      <c r="E236" s="236"/>
      <c r="F236" s="274"/>
      <c r="G236" s="287"/>
      <c r="H236" s="235"/>
      <c r="I236" s="256"/>
      <c r="J236" s="21"/>
      <c r="K236" s="7"/>
      <c r="L236" s="65"/>
      <c r="M236" s="127"/>
      <c r="N236" s="7"/>
      <c r="O236" s="18"/>
      <c r="P236" s="72"/>
      <c r="Q236" s="70"/>
    </row>
    <row r="237" spans="1:17" ht="12.75">
      <c r="A237" s="30" t="s">
        <v>61</v>
      </c>
      <c r="B237" s="88"/>
      <c r="C237" s="136">
        <v>270</v>
      </c>
      <c r="D237" s="104"/>
      <c r="E237" s="236"/>
      <c r="F237" s="274">
        <f>C237+D237+E237</f>
        <v>270</v>
      </c>
      <c r="G237" s="287"/>
      <c r="H237" s="235"/>
      <c r="I237" s="256">
        <f>F237+G237+H237</f>
        <v>270</v>
      </c>
      <c r="J237" s="21"/>
      <c r="K237" s="7"/>
      <c r="L237" s="65"/>
      <c r="M237" s="127"/>
      <c r="N237" s="7"/>
      <c r="O237" s="18"/>
      <c r="P237" s="72"/>
      <c r="Q237" s="70"/>
    </row>
    <row r="238" spans="1:17" ht="12.75" hidden="1">
      <c r="A238" s="30" t="s">
        <v>280</v>
      </c>
      <c r="B238" s="88"/>
      <c r="C238" s="136"/>
      <c r="D238" s="104"/>
      <c r="E238" s="236"/>
      <c r="F238" s="274">
        <f>C238+D238+E238</f>
        <v>0</v>
      </c>
      <c r="G238" s="287"/>
      <c r="H238" s="235"/>
      <c r="I238" s="262">
        <f>F238+G238+H238</f>
        <v>0</v>
      </c>
      <c r="J238" s="21"/>
      <c r="K238" s="7"/>
      <c r="L238" s="65"/>
      <c r="M238" s="127"/>
      <c r="N238" s="7"/>
      <c r="O238" s="18"/>
      <c r="P238" s="72"/>
      <c r="Q238" s="70"/>
    </row>
    <row r="239" spans="1:17" ht="12.75" hidden="1">
      <c r="A239" s="30" t="s">
        <v>75</v>
      </c>
      <c r="B239" s="88"/>
      <c r="C239" s="136"/>
      <c r="D239" s="104"/>
      <c r="E239" s="236"/>
      <c r="F239" s="274">
        <f>C239+D239+E239</f>
        <v>0</v>
      </c>
      <c r="G239" s="287"/>
      <c r="H239" s="235"/>
      <c r="I239" s="256">
        <f>F239+G239+H239</f>
        <v>0</v>
      </c>
      <c r="J239" s="21"/>
      <c r="K239" s="7"/>
      <c r="L239" s="65">
        <f>I239+J239+K239</f>
        <v>0</v>
      </c>
      <c r="M239" s="127"/>
      <c r="N239" s="7"/>
      <c r="O239" s="18">
        <f>L239+M239+N239</f>
        <v>0</v>
      </c>
      <c r="P239" s="72"/>
      <c r="Q239" s="70">
        <f>O239+P239</f>
        <v>0</v>
      </c>
    </row>
    <row r="240" spans="1:17" ht="12.75" hidden="1">
      <c r="A240" s="30" t="s">
        <v>241</v>
      </c>
      <c r="B240" s="88"/>
      <c r="C240" s="136"/>
      <c r="D240" s="104"/>
      <c r="E240" s="236"/>
      <c r="F240" s="274">
        <f>C240+D240+E240</f>
        <v>0</v>
      </c>
      <c r="G240" s="287"/>
      <c r="H240" s="235"/>
      <c r="I240" s="256">
        <f>F240+G240+H240</f>
        <v>0</v>
      </c>
      <c r="J240" s="199"/>
      <c r="K240" s="10"/>
      <c r="L240" s="64">
        <f>I240+J240+K240</f>
        <v>0</v>
      </c>
      <c r="M240" s="214"/>
      <c r="N240" s="10"/>
      <c r="O240" s="20">
        <f>L240+M240+N240</f>
        <v>0</v>
      </c>
      <c r="P240" s="75"/>
      <c r="Q240" s="76">
        <f>O240+P240</f>
        <v>0</v>
      </c>
    </row>
    <row r="241" spans="1:17" ht="12.75">
      <c r="A241" s="29" t="s">
        <v>87</v>
      </c>
      <c r="B241" s="91"/>
      <c r="C241" s="164"/>
      <c r="D241" s="112"/>
      <c r="E241" s="267"/>
      <c r="F241" s="279">
        <f>C241+D241+E241</f>
        <v>0</v>
      </c>
      <c r="G241" s="294">
        <f>7457.19</f>
        <v>7457.19</v>
      </c>
      <c r="H241" s="243"/>
      <c r="I241" s="262">
        <f>F241+G241+H241</f>
        <v>7457.19</v>
      </c>
      <c r="J241" s="199"/>
      <c r="K241" s="10"/>
      <c r="L241" s="64">
        <f>I241+J241+K241</f>
        <v>7457.19</v>
      </c>
      <c r="M241" s="214"/>
      <c r="N241" s="10"/>
      <c r="O241" s="20">
        <f>L241+M241+N241</f>
        <v>7457.19</v>
      </c>
      <c r="P241" s="75"/>
      <c r="Q241" s="76">
        <f>O241+P241</f>
        <v>7457.19</v>
      </c>
    </row>
    <row r="242" spans="1:17" ht="12.75">
      <c r="A242" s="38" t="s">
        <v>103</v>
      </c>
      <c r="B242" s="93"/>
      <c r="C242" s="130">
        <f>C243+C252</f>
        <v>189018.5</v>
      </c>
      <c r="D242" s="107">
        <f aca="true" t="shared" si="67" ref="D242:Q242">D243+D252</f>
        <v>20284.020000000004</v>
      </c>
      <c r="E242" s="238">
        <f t="shared" si="67"/>
        <v>0</v>
      </c>
      <c r="F242" s="275">
        <f t="shared" si="67"/>
        <v>209302.52</v>
      </c>
      <c r="G242" s="289">
        <f t="shared" si="67"/>
        <v>4724.4</v>
      </c>
      <c r="H242" s="238">
        <f t="shared" si="67"/>
        <v>0</v>
      </c>
      <c r="I242" s="258">
        <f t="shared" si="67"/>
        <v>214026.91999999998</v>
      </c>
      <c r="J242" s="130">
        <f t="shared" si="67"/>
        <v>0</v>
      </c>
      <c r="K242" s="107">
        <f t="shared" si="67"/>
        <v>0</v>
      </c>
      <c r="L242" s="181">
        <f t="shared" si="67"/>
        <v>214026.91999999998</v>
      </c>
      <c r="M242" s="152">
        <f t="shared" si="67"/>
        <v>0</v>
      </c>
      <c r="N242" s="106">
        <f t="shared" si="67"/>
        <v>0</v>
      </c>
      <c r="O242" s="106">
        <f t="shared" si="67"/>
        <v>214026.91999999998</v>
      </c>
      <c r="P242" s="106">
        <f t="shared" si="67"/>
        <v>0</v>
      </c>
      <c r="Q242" s="106">
        <f t="shared" si="67"/>
        <v>214026.91999999998</v>
      </c>
    </row>
    <row r="243" spans="1:17" ht="12.75">
      <c r="A243" s="32" t="s">
        <v>55</v>
      </c>
      <c r="B243" s="92"/>
      <c r="C243" s="163">
        <f>SUM(C245:C251)</f>
        <v>189018.5</v>
      </c>
      <c r="D243" s="111">
        <f aca="true" t="shared" si="68" ref="D243:Q243">SUM(D245:D251)</f>
        <v>20284.020000000004</v>
      </c>
      <c r="E243" s="241">
        <f t="shared" si="68"/>
        <v>0</v>
      </c>
      <c r="F243" s="277">
        <f t="shared" si="68"/>
        <v>209302.52</v>
      </c>
      <c r="G243" s="291">
        <f t="shared" si="68"/>
        <v>964.4000000000001</v>
      </c>
      <c r="H243" s="241">
        <f t="shared" si="68"/>
        <v>0</v>
      </c>
      <c r="I243" s="260">
        <f t="shared" si="68"/>
        <v>210266.91999999998</v>
      </c>
      <c r="J243" s="163">
        <f t="shared" si="68"/>
        <v>0</v>
      </c>
      <c r="K243" s="111">
        <f t="shared" si="68"/>
        <v>0</v>
      </c>
      <c r="L243" s="183">
        <f t="shared" si="68"/>
        <v>210266.91999999998</v>
      </c>
      <c r="M243" s="154">
        <f t="shared" si="68"/>
        <v>0</v>
      </c>
      <c r="N243" s="110">
        <f t="shared" si="68"/>
        <v>0</v>
      </c>
      <c r="O243" s="110">
        <f t="shared" si="68"/>
        <v>210266.91999999998</v>
      </c>
      <c r="P243" s="110">
        <f t="shared" si="68"/>
        <v>0</v>
      </c>
      <c r="Q243" s="110">
        <f t="shared" si="68"/>
        <v>210266.91999999998</v>
      </c>
    </row>
    <row r="244" spans="1:17" ht="12.75">
      <c r="A244" s="28" t="s">
        <v>27</v>
      </c>
      <c r="B244" s="88"/>
      <c r="C244" s="136"/>
      <c r="D244" s="104"/>
      <c r="E244" s="236"/>
      <c r="F244" s="274"/>
      <c r="G244" s="287"/>
      <c r="H244" s="235"/>
      <c r="I244" s="256"/>
      <c r="J244" s="21"/>
      <c r="K244" s="7"/>
      <c r="L244" s="65"/>
      <c r="M244" s="127"/>
      <c r="N244" s="7"/>
      <c r="O244" s="18"/>
      <c r="P244" s="72"/>
      <c r="Q244" s="70"/>
    </row>
    <row r="245" spans="1:17" ht="12.75">
      <c r="A245" s="30" t="s">
        <v>83</v>
      </c>
      <c r="B245" s="88"/>
      <c r="C245" s="136">
        <v>165134.5</v>
      </c>
      <c r="D245" s="104">
        <f>40+10015.44+8360+100+474+100+360</f>
        <v>19449.440000000002</v>
      </c>
      <c r="E245" s="236"/>
      <c r="F245" s="274">
        <f aca="true" t="shared" si="69" ref="F245:F251">C245+D245+E245</f>
        <v>184583.94</v>
      </c>
      <c r="G245" s="287">
        <f>-1360+526.4+300</f>
        <v>-533.6</v>
      </c>
      <c r="H245" s="235"/>
      <c r="I245" s="256">
        <f>F245+G245+H245</f>
        <v>184050.34</v>
      </c>
      <c r="J245" s="21"/>
      <c r="K245" s="7"/>
      <c r="L245" s="65">
        <f>I245+J245+K245</f>
        <v>184050.34</v>
      </c>
      <c r="M245" s="127"/>
      <c r="N245" s="7"/>
      <c r="O245" s="18">
        <f>L245+M245+N245</f>
        <v>184050.34</v>
      </c>
      <c r="P245" s="72"/>
      <c r="Q245" s="70">
        <f aca="true" t="shared" si="70" ref="Q245:Q251">O245+P245</f>
        <v>184050.34</v>
      </c>
    </row>
    <row r="246" spans="1:17" ht="12.75">
      <c r="A246" s="30" t="s">
        <v>57</v>
      </c>
      <c r="B246" s="88"/>
      <c r="C246" s="136">
        <v>20590</v>
      </c>
      <c r="D246" s="104">
        <f>-5122+67.75-75+130+376.83-25</f>
        <v>-4647.42</v>
      </c>
      <c r="E246" s="236"/>
      <c r="F246" s="274">
        <f t="shared" si="69"/>
        <v>15942.58</v>
      </c>
      <c r="G246" s="287">
        <f>600-1110-335</f>
        <v>-845</v>
      </c>
      <c r="H246" s="235"/>
      <c r="I246" s="256">
        <f aca="true" t="shared" si="71" ref="I246:I251">F246+G246+H246</f>
        <v>15097.58</v>
      </c>
      <c r="J246" s="21"/>
      <c r="K246" s="7"/>
      <c r="L246" s="65">
        <f aca="true" t="shared" si="72" ref="L246:L251">I246+J246+K246</f>
        <v>15097.58</v>
      </c>
      <c r="M246" s="127"/>
      <c r="N246" s="7"/>
      <c r="O246" s="18">
        <f aca="true" t="shared" si="73" ref="O246:O251">L246+M246+N246</f>
        <v>15097.58</v>
      </c>
      <c r="P246" s="72"/>
      <c r="Q246" s="70">
        <f t="shared" si="70"/>
        <v>15097.58</v>
      </c>
    </row>
    <row r="247" spans="1:17" ht="12.75">
      <c r="A247" s="30" t="s">
        <v>145</v>
      </c>
      <c r="B247" s="88"/>
      <c r="C247" s="136">
        <v>3294</v>
      </c>
      <c r="D247" s="104">
        <f>25</f>
        <v>25</v>
      </c>
      <c r="E247" s="236"/>
      <c r="F247" s="274">
        <f t="shared" si="69"/>
        <v>3319</v>
      </c>
      <c r="G247" s="287"/>
      <c r="H247" s="235"/>
      <c r="I247" s="256">
        <f t="shared" si="71"/>
        <v>3319</v>
      </c>
      <c r="J247" s="21"/>
      <c r="K247" s="7"/>
      <c r="L247" s="65">
        <f t="shared" si="72"/>
        <v>3319</v>
      </c>
      <c r="M247" s="127"/>
      <c r="N247" s="7"/>
      <c r="O247" s="18">
        <f t="shared" si="73"/>
        <v>3319</v>
      </c>
      <c r="P247" s="72"/>
      <c r="Q247" s="70">
        <f t="shared" si="70"/>
        <v>3319</v>
      </c>
    </row>
    <row r="248" spans="1:17" ht="12.75">
      <c r="A248" s="30" t="s">
        <v>71</v>
      </c>
      <c r="B248" s="88"/>
      <c r="C248" s="136"/>
      <c r="D248" s="104">
        <f>5122+335</f>
        <v>5457</v>
      </c>
      <c r="E248" s="236"/>
      <c r="F248" s="274">
        <f t="shared" si="69"/>
        <v>5457</v>
      </c>
      <c r="G248" s="287">
        <f>1110+335</f>
        <v>1445</v>
      </c>
      <c r="H248" s="235"/>
      <c r="I248" s="256">
        <f t="shared" si="71"/>
        <v>6902</v>
      </c>
      <c r="J248" s="21"/>
      <c r="K248" s="7"/>
      <c r="L248" s="65">
        <f t="shared" si="72"/>
        <v>6902</v>
      </c>
      <c r="M248" s="127"/>
      <c r="N248" s="7"/>
      <c r="O248" s="18">
        <f t="shared" si="73"/>
        <v>6902</v>
      </c>
      <c r="P248" s="72"/>
      <c r="Q248" s="70">
        <f t="shared" si="70"/>
        <v>6902</v>
      </c>
    </row>
    <row r="249" spans="1:17" ht="12.75">
      <c r="A249" s="30" t="s">
        <v>104</v>
      </c>
      <c r="B249" s="88">
        <v>34070</v>
      </c>
      <c r="C249" s="136"/>
      <c r="D249" s="104"/>
      <c r="E249" s="236"/>
      <c r="F249" s="274">
        <f t="shared" si="69"/>
        <v>0</v>
      </c>
      <c r="G249" s="287">
        <f>150+340+88</f>
        <v>578</v>
      </c>
      <c r="H249" s="235"/>
      <c r="I249" s="256">
        <f t="shared" si="71"/>
        <v>578</v>
      </c>
      <c r="J249" s="21"/>
      <c r="K249" s="7"/>
      <c r="L249" s="65">
        <f t="shared" si="72"/>
        <v>578</v>
      </c>
      <c r="M249" s="127"/>
      <c r="N249" s="7"/>
      <c r="O249" s="18">
        <f t="shared" si="73"/>
        <v>578</v>
      </c>
      <c r="P249" s="72"/>
      <c r="Q249" s="70">
        <f t="shared" si="70"/>
        <v>578</v>
      </c>
    </row>
    <row r="250" spans="1:17" ht="12.75">
      <c r="A250" s="30" t="s">
        <v>105</v>
      </c>
      <c r="B250" s="88">
        <v>34053</v>
      </c>
      <c r="C250" s="136"/>
      <c r="D250" s="104"/>
      <c r="E250" s="236"/>
      <c r="F250" s="274">
        <f t="shared" si="69"/>
        <v>0</v>
      </c>
      <c r="G250" s="287">
        <f>320</f>
        <v>320</v>
      </c>
      <c r="H250" s="235"/>
      <c r="I250" s="256">
        <f t="shared" si="71"/>
        <v>320</v>
      </c>
      <c r="J250" s="21"/>
      <c r="K250" s="7"/>
      <c r="L250" s="65">
        <f t="shared" si="72"/>
        <v>320</v>
      </c>
      <c r="M250" s="127"/>
      <c r="N250" s="7"/>
      <c r="O250" s="18">
        <f t="shared" si="73"/>
        <v>320</v>
      </c>
      <c r="P250" s="72"/>
      <c r="Q250" s="70">
        <f t="shared" si="70"/>
        <v>320</v>
      </c>
    </row>
    <row r="251" spans="1:17" ht="12.75" hidden="1">
      <c r="A251" s="30" t="s">
        <v>87</v>
      </c>
      <c r="B251" s="88"/>
      <c r="C251" s="136"/>
      <c r="D251" s="104"/>
      <c r="E251" s="236"/>
      <c r="F251" s="274">
        <f t="shared" si="69"/>
        <v>0</v>
      </c>
      <c r="G251" s="287"/>
      <c r="H251" s="235"/>
      <c r="I251" s="256">
        <f t="shared" si="71"/>
        <v>0</v>
      </c>
      <c r="J251" s="21"/>
      <c r="K251" s="7"/>
      <c r="L251" s="65">
        <f t="shared" si="72"/>
        <v>0</v>
      </c>
      <c r="M251" s="127"/>
      <c r="N251" s="7"/>
      <c r="O251" s="18">
        <f t="shared" si="73"/>
        <v>0</v>
      </c>
      <c r="P251" s="72"/>
      <c r="Q251" s="70">
        <f t="shared" si="70"/>
        <v>0</v>
      </c>
    </row>
    <row r="252" spans="1:17" ht="12.75">
      <c r="A252" s="32" t="s">
        <v>60</v>
      </c>
      <c r="B252" s="92"/>
      <c r="C252" s="163">
        <f>SUM(C254:C257)</f>
        <v>0</v>
      </c>
      <c r="D252" s="111">
        <f aca="true" t="shared" si="74" ref="D252:Q252">SUM(D254:D257)</f>
        <v>0</v>
      </c>
      <c r="E252" s="241">
        <f t="shared" si="74"/>
        <v>0</v>
      </c>
      <c r="F252" s="277">
        <f t="shared" si="74"/>
        <v>0</v>
      </c>
      <c r="G252" s="291">
        <f t="shared" si="74"/>
        <v>3760</v>
      </c>
      <c r="H252" s="241">
        <f t="shared" si="74"/>
        <v>0</v>
      </c>
      <c r="I252" s="260">
        <f t="shared" si="74"/>
        <v>3760</v>
      </c>
      <c r="J252" s="163">
        <f t="shared" si="74"/>
        <v>0</v>
      </c>
      <c r="K252" s="111">
        <f t="shared" si="74"/>
        <v>0</v>
      </c>
      <c r="L252" s="183">
        <f t="shared" si="74"/>
        <v>3760</v>
      </c>
      <c r="M252" s="154">
        <f t="shared" si="74"/>
        <v>0</v>
      </c>
      <c r="N252" s="110">
        <f t="shared" si="74"/>
        <v>0</v>
      </c>
      <c r="O252" s="110">
        <f t="shared" si="74"/>
        <v>3760</v>
      </c>
      <c r="P252" s="110">
        <f t="shared" si="74"/>
        <v>0</v>
      </c>
      <c r="Q252" s="110">
        <f t="shared" si="74"/>
        <v>3760</v>
      </c>
    </row>
    <row r="253" spans="1:17" ht="12.75">
      <c r="A253" s="28" t="s">
        <v>27</v>
      </c>
      <c r="B253" s="88"/>
      <c r="C253" s="136"/>
      <c r="D253" s="104"/>
      <c r="E253" s="236"/>
      <c r="F253" s="274"/>
      <c r="G253" s="287"/>
      <c r="H253" s="235"/>
      <c r="I253" s="256"/>
      <c r="J253" s="21"/>
      <c r="K253" s="7"/>
      <c r="L253" s="65"/>
      <c r="M253" s="127"/>
      <c r="N253" s="7"/>
      <c r="O253" s="18"/>
      <c r="P253" s="72"/>
      <c r="Q253" s="70"/>
    </row>
    <row r="254" spans="1:17" ht="12.75" hidden="1">
      <c r="A254" s="30" t="s">
        <v>105</v>
      </c>
      <c r="B254" s="88">
        <v>34544</v>
      </c>
      <c r="C254" s="136"/>
      <c r="D254" s="104"/>
      <c r="E254" s="236"/>
      <c r="F254" s="274">
        <f>C254+D254+E254</f>
        <v>0</v>
      </c>
      <c r="G254" s="287"/>
      <c r="H254" s="235"/>
      <c r="I254" s="256">
        <f>F254+G254+H254</f>
        <v>0</v>
      </c>
      <c r="J254" s="21"/>
      <c r="K254" s="7"/>
      <c r="L254" s="65">
        <f>I254+J254+K254</f>
        <v>0</v>
      </c>
      <c r="M254" s="127"/>
      <c r="N254" s="7"/>
      <c r="O254" s="18">
        <f>L254+M254+N254</f>
        <v>0</v>
      </c>
      <c r="P254" s="72"/>
      <c r="Q254" s="70">
        <f>O254+P254</f>
        <v>0</v>
      </c>
    </row>
    <row r="255" spans="1:17" ht="12.75">
      <c r="A255" s="314" t="s">
        <v>99</v>
      </c>
      <c r="B255" s="91"/>
      <c r="C255" s="164"/>
      <c r="D255" s="112"/>
      <c r="E255" s="267"/>
      <c r="F255" s="279">
        <f>C255+D255+E255</f>
        <v>0</v>
      </c>
      <c r="G255" s="294">
        <f>1360+2400</f>
        <v>3760</v>
      </c>
      <c r="H255" s="243"/>
      <c r="I255" s="262">
        <f>F255+G255+H255</f>
        <v>3760</v>
      </c>
      <c r="J255" s="21"/>
      <c r="K255" s="7"/>
      <c r="L255" s="65">
        <f>I255+J255+K255</f>
        <v>3760</v>
      </c>
      <c r="M255" s="127"/>
      <c r="N255" s="7"/>
      <c r="O255" s="18">
        <f>L255+M255+N255</f>
        <v>3760</v>
      </c>
      <c r="P255" s="72"/>
      <c r="Q255" s="70">
        <f>O255+P255</f>
        <v>3760</v>
      </c>
    </row>
    <row r="256" spans="1:17" ht="12.75" hidden="1">
      <c r="A256" s="63" t="s">
        <v>61</v>
      </c>
      <c r="B256" s="88"/>
      <c r="C256" s="136"/>
      <c r="D256" s="104"/>
      <c r="E256" s="236"/>
      <c r="F256" s="274">
        <f>C256+D256+E256</f>
        <v>0</v>
      </c>
      <c r="G256" s="287"/>
      <c r="H256" s="235"/>
      <c r="I256" s="256">
        <f>F256+G256+H256</f>
        <v>0</v>
      </c>
      <c r="J256" s="21"/>
      <c r="K256" s="7"/>
      <c r="L256" s="65">
        <f>I256+J256+K256</f>
        <v>0</v>
      </c>
      <c r="M256" s="127"/>
      <c r="N256" s="7"/>
      <c r="O256" s="18">
        <f>L256+M256+N256</f>
        <v>0</v>
      </c>
      <c r="P256" s="72"/>
      <c r="Q256" s="70">
        <f>O256+P256</f>
        <v>0</v>
      </c>
    </row>
    <row r="257" spans="1:17" ht="13.5" hidden="1" thickBot="1">
      <c r="A257" s="135" t="s">
        <v>87</v>
      </c>
      <c r="B257" s="133"/>
      <c r="C257" s="166"/>
      <c r="D257" s="134"/>
      <c r="E257" s="268"/>
      <c r="F257" s="280">
        <f>C257+D257+E257</f>
        <v>0</v>
      </c>
      <c r="G257" s="294"/>
      <c r="H257" s="243"/>
      <c r="I257" s="262">
        <f>F257+G257+H257</f>
        <v>0</v>
      </c>
      <c r="J257" s="199"/>
      <c r="K257" s="10"/>
      <c r="L257" s="64">
        <f>I257+J257+K257</f>
        <v>0</v>
      </c>
      <c r="M257" s="215"/>
      <c r="N257" s="10"/>
      <c r="O257" s="20">
        <f>L257+M257+N257</f>
        <v>0</v>
      </c>
      <c r="P257" s="75"/>
      <c r="Q257" s="76">
        <f>O257+P257</f>
        <v>0</v>
      </c>
    </row>
    <row r="258" spans="1:17" ht="12.75">
      <c r="A258" s="23" t="s">
        <v>54</v>
      </c>
      <c r="B258" s="90"/>
      <c r="C258" s="143">
        <f aca="true" t="shared" si="75" ref="C258:Q258">C259+C271</f>
        <v>48902.7</v>
      </c>
      <c r="D258" s="103">
        <f t="shared" si="75"/>
        <v>11333.35</v>
      </c>
      <c r="E258" s="233">
        <f t="shared" si="75"/>
        <v>0</v>
      </c>
      <c r="F258" s="254">
        <f t="shared" si="75"/>
        <v>60236.049999999996</v>
      </c>
      <c r="G258" s="286">
        <f t="shared" si="75"/>
        <v>2000</v>
      </c>
      <c r="H258" s="233">
        <f t="shared" si="75"/>
        <v>0</v>
      </c>
      <c r="I258" s="257">
        <f t="shared" si="75"/>
        <v>62236.049999999996</v>
      </c>
      <c r="J258" s="143">
        <f t="shared" si="75"/>
        <v>0</v>
      </c>
      <c r="K258" s="103">
        <f t="shared" si="75"/>
        <v>0</v>
      </c>
      <c r="L258" s="158">
        <f t="shared" si="75"/>
        <v>50502.049999999996</v>
      </c>
      <c r="M258" s="128">
        <f t="shared" si="75"/>
        <v>0</v>
      </c>
      <c r="N258" s="102">
        <f t="shared" si="75"/>
        <v>0</v>
      </c>
      <c r="O258" s="102">
        <f t="shared" si="75"/>
        <v>50502.049999999996</v>
      </c>
      <c r="P258" s="102">
        <f t="shared" si="75"/>
        <v>0</v>
      </c>
      <c r="Q258" s="102">
        <f t="shared" si="75"/>
        <v>50502.049999999996</v>
      </c>
    </row>
    <row r="259" spans="1:17" ht="12.75">
      <c r="A259" s="32" t="s">
        <v>55</v>
      </c>
      <c r="B259" s="90"/>
      <c r="C259" s="163">
        <f aca="true" t="shared" si="76" ref="C259:Q259">SUM(C261:C270)</f>
        <v>48902.7</v>
      </c>
      <c r="D259" s="111">
        <f t="shared" si="76"/>
        <v>11333.35</v>
      </c>
      <c r="E259" s="241">
        <f t="shared" si="76"/>
        <v>0</v>
      </c>
      <c r="F259" s="277">
        <f t="shared" si="76"/>
        <v>60236.049999999996</v>
      </c>
      <c r="G259" s="291">
        <f t="shared" si="76"/>
        <v>2000</v>
      </c>
      <c r="H259" s="241">
        <f t="shared" si="76"/>
        <v>0</v>
      </c>
      <c r="I259" s="260">
        <f t="shared" si="76"/>
        <v>62236.049999999996</v>
      </c>
      <c r="J259" s="163">
        <f t="shared" si="76"/>
        <v>0</v>
      </c>
      <c r="K259" s="111">
        <f t="shared" si="76"/>
        <v>0</v>
      </c>
      <c r="L259" s="183">
        <f t="shared" si="76"/>
        <v>50502.049999999996</v>
      </c>
      <c r="M259" s="154">
        <f t="shared" si="76"/>
        <v>0</v>
      </c>
      <c r="N259" s="110">
        <f t="shared" si="76"/>
        <v>0</v>
      </c>
      <c r="O259" s="110">
        <f t="shared" si="76"/>
        <v>50502.049999999996</v>
      </c>
      <c r="P259" s="110">
        <f t="shared" si="76"/>
        <v>0</v>
      </c>
      <c r="Q259" s="110">
        <f t="shared" si="76"/>
        <v>50502.049999999996</v>
      </c>
    </row>
    <row r="260" spans="1:17" ht="12.75">
      <c r="A260" s="28" t="s">
        <v>27</v>
      </c>
      <c r="B260" s="63"/>
      <c r="C260" s="136"/>
      <c r="D260" s="104"/>
      <c r="E260" s="236"/>
      <c r="F260" s="274"/>
      <c r="G260" s="287"/>
      <c r="H260" s="235"/>
      <c r="I260" s="256"/>
      <c r="J260" s="21"/>
      <c r="K260" s="7"/>
      <c r="L260" s="65"/>
      <c r="M260" s="127"/>
      <c r="N260" s="7"/>
      <c r="O260" s="18"/>
      <c r="P260" s="72"/>
      <c r="Q260" s="70"/>
    </row>
    <row r="261" spans="1:17" ht="12.75">
      <c r="A261" s="26" t="s">
        <v>149</v>
      </c>
      <c r="B261" s="88"/>
      <c r="C261" s="136">
        <v>20297.2</v>
      </c>
      <c r="D261" s="104">
        <f>5328.94</f>
        <v>5328.94</v>
      </c>
      <c r="E261" s="236"/>
      <c r="F261" s="274">
        <f aca="true" t="shared" si="77" ref="F261:F270">C261+D261+E261</f>
        <v>25626.14</v>
      </c>
      <c r="G261" s="287"/>
      <c r="H261" s="235"/>
      <c r="I261" s="256">
        <f>F261+G261+H261</f>
        <v>25626.14</v>
      </c>
      <c r="J261" s="21"/>
      <c r="K261" s="7"/>
      <c r="L261" s="65">
        <f>I261+J261+K261</f>
        <v>25626.14</v>
      </c>
      <c r="M261" s="127"/>
      <c r="N261" s="7"/>
      <c r="O261" s="18">
        <f>L261+M261+N261</f>
        <v>25626.14</v>
      </c>
      <c r="P261" s="72"/>
      <c r="Q261" s="70">
        <f>O261+P261</f>
        <v>25626.14</v>
      </c>
    </row>
    <row r="262" spans="1:17" ht="12.75">
      <c r="A262" s="26" t="s">
        <v>56</v>
      </c>
      <c r="B262" s="88"/>
      <c r="C262" s="136">
        <v>5133</v>
      </c>
      <c r="D262" s="104">
        <f>2089.17</f>
        <v>2089.17</v>
      </c>
      <c r="E262" s="236"/>
      <c r="F262" s="274">
        <f t="shared" si="77"/>
        <v>7222.17</v>
      </c>
      <c r="G262" s="287"/>
      <c r="H262" s="235"/>
      <c r="I262" s="256">
        <f>F262+G262+H262</f>
        <v>7222.17</v>
      </c>
      <c r="J262" s="21"/>
      <c r="K262" s="7"/>
      <c r="L262" s="65">
        <f>I262+J262+K262</f>
        <v>7222.17</v>
      </c>
      <c r="M262" s="127"/>
      <c r="N262" s="7"/>
      <c r="O262" s="18">
        <f>L262+M262+N262</f>
        <v>7222.17</v>
      </c>
      <c r="P262" s="72"/>
      <c r="Q262" s="70">
        <f>O262+P262</f>
        <v>7222.17</v>
      </c>
    </row>
    <row r="263" spans="1:17" ht="13.5" thickBot="1">
      <c r="A263" s="207" t="s">
        <v>289</v>
      </c>
      <c r="B263" s="133"/>
      <c r="C263" s="166">
        <v>1450</v>
      </c>
      <c r="D263" s="134"/>
      <c r="E263" s="268"/>
      <c r="F263" s="280">
        <f t="shared" si="77"/>
        <v>1450</v>
      </c>
      <c r="G263" s="315"/>
      <c r="H263" s="316"/>
      <c r="I263" s="317">
        <f>F263+G263+H263</f>
        <v>1450</v>
      </c>
      <c r="J263" s="21"/>
      <c r="K263" s="7"/>
      <c r="L263" s="65">
        <f>I263+J263+K263</f>
        <v>1450</v>
      </c>
      <c r="M263" s="127"/>
      <c r="N263" s="7"/>
      <c r="O263" s="18">
        <f>L263+M263+N263</f>
        <v>1450</v>
      </c>
      <c r="P263" s="72"/>
      <c r="Q263" s="70">
        <f>O263+P263</f>
        <v>1450</v>
      </c>
    </row>
    <row r="264" spans="1:17" ht="12.75" hidden="1">
      <c r="A264" s="26" t="s">
        <v>168</v>
      </c>
      <c r="B264" s="88"/>
      <c r="C264" s="136"/>
      <c r="D264" s="104"/>
      <c r="E264" s="236"/>
      <c r="F264" s="274">
        <f t="shared" si="77"/>
        <v>0</v>
      </c>
      <c r="G264" s="287"/>
      <c r="H264" s="235"/>
      <c r="I264" s="256">
        <f>F264+G264+H264</f>
        <v>0</v>
      </c>
      <c r="J264" s="21"/>
      <c r="K264" s="7"/>
      <c r="L264" s="65">
        <f>I264+J264+K264</f>
        <v>0</v>
      </c>
      <c r="M264" s="127"/>
      <c r="N264" s="7"/>
      <c r="O264" s="18">
        <f>L264+M264+N264</f>
        <v>0</v>
      </c>
      <c r="P264" s="72"/>
      <c r="Q264" s="70">
        <f>O264+P264</f>
        <v>0</v>
      </c>
    </row>
    <row r="265" spans="1:17" ht="12.75">
      <c r="A265" s="26" t="s">
        <v>57</v>
      </c>
      <c r="B265" s="88"/>
      <c r="C265" s="136">
        <v>13648.5</v>
      </c>
      <c r="D265" s="104">
        <f>225.34+2500-600-70.1</f>
        <v>2055.2400000000002</v>
      </c>
      <c r="E265" s="236"/>
      <c r="F265" s="274">
        <f t="shared" si="77"/>
        <v>15703.74</v>
      </c>
      <c r="G265" s="287"/>
      <c r="H265" s="235"/>
      <c r="I265" s="256">
        <f>F265+G265+H265</f>
        <v>15703.74</v>
      </c>
      <c r="J265" s="21"/>
      <c r="K265" s="7"/>
      <c r="L265" s="65">
        <f>I265+J265+K265</f>
        <v>15703.74</v>
      </c>
      <c r="M265" s="127"/>
      <c r="N265" s="7"/>
      <c r="O265" s="18">
        <f>L265+M265+N265</f>
        <v>15703.74</v>
      </c>
      <c r="P265" s="72"/>
      <c r="Q265" s="70">
        <f>O265+P265</f>
        <v>15703.74</v>
      </c>
    </row>
    <row r="266" spans="1:17" ht="12.75" hidden="1">
      <c r="A266" s="26" t="s">
        <v>87</v>
      </c>
      <c r="B266" s="88"/>
      <c r="C266" s="136"/>
      <c r="D266" s="104"/>
      <c r="E266" s="236"/>
      <c r="F266" s="274">
        <f t="shared" si="77"/>
        <v>0</v>
      </c>
      <c r="G266" s="287"/>
      <c r="H266" s="235"/>
      <c r="I266" s="256"/>
      <c r="J266" s="21"/>
      <c r="K266" s="7"/>
      <c r="L266" s="65"/>
      <c r="M266" s="127"/>
      <c r="N266" s="7"/>
      <c r="O266" s="18"/>
      <c r="P266" s="72"/>
      <c r="Q266" s="70"/>
    </row>
    <row r="267" spans="1:17" ht="12.75">
      <c r="A267" s="26" t="s">
        <v>58</v>
      </c>
      <c r="B267" s="88"/>
      <c r="C267" s="136">
        <v>500</v>
      </c>
      <c r="D267" s="104"/>
      <c r="E267" s="236"/>
      <c r="F267" s="274">
        <f t="shared" si="77"/>
        <v>500</v>
      </c>
      <c r="G267" s="287"/>
      <c r="H267" s="235"/>
      <c r="I267" s="256">
        <f>F267+G267+H267</f>
        <v>500</v>
      </c>
      <c r="J267" s="21"/>
      <c r="K267" s="7"/>
      <c r="L267" s="65">
        <f>I267+J267+K267</f>
        <v>500</v>
      </c>
      <c r="M267" s="127"/>
      <c r="N267" s="7"/>
      <c r="O267" s="18">
        <f>L267+M267+N267</f>
        <v>500</v>
      </c>
      <c r="P267" s="72"/>
      <c r="Q267" s="70">
        <f>O267+P267</f>
        <v>500</v>
      </c>
    </row>
    <row r="268" spans="1:17" ht="12.75">
      <c r="A268" s="26" t="s">
        <v>290</v>
      </c>
      <c r="B268" s="88"/>
      <c r="C268" s="136">
        <v>7274</v>
      </c>
      <c r="D268" s="104">
        <f>1900-40</f>
        <v>1860</v>
      </c>
      <c r="E268" s="236">
        <v>-2694</v>
      </c>
      <c r="F268" s="274">
        <f t="shared" si="77"/>
        <v>6440</v>
      </c>
      <c r="G268" s="287">
        <f>2000</f>
        <v>2000</v>
      </c>
      <c r="H268" s="235"/>
      <c r="I268" s="256">
        <f>F268+G268+H268</f>
        <v>8440</v>
      </c>
      <c r="J268" s="21"/>
      <c r="K268" s="7"/>
      <c r="L268" s="65"/>
      <c r="M268" s="127"/>
      <c r="N268" s="7"/>
      <c r="O268" s="18"/>
      <c r="P268" s="72"/>
      <c r="Q268" s="70"/>
    </row>
    <row r="269" spans="1:17" ht="12.75">
      <c r="A269" s="29" t="s">
        <v>291</v>
      </c>
      <c r="B269" s="91"/>
      <c r="C269" s="164">
        <v>600</v>
      </c>
      <c r="D269" s="112"/>
      <c r="E269" s="267">
        <v>2694</v>
      </c>
      <c r="F269" s="279">
        <f t="shared" si="77"/>
        <v>3294</v>
      </c>
      <c r="G269" s="294"/>
      <c r="H269" s="243"/>
      <c r="I269" s="262">
        <f>F269+G269+H269</f>
        <v>3294</v>
      </c>
      <c r="J269" s="21"/>
      <c r="K269" s="7"/>
      <c r="L269" s="65"/>
      <c r="M269" s="127"/>
      <c r="N269" s="7"/>
      <c r="O269" s="18"/>
      <c r="P269" s="72"/>
      <c r="Q269" s="70"/>
    </row>
    <row r="270" spans="1:17" ht="12.75" hidden="1">
      <c r="A270" s="26" t="s">
        <v>59</v>
      </c>
      <c r="B270" s="88"/>
      <c r="C270" s="136"/>
      <c r="D270" s="104"/>
      <c r="E270" s="236"/>
      <c r="F270" s="274">
        <f t="shared" si="77"/>
        <v>0</v>
      </c>
      <c r="G270" s="287"/>
      <c r="H270" s="235"/>
      <c r="I270" s="256">
        <f>F270+G270+H270</f>
        <v>0</v>
      </c>
      <c r="J270" s="21"/>
      <c r="K270" s="7"/>
      <c r="L270" s="65">
        <f>I270+J270+K270</f>
        <v>0</v>
      </c>
      <c r="M270" s="127"/>
      <c r="N270" s="7"/>
      <c r="O270" s="18">
        <f>L270+M270+N270</f>
        <v>0</v>
      </c>
      <c r="P270" s="72"/>
      <c r="Q270" s="70">
        <f>O270+P270</f>
        <v>0</v>
      </c>
    </row>
    <row r="271" spans="1:17" ht="12.75" hidden="1">
      <c r="A271" s="33" t="s">
        <v>60</v>
      </c>
      <c r="B271" s="92"/>
      <c r="C271" s="165">
        <f aca="true" t="shared" si="78" ref="C271:Q271">SUM(C273:C275)</f>
        <v>0</v>
      </c>
      <c r="D271" s="114">
        <f t="shared" si="78"/>
        <v>0</v>
      </c>
      <c r="E271" s="242">
        <f t="shared" si="78"/>
        <v>0</v>
      </c>
      <c r="F271" s="278">
        <f t="shared" si="78"/>
        <v>0</v>
      </c>
      <c r="G271" s="293">
        <f t="shared" si="78"/>
        <v>0</v>
      </c>
      <c r="H271" s="242">
        <f t="shared" si="78"/>
        <v>0</v>
      </c>
      <c r="I271" s="261">
        <f t="shared" si="78"/>
        <v>0</v>
      </c>
      <c r="J271" s="165">
        <f t="shared" si="78"/>
        <v>0</v>
      </c>
      <c r="K271" s="114">
        <f t="shared" si="78"/>
        <v>0</v>
      </c>
      <c r="L271" s="184">
        <f t="shared" si="78"/>
        <v>0</v>
      </c>
      <c r="M271" s="155">
        <f t="shared" si="78"/>
        <v>0</v>
      </c>
      <c r="N271" s="113">
        <f t="shared" si="78"/>
        <v>0</v>
      </c>
      <c r="O271" s="113">
        <f t="shared" si="78"/>
        <v>0</v>
      </c>
      <c r="P271" s="113">
        <f t="shared" si="78"/>
        <v>0</v>
      </c>
      <c r="Q271" s="113">
        <f t="shared" si="78"/>
        <v>0</v>
      </c>
    </row>
    <row r="272" spans="1:17" ht="12.75" hidden="1">
      <c r="A272" s="24" t="s">
        <v>27</v>
      </c>
      <c r="B272" s="88"/>
      <c r="C272" s="130"/>
      <c r="D272" s="107"/>
      <c r="E272" s="238"/>
      <c r="F272" s="275"/>
      <c r="G272" s="289"/>
      <c r="H272" s="239"/>
      <c r="I272" s="258"/>
      <c r="J272" s="198"/>
      <c r="K272" s="8"/>
      <c r="L272" s="22"/>
      <c r="M272" s="213"/>
      <c r="N272" s="8"/>
      <c r="O272" s="19"/>
      <c r="P272" s="72"/>
      <c r="Q272" s="70"/>
    </row>
    <row r="273" spans="1:17" ht="12.75" hidden="1">
      <c r="A273" s="26" t="s">
        <v>169</v>
      </c>
      <c r="B273" s="88"/>
      <c r="C273" s="136"/>
      <c r="D273" s="104"/>
      <c r="E273" s="236"/>
      <c r="F273" s="274">
        <f>C273+D273+E273</f>
        <v>0</v>
      </c>
      <c r="G273" s="287"/>
      <c r="H273" s="235"/>
      <c r="I273" s="256">
        <f>F273+G273+H273</f>
        <v>0</v>
      </c>
      <c r="J273" s="21"/>
      <c r="K273" s="7"/>
      <c r="L273" s="65">
        <f>I273+J273+K273</f>
        <v>0</v>
      </c>
      <c r="M273" s="127"/>
      <c r="N273" s="7"/>
      <c r="O273" s="18">
        <f>L273+M273+N273</f>
        <v>0</v>
      </c>
      <c r="P273" s="72"/>
      <c r="Q273" s="70">
        <f>O273+P273</f>
        <v>0</v>
      </c>
    </row>
    <row r="274" spans="1:17" ht="12.75" hidden="1">
      <c r="A274" s="26" t="s">
        <v>59</v>
      </c>
      <c r="B274" s="88"/>
      <c r="C274" s="136"/>
      <c r="D274" s="104"/>
      <c r="E274" s="236"/>
      <c r="F274" s="274">
        <f>C274+D274+E274</f>
        <v>0</v>
      </c>
      <c r="G274" s="294"/>
      <c r="H274" s="243"/>
      <c r="I274" s="262">
        <f>F274+G274+H274</f>
        <v>0</v>
      </c>
      <c r="J274" s="199"/>
      <c r="K274" s="10"/>
      <c r="L274" s="64">
        <f>I274+J274+K274</f>
        <v>0</v>
      </c>
      <c r="M274" s="214"/>
      <c r="N274" s="10"/>
      <c r="O274" s="20">
        <f>L274+M274+N274</f>
        <v>0</v>
      </c>
      <c r="P274" s="75"/>
      <c r="Q274" s="76">
        <f>O274+P274</f>
        <v>0</v>
      </c>
    </row>
    <row r="275" spans="1:17" ht="12.75" hidden="1">
      <c r="A275" s="29" t="s">
        <v>61</v>
      </c>
      <c r="B275" s="91"/>
      <c r="C275" s="164"/>
      <c r="D275" s="112"/>
      <c r="E275" s="267"/>
      <c r="F275" s="279">
        <f>C275+D275+E275</f>
        <v>0</v>
      </c>
      <c r="G275" s="294"/>
      <c r="H275" s="243"/>
      <c r="I275" s="262">
        <f>F275+G275+H275</f>
        <v>0</v>
      </c>
      <c r="J275" s="199"/>
      <c r="K275" s="10"/>
      <c r="L275" s="64">
        <f>I275+J275+K275</f>
        <v>0</v>
      </c>
      <c r="M275" s="214"/>
      <c r="N275" s="10"/>
      <c r="O275" s="20">
        <f>L275+M275+N275</f>
        <v>0</v>
      </c>
      <c r="P275" s="72"/>
      <c r="Q275" s="70">
        <f>O275+P275</f>
        <v>0</v>
      </c>
    </row>
    <row r="276" spans="1:17" ht="12.75">
      <c r="A276" s="23" t="s">
        <v>298</v>
      </c>
      <c r="B276" s="92"/>
      <c r="C276" s="143">
        <f aca="true" t="shared" si="79" ref="C276:Q276">C277+C294</f>
        <v>373953.11</v>
      </c>
      <c r="D276" s="103">
        <f t="shared" si="79"/>
        <v>25824.489999999998</v>
      </c>
      <c r="E276" s="233">
        <f t="shared" si="79"/>
        <v>0</v>
      </c>
      <c r="F276" s="254">
        <f t="shared" si="79"/>
        <v>399777.6</v>
      </c>
      <c r="G276" s="286">
        <f t="shared" si="79"/>
        <v>1214</v>
      </c>
      <c r="H276" s="233">
        <f t="shared" si="79"/>
        <v>0</v>
      </c>
      <c r="I276" s="257">
        <f t="shared" si="79"/>
        <v>400991.6</v>
      </c>
      <c r="J276" s="143">
        <f t="shared" si="79"/>
        <v>0</v>
      </c>
      <c r="K276" s="103">
        <f t="shared" si="79"/>
        <v>0</v>
      </c>
      <c r="L276" s="158">
        <f t="shared" si="79"/>
        <v>400761.6</v>
      </c>
      <c r="M276" s="128">
        <f t="shared" si="79"/>
        <v>0</v>
      </c>
      <c r="N276" s="102">
        <f t="shared" si="79"/>
        <v>0</v>
      </c>
      <c r="O276" s="102">
        <f t="shared" si="79"/>
        <v>400761.6</v>
      </c>
      <c r="P276" s="102">
        <f t="shared" si="79"/>
        <v>0</v>
      </c>
      <c r="Q276" s="102">
        <f t="shared" si="79"/>
        <v>400761.6</v>
      </c>
    </row>
    <row r="277" spans="1:17" ht="12.75">
      <c r="A277" s="32" t="s">
        <v>55</v>
      </c>
      <c r="B277" s="92"/>
      <c r="C277" s="163">
        <f aca="true" t="shared" si="80" ref="C277:Q277">SUM(C279:C293)</f>
        <v>373953.11</v>
      </c>
      <c r="D277" s="111">
        <f t="shared" si="80"/>
        <v>19975.01</v>
      </c>
      <c r="E277" s="241">
        <f t="shared" si="80"/>
        <v>0</v>
      </c>
      <c r="F277" s="277">
        <f t="shared" si="80"/>
        <v>393928.12</v>
      </c>
      <c r="G277" s="291">
        <f t="shared" si="80"/>
        <v>1214</v>
      </c>
      <c r="H277" s="241">
        <f t="shared" si="80"/>
        <v>0</v>
      </c>
      <c r="I277" s="260">
        <f t="shared" si="80"/>
        <v>395142.12</v>
      </c>
      <c r="J277" s="163">
        <f t="shared" si="80"/>
        <v>0</v>
      </c>
      <c r="K277" s="111">
        <f t="shared" si="80"/>
        <v>0</v>
      </c>
      <c r="L277" s="183">
        <f t="shared" si="80"/>
        <v>394912.12</v>
      </c>
      <c r="M277" s="154">
        <f t="shared" si="80"/>
        <v>0</v>
      </c>
      <c r="N277" s="110">
        <f t="shared" si="80"/>
        <v>0</v>
      </c>
      <c r="O277" s="110">
        <f t="shared" si="80"/>
        <v>394912.12</v>
      </c>
      <c r="P277" s="110">
        <f t="shared" si="80"/>
        <v>0</v>
      </c>
      <c r="Q277" s="110">
        <f t="shared" si="80"/>
        <v>394912.12</v>
      </c>
    </row>
    <row r="278" spans="1:17" ht="12.75">
      <c r="A278" s="28" t="s">
        <v>27</v>
      </c>
      <c r="B278" s="88"/>
      <c r="C278" s="136"/>
      <c r="D278" s="104"/>
      <c r="E278" s="236"/>
      <c r="F278" s="274"/>
      <c r="G278" s="287"/>
      <c r="H278" s="235"/>
      <c r="I278" s="256"/>
      <c r="J278" s="21"/>
      <c r="K278" s="7"/>
      <c r="L278" s="65"/>
      <c r="M278" s="127"/>
      <c r="N278" s="7"/>
      <c r="O278" s="18"/>
      <c r="P278" s="72"/>
      <c r="Q278" s="70"/>
    </row>
    <row r="279" spans="1:17" ht="12.75">
      <c r="A279" s="35" t="s">
        <v>150</v>
      </c>
      <c r="B279" s="88"/>
      <c r="C279" s="136">
        <v>184639.38</v>
      </c>
      <c r="D279" s="104">
        <f>8226.4+1200</f>
        <v>9426.4</v>
      </c>
      <c r="E279" s="236"/>
      <c r="F279" s="274">
        <f aca="true" t="shared" si="81" ref="F279:F293">C279+D279+E279</f>
        <v>194065.78</v>
      </c>
      <c r="G279" s="287">
        <f>-80</f>
        <v>-80</v>
      </c>
      <c r="H279" s="235"/>
      <c r="I279" s="256">
        <f>F279+G279+H279</f>
        <v>193985.78</v>
      </c>
      <c r="J279" s="21"/>
      <c r="K279" s="7"/>
      <c r="L279" s="65">
        <f>I279+J279+K279</f>
        <v>193985.78</v>
      </c>
      <c r="M279" s="127"/>
      <c r="N279" s="7"/>
      <c r="O279" s="18">
        <f>L279+M279+N279</f>
        <v>193985.78</v>
      </c>
      <c r="P279" s="72"/>
      <c r="Q279" s="70">
        <f aca="true" t="shared" si="82" ref="Q279:Q286">O279+P279</f>
        <v>193985.78</v>
      </c>
    </row>
    <row r="280" spans="1:17" ht="12.75">
      <c r="A280" s="26" t="s">
        <v>56</v>
      </c>
      <c r="B280" s="88"/>
      <c r="C280" s="136">
        <v>62979.15</v>
      </c>
      <c r="D280" s="104">
        <v>2831.94</v>
      </c>
      <c r="E280" s="236"/>
      <c r="F280" s="274">
        <f t="shared" si="81"/>
        <v>65811.09</v>
      </c>
      <c r="G280" s="287">
        <f>408+80</f>
        <v>488</v>
      </c>
      <c r="H280" s="235"/>
      <c r="I280" s="256">
        <f aca="true" t="shared" si="83" ref="I280:I290">F280+G280+H280</f>
        <v>66299.09</v>
      </c>
      <c r="J280" s="21"/>
      <c r="K280" s="7"/>
      <c r="L280" s="65">
        <f aca="true" t="shared" si="84" ref="L280:L286">I280+J280+K280</f>
        <v>66299.09</v>
      </c>
      <c r="M280" s="127"/>
      <c r="N280" s="7"/>
      <c r="O280" s="18">
        <f aca="true" t="shared" si="85" ref="O280:O286">L280+M280+N280</f>
        <v>66299.09</v>
      </c>
      <c r="P280" s="72"/>
      <c r="Q280" s="70">
        <f t="shared" si="82"/>
        <v>66299.09</v>
      </c>
    </row>
    <row r="281" spans="1:17" ht="12.75">
      <c r="A281" s="26" t="s">
        <v>289</v>
      </c>
      <c r="B281" s="88"/>
      <c r="C281" s="136">
        <v>200</v>
      </c>
      <c r="D281" s="104"/>
      <c r="E281" s="236"/>
      <c r="F281" s="274">
        <f t="shared" si="81"/>
        <v>200</v>
      </c>
      <c r="G281" s="287">
        <f>40</f>
        <v>40</v>
      </c>
      <c r="H281" s="235"/>
      <c r="I281" s="256">
        <f t="shared" si="83"/>
        <v>240</v>
      </c>
      <c r="J281" s="21"/>
      <c r="K281" s="7"/>
      <c r="L281" s="65">
        <f t="shared" si="84"/>
        <v>240</v>
      </c>
      <c r="M281" s="127"/>
      <c r="N281" s="7"/>
      <c r="O281" s="18">
        <f t="shared" si="85"/>
        <v>240</v>
      </c>
      <c r="P281" s="72"/>
      <c r="Q281" s="70">
        <f t="shared" si="82"/>
        <v>240</v>
      </c>
    </row>
    <row r="282" spans="1:17" ht="12.75">
      <c r="A282" s="26" t="s">
        <v>57</v>
      </c>
      <c r="B282" s="88"/>
      <c r="C282" s="136">
        <v>60808.58</v>
      </c>
      <c r="D282" s="132">
        <f>287.92+748.61+5640</f>
        <v>6676.53</v>
      </c>
      <c r="E282" s="236"/>
      <c r="F282" s="274">
        <f t="shared" si="81"/>
        <v>67485.11</v>
      </c>
      <c r="G282" s="287">
        <f>516</f>
        <v>516</v>
      </c>
      <c r="H282" s="235"/>
      <c r="I282" s="256">
        <f t="shared" si="83"/>
        <v>68001.11</v>
      </c>
      <c r="J282" s="21"/>
      <c r="K282" s="7"/>
      <c r="L282" s="65">
        <f t="shared" si="84"/>
        <v>68001.11</v>
      </c>
      <c r="M282" s="127"/>
      <c r="N282" s="7"/>
      <c r="O282" s="18">
        <f t="shared" si="85"/>
        <v>68001.11</v>
      </c>
      <c r="P282" s="72"/>
      <c r="Q282" s="70">
        <f t="shared" si="82"/>
        <v>68001.11</v>
      </c>
    </row>
    <row r="283" spans="1:17" ht="12.75">
      <c r="A283" s="26" t="s">
        <v>62</v>
      </c>
      <c r="B283" s="88">
        <v>1115</v>
      </c>
      <c r="C283" s="136">
        <v>462</v>
      </c>
      <c r="D283" s="104"/>
      <c r="E283" s="236"/>
      <c r="F283" s="274">
        <f t="shared" si="81"/>
        <v>462</v>
      </c>
      <c r="G283" s="287"/>
      <c r="H283" s="235"/>
      <c r="I283" s="256">
        <f t="shared" si="83"/>
        <v>462</v>
      </c>
      <c r="J283" s="21"/>
      <c r="K283" s="7"/>
      <c r="L283" s="65">
        <f t="shared" si="84"/>
        <v>462</v>
      </c>
      <c r="M283" s="127"/>
      <c r="N283" s="7"/>
      <c r="O283" s="18">
        <f t="shared" si="85"/>
        <v>462</v>
      </c>
      <c r="P283" s="72"/>
      <c r="Q283" s="70">
        <f t="shared" si="82"/>
        <v>462</v>
      </c>
    </row>
    <row r="284" spans="1:17" ht="12.75" hidden="1">
      <c r="A284" s="26" t="s">
        <v>63</v>
      </c>
      <c r="B284" s="88"/>
      <c r="C284" s="136"/>
      <c r="D284" s="104"/>
      <c r="E284" s="236"/>
      <c r="F284" s="274">
        <f t="shared" si="81"/>
        <v>0</v>
      </c>
      <c r="G284" s="287"/>
      <c r="H284" s="235"/>
      <c r="I284" s="256">
        <f t="shared" si="83"/>
        <v>0</v>
      </c>
      <c r="J284" s="21"/>
      <c r="K284" s="7"/>
      <c r="L284" s="65">
        <f t="shared" si="84"/>
        <v>0</v>
      </c>
      <c r="M284" s="127"/>
      <c r="N284" s="7"/>
      <c r="O284" s="18">
        <f t="shared" si="85"/>
        <v>0</v>
      </c>
      <c r="P284" s="72"/>
      <c r="Q284" s="70">
        <f t="shared" si="82"/>
        <v>0</v>
      </c>
    </row>
    <row r="285" spans="1:17" ht="12.75">
      <c r="A285" s="26" t="s">
        <v>64</v>
      </c>
      <c r="B285" s="88">
        <v>51</v>
      </c>
      <c r="C285" s="136">
        <v>64864</v>
      </c>
      <c r="D285" s="104"/>
      <c r="E285" s="236"/>
      <c r="F285" s="274">
        <f t="shared" si="81"/>
        <v>64864</v>
      </c>
      <c r="G285" s="287"/>
      <c r="H285" s="235"/>
      <c r="I285" s="256">
        <f t="shared" si="83"/>
        <v>64864</v>
      </c>
      <c r="J285" s="21"/>
      <c r="K285" s="7"/>
      <c r="L285" s="65">
        <f t="shared" si="84"/>
        <v>64864</v>
      </c>
      <c r="M285" s="127"/>
      <c r="N285" s="7"/>
      <c r="O285" s="18">
        <f t="shared" si="85"/>
        <v>64864</v>
      </c>
      <c r="P285" s="72"/>
      <c r="Q285" s="70">
        <f t="shared" si="82"/>
        <v>64864</v>
      </c>
    </row>
    <row r="286" spans="1:17" ht="12.75">
      <c r="A286" s="26" t="s">
        <v>86</v>
      </c>
      <c r="B286" s="88"/>
      <c r="C286" s="136"/>
      <c r="D286" s="104">
        <f>52.55+13.59+744</f>
        <v>810.14</v>
      </c>
      <c r="E286" s="236"/>
      <c r="F286" s="274">
        <f t="shared" si="81"/>
        <v>810.14</v>
      </c>
      <c r="G286" s="287"/>
      <c r="H286" s="235"/>
      <c r="I286" s="256">
        <f t="shared" si="83"/>
        <v>810.14</v>
      </c>
      <c r="J286" s="21"/>
      <c r="K286" s="7"/>
      <c r="L286" s="65">
        <f t="shared" si="84"/>
        <v>810.14</v>
      </c>
      <c r="M286" s="127"/>
      <c r="N286" s="7"/>
      <c r="O286" s="18">
        <f t="shared" si="85"/>
        <v>810.14</v>
      </c>
      <c r="P286" s="72"/>
      <c r="Q286" s="70">
        <f t="shared" si="82"/>
        <v>810.14</v>
      </c>
    </row>
    <row r="287" spans="1:17" ht="12.75" hidden="1">
      <c r="A287" s="26" t="s">
        <v>226</v>
      </c>
      <c r="B287" s="88">
        <v>13234</v>
      </c>
      <c r="C287" s="136"/>
      <c r="D287" s="104"/>
      <c r="E287" s="236"/>
      <c r="F287" s="274">
        <f t="shared" si="81"/>
        <v>0</v>
      </c>
      <c r="G287" s="287"/>
      <c r="H287" s="235"/>
      <c r="I287" s="256">
        <f t="shared" si="83"/>
        <v>0</v>
      </c>
      <c r="J287" s="21"/>
      <c r="K287" s="7"/>
      <c r="L287" s="65"/>
      <c r="M287" s="127"/>
      <c r="N287" s="7"/>
      <c r="O287" s="18"/>
      <c r="P287" s="72"/>
      <c r="Q287" s="70"/>
    </row>
    <row r="288" spans="1:17" ht="12.75" hidden="1">
      <c r="A288" s="26" t="s">
        <v>65</v>
      </c>
      <c r="B288" s="88"/>
      <c r="C288" s="136"/>
      <c r="D288" s="104"/>
      <c r="E288" s="236"/>
      <c r="F288" s="274">
        <f t="shared" si="81"/>
        <v>0</v>
      </c>
      <c r="G288" s="287"/>
      <c r="H288" s="235"/>
      <c r="I288" s="256">
        <f t="shared" si="83"/>
        <v>0</v>
      </c>
      <c r="J288" s="21"/>
      <c r="K288" s="7"/>
      <c r="L288" s="65">
        <f>I288+J288+K288</f>
        <v>0</v>
      </c>
      <c r="M288" s="127"/>
      <c r="N288" s="7"/>
      <c r="O288" s="18">
        <f>L288+M288+N288</f>
        <v>0</v>
      </c>
      <c r="P288" s="72"/>
      <c r="Q288" s="70">
        <f>O288+P288</f>
        <v>0</v>
      </c>
    </row>
    <row r="289" spans="1:17" ht="12.75">
      <c r="A289" s="26" t="s">
        <v>303</v>
      </c>
      <c r="B289" s="88">
        <v>98008</v>
      </c>
      <c r="C289" s="136"/>
      <c r="D289" s="104">
        <f>200</f>
        <v>200</v>
      </c>
      <c r="E289" s="236"/>
      <c r="F289" s="274">
        <f t="shared" si="81"/>
        <v>200</v>
      </c>
      <c r="G289" s="287"/>
      <c r="H289" s="235"/>
      <c r="I289" s="256">
        <f t="shared" si="83"/>
        <v>200</v>
      </c>
      <c r="J289" s="21"/>
      <c r="K289" s="7"/>
      <c r="L289" s="65"/>
      <c r="M289" s="127"/>
      <c r="N289" s="7"/>
      <c r="O289" s="18"/>
      <c r="P289" s="72"/>
      <c r="Q289" s="70"/>
    </row>
    <row r="290" spans="1:17" ht="12.75">
      <c r="A290" s="26" t="s">
        <v>304</v>
      </c>
      <c r="B290" s="88">
        <v>98071</v>
      </c>
      <c r="C290" s="136"/>
      <c r="D290" s="104">
        <v>30</v>
      </c>
      <c r="E290" s="236"/>
      <c r="F290" s="274">
        <f t="shared" si="81"/>
        <v>30</v>
      </c>
      <c r="G290" s="287"/>
      <c r="H290" s="235"/>
      <c r="I290" s="256">
        <f t="shared" si="83"/>
        <v>30</v>
      </c>
      <c r="J290" s="21"/>
      <c r="K290" s="7"/>
      <c r="L290" s="65"/>
      <c r="M290" s="127"/>
      <c r="N290" s="7"/>
      <c r="O290" s="18"/>
      <c r="P290" s="72"/>
      <c r="Q290" s="70"/>
    </row>
    <row r="291" spans="1:17" ht="12.75" hidden="1">
      <c r="A291" s="26" t="s">
        <v>66</v>
      </c>
      <c r="B291" s="88">
        <v>98074</v>
      </c>
      <c r="C291" s="136"/>
      <c r="D291" s="104"/>
      <c r="E291" s="236"/>
      <c r="F291" s="274">
        <f t="shared" si="81"/>
        <v>0</v>
      </c>
      <c r="G291" s="287"/>
      <c r="H291" s="235"/>
      <c r="I291" s="256">
        <f>F291+G291+H291</f>
        <v>0</v>
      </c>
      <c r="J291" s="21"/>
      <c r="K291" s="7"/>
      <c r="L291" s="65">
        <f>I291+J291+K291</f>
        <v>0</v>
      </c>
      <c r="M291" s="127"/>
      <c r="N291" s="7"/>
      <c r="O291" s="18">
        <f>L291+M291+N291</f>
        <v>0</v>
      </c>
      <c r="P291" s="72"/>
      <c r="Q291" s="70">
        <f>O291+P291</f>
        <v>0</v>
      </c>
    </row>
    <row r="292" spans="1:17" ht="12.75" hidden="1">
      <c r="A292" s="26" t="s">
        <v>67</v>
      </c>
      <c r="B292" s="88"/>
      <c r="C292" s="136"/>
      <c r="D292" s="104"/>
      <c r="E292" s="236"/>
      <c r="F292" s="274">
        <f t="shared" si="81"/>
        <v>0</v>
      </c>
      <c r="G292" s="287"/>
      <c r="H292" s="235"/>
      <c r="I292" s="256">
        <f>F292+G292+H292</f>
        <v>0</v>
      </c>
      <c r="J292" s="21"/>
      <c r="K292" s="7"/>
      <c r="L292" s="65">
        <f>I292+J292+K292</f>
        <v>0</v>
      </c>
      <c r="M292" s="127"/>
      <c r="N292" s="7"/>
      <c r="O292" s="18">
        <f>L292+M292+N292</f>
        <v>0</v>
      </c>
      <c r="P292" s="72"/>
      <c r="Q292" s="70">
        <f>O292+P292</f>
        <v>0</v>
      </c>
    </row>
    <row r="293" spans="1:17" ht="12.75">
      <c r="A293" s="26" t="s">
        <v>68</v>
      </c>
      <c r="B293" s="88">
        <v>4001</v>
      </c>
      <c r="C293" s="136"/>
      <c r="D293" s="104"/>
      <c r="E293" s="236"/>
      <c r="F293" s="274">
        <f t="shared" si="81"/>
        <v>0</v>
      </c>
      <c r="G293" s="287">
        <f>250</f>
        <v>250</v>
      </c>
      <c r="H293" s="235"/>
      <c r="I293" s="256">
        <f>F293+G293+H293</f>
        <v>250</v>
      </c>
      <c r="J293" s="21"/>
      <c r="K293" s="7"/>
      <c r="L293" s="65">
        <f>I293+J293+K293</f>
        <v>250</v>
      </c>
      <c r="M293" s="127"/>
      <c r="N293" s="7"/>
      <c r="O293" s="18">
        <f>L293+M293+N293</f>
        <v>250</v>
      </c>
      <c r="P293" s="72"/>
      <c r="Q293" s="70">
        <f>O293+P293</f>
        <v>250</v>
      </c>
    </row>
    <row r="294" spans="1:17" ht="12.75">
      <c r="A294" s="32" t="s">
        <v>60</v>
      </c>
      <c r="B294" s="92"/>
      <c r="C294" s="163">
        <f>C297+C296</f>
        <v>0</v>
      </c>
      <c r="D294" s="111">
        <f aca="true" t="shared" si="86" ref="D294:Q294">D297+D296</f>
        <v>5849.48</v>
      </c>
      <c r="E294" s="241">
        <f t="shared" si="86"/>
        <v>0</v>
      </c>
      <c r="F294" s="277">
        <f t="shared" si="86"/>
        <v>5849.48</v>
      </c>
      <c r="G294" s="291">
        <f t="shared" si="86"/>
        <v>0</v>
      </c>
      <c r="H294" s="241">
        <f t="shared" si="86"/>
        <v>0</v>
      </c>
      <c r="I294" s="260">
        <f t="shared" si="86"/>
        <v>5849.48</v>
      </c>
      <c r="J294" s="163">
        <f t="shared" si="86"/>
        <v>0</v>
      </c>
      <c r="K294" s="111">
        <f t="shared" si="86"/>
        <v>0</v>
      </c>
      <c r="L294" s="183">
        <f t="shared" si="86"/>
        <v>5849.48</v>
      </c>
      <c r="M294" s="154">
        <f t="shared" si="86"/>
        <v>0</v>
      </c>
      <c r="N294" s="110">
        <f t="shared" si="86"/>
        <v>0</v>
      </c>
      <c r="O294" s="110">
        <f t="shared" si="86"/>
        <v>5849.48</v>
      </c>
      <c r="P294" s="110">
        <f t="shared" si="86"/>
        <v>0</v>
      </c>
      <c r="Q294" s="110">
        <f t="shared" si="86"/>
        <v>5849.48</v>
      </c>
    </row>
    <row r="295" spans="1:17" ht="12.75">
      <c r="A295" s="28" t="s">
        <v>27</v>
      </c>
      <c r="B295" s="88"/>
      <c r="C295" s="136"/>
      <c r="D295" s="104"/>
      <c r="E295" s="236"/>
      <c r="F295" s="254"/>
      <c r="G295" s="287"/>
      <c r="H295" s="235"/>
      <c r="I295" s="257"/>
      <c r="J295" s="21"/>
      <c r="K295" s="7"/>
      <c r="L295" s="61"/>
      <c r="M295" s="127"/>
      <c r="N295" s="7"/>
      <c r="O295" s="17"/>
      <c r="P295" s="72"/>
      <c r="Q295" s="70"/>
    </row>
    <row r="296" spans="1:17" ht="12.75" hidden="1">
      <c r="A296" s="25" t="s">
        <v>61</v>
      </c>
      <c r="B296" s="88"/>
      <c r="C296" s="136"/>
      <c r="D296" s="104"/>
      <c r="E296" s="236"/>
      <c r="F296" s="274">
        <f>C296+D296+E296</f>
        <v>0</v>
      </c>
      <c r="G296" s="287"/>
      <c r="H296" s="235"/>
      <c r="I296" s="256">
        <f>F296+G296+H296</f>
        <v>0</v>
      </c>
      <c r="J296" s="21"/>
      <c r="K296" s="7"/>
      <c r="L296" s="65">
        <f>I296+J296+K296</f>
        <v>0</v>
      </c>
      <c r="M296" s="127"/>
      <c r="N296" s="7"/>
      <c r="O296" s="18">
        <f>L296+M296+N296</f>
        <v>0</v>
      </c>
      <c r="P296" s="72"/>
      <c r="Q296" s="70">
        <f>O296+P296</f>
        <v>0</v>
      </c>
    </row>
    <row r="297" spans="1:17" ht="13.5" thickBot="1">
      <c r="A297" s="207" t="s">
        <v>87</v>
      </c>
      <c r="B297" s="133"/>
      <c r="C297" s="166"/>
      <c r="D297" s="134">
        <f>1753.48+4096</f>
        <v>5849.48</v>
      </c>
      <c r="E297" s="268"/>
      <c r="F297" s="280">
        <f>C297+D297+E297</f>
        <v>5849.48</v>
      </c>
      <c r="G297" s="294"/>
      <c r="H297" s="243"/>
      <c r="I297" s="262">
        <f>F297+G297+H297</f>
        <v>5849.48</v>
      </c>
      <c r="J297" s="199"/>
      <c r="K297" s="10"/>
      <c r="L297" s="64">
        <f>I297+J297+K297</f>
        <v>5849.48</v>
      </c>
      <c r="M297" s="214"/>
      <c r="N297" s="10"/>
      <c r="O297" s="20">
        <f>L297+M297+N297</f>
        <v>5849.48</v>
      </c>
      <c r="P297" s="75"/>
      <c r="Q297" s="76">
        <f>O297+P297</f>
        <v>5849.48</v>
      </c>
    </row>
    <row r="298" spans="1:17" ht="12.75">
      <c r="A298" s="38" t="s">
        <v>182</v>
      </c>
      <c r="B298" s="93"/>
      <c r="C298" s="143">
        <f>C299+C324</f>
        <v>511531.20000000007</v>
      </c>
      <c r="D298" s="103">
        <f aca="true" t="shared" si="87" ref="D298:Q298">D299+D324</f>
        <v>1444476.4900000002</v>
      </c>
      <c r="E298" s="233">
        <f t="shared" si="87"/>
        <v>-22622.4</v>
      </c>
      <c r="F298" s="254">
        <f t="shared" si="87"/>
        <v>1933385.29</v>
      </c>
      <c r="G298" s="286">
        <f t="shared" si="87"/>
        <v>458185.01999999996</v>
      </c>
      <c r="H298" s="233">
        <f t="shared" si="87"/>
        <v>0</v>
      </c>
      <c r="I298" s="257">
        <f t="shared" si="87"/>
        <v>2391570.3100000005</v>
      </c>
      <c r="J298" s="143">
        <f t="shared" si="87"/>
        <v>0</v>
      </c>
      <c r="K298" s="103">
        <f t="shared" si="87"/>
        <v>0</v>
      </c>
      <c r="L298" s="158">
        <f t="shared" si="87"/>
        <v>0</v>
      </c>
      <c r="M298" s="128">
        <f t="shared" si="87"/>
        <v>0</v>
      </c>
      <c r="N298" s="102">
        <f t="shared" si="87"/>
        <v>0</v>
      </c>
      <c r="O298" s="102">
        <f t="shared" si="87"/>
        <v>0</v>
      </c>
      <c r="P298" s="102">
        <f t="shared" si="87"/>
        <v>0</v>
      </c>
      <c r="Q298" s="102">
        <f t="shared" si="87"/>
        <v>0</v>
      </c>
    </row>
    <row r="299" spans="1:17" ht="12.75">
      <c r="A299" s="32" t="s">
        <v>55</v>
      </c>
      <c r="B299" s="92"/>
      <c r="C299" s="163">
        <f>SUM(C301:C312)</f>
        <v>66348.6</v>
      </c>
      <c r="D299" s="111">
        <f aca="true" t="shared" si="88" ref="D299:Q299">SUM(D301:D312)</f>
        <v>44821.27</v>
      </c>
      <c r="E299" s="241">
        <f t="shared" si="88"/>
        <v>32.67</v>
      </c>
      <c r="F299" s="277">
        <f t="shared" si="88"/>
        <v>111202.54000000001</v>
      </c>
      <c r="G299" s="291">
        <f t="shared" si="88"/>
        <v>12155.240000000002</v>
      </c>
      <c r="H299" s="241">
        <f t="shared" si="88"/>
        <v>0</v>
      </c>
      <c r="I299" s="260">
        <f t="shared" si="88"/>
        <v>123357.78000000003</v>
      </c>
      <c r="J299" s="163">
        <f t="shared" si="88"/>
        <v>0</v>
      </c>
      <c r="K299" s="111">
        <f t="shared" si="88"/>
        <v>0</v>
      </c>
      <c r="L299" s="183">
        <f t="shared" si="88"/>
        <v>0</v>
      </c>
      <c r="M299" s="154">
        <f t="shared" si="88"/>
        <v>0</v>
      </c>
      <c r="N299" s="110">
        <f t="shared" si="88"/>
        <v>0</v>
      </c>
      <c r="O299" s="110">
        <f t="shared" si="88"/>
        <v>0</v>
      </c>
      <c r="P299" s="110">
        <f t="shared" si="88"/>
        <v>0</v>
      </c>
      <c r="Q299" s="110">
        <f t="shared" si="88"/>
        <v>0</v>
      </c>
    </row>
    <row r="300" spans="1:17" ht="12.75">
      <c r="A300" s="28" t="s">
        <v>27</v>
      </c>
      <c r="B300" s="88"/>
      <c r="C300" s="163"/>
      <c r="D300" s="125"/>
      <c r="E300" s="269"/>
      <c r="F300" s="277"/>
      <c r="G300" s="287"/>
      <c r="H300" s="235"/>
      <c r="I300" s="256"/>
      <c r="J300" s="21"/>
      <c r="K300" s="7"/>
      <c r="L300" s="65"/>
      <c r="M300" s="212"/>
      <c r="N300" s="7"/>
      <c r="O300" s="18"/>
      <c r="P300" s="72"/>
      <c r="Q300" s="70"/>
    </row>
    <row r="301" spans="1:17" ht="12.75">
      <c r="A301" s="30" t="s">
        <v>57</v>
      </c>
      <c r="B301" s="88"/>
      <c r="C301" s="136">
        <v>1613.6</v>
      </c>
      <c r="D301" s="115"/>
      <c r="E301" s="245"/>
      <c r="F301" s="274">
        <f aca="true" t="shared" si="89" ref="F301:F323">C301+D301+E301</f>
        <v>1613.6</v>
      </c>
      <c r="G301" s="287"/>
      <c r="H301" s="235"/>
      <c r="I301" s="256">
        <f aca="true" t="shared" si="90" ref="I301:I323">F301+G301+H301</f>
        <v>1613.6</v>
      </c>
      <c r="J301" s="21"/>
      <c r="K301" s="7"/>
      <c r="L301" s="65"/>
      <c r="M301" s="212"/>
      <c r="N301" s="7"/>
      <c r="O301" s="18"/>
      <c r="P301" s="72"/>
      <c r="Q301" s="70"/>
    </row>
    <row r="302" spans="1:17" ht="12.75">
      <c r="A302" s="30" t="s">
        <v>192</v>
      </c>
      <c r="B302" s="88">
        <v>1080</v>
      </c>
      <c r="C302" s="136"/>
      <c r="D302" s="115">
        <f>2430.75</f>
        <v>2430.75</v>
      </c>
      <c r="E302" s="245"/>
      <c r="F302" s="274">
        <f t="shared" si="89"/>
        <v>2430.75</v>
      </c>
      <c r="G302" s="287"/>
      <c r="H302" s="235"/>
      <c r="I302" s="256">
        <f t="shared" si="90"/>
        <v>2430.75</v>
      </c>
      <c r="J302" s="21"/>
      <c r="K302" s="7"/>
      <c r="L302" s="65"/>
      <c r="M302" s="212"/>
      <c r="N302" s="7"/>
      <c r="O302" s="18"/>
      <c r="P302" s="72"/>
      <c r="Q302" s="70"/>
    </row>
    <row r="303" spans="1:17" ht="12.75">
      <c r="A303" s="30" t="s">
        <v>193</v>
      </c>
      <c r="B303" s="206">
        <v>1081.1202</v>
      </c>
      <c r="C303" s="136">
        <v>2804</v>
      </c>
      <c r="D303" s="115">
        <f>1114.3</f>
        <v>1114.3</v>
      </c>
      <c r="E303" s="245"/>
      <c r="F303" s="274">
        <f t="shared" si="89"/>
        <v>3918.3</v>
      </c>
      <c r="G303" s="287"/>
      <c r="H303" s="235"/>
      <c r="I303" s="256">
        <f t="shared" si="90"/>
        <v>3918.3</v>
      </c>
      <c r="J303" s="21"/>
      <c r="K303" s="7"/>
      <c r="L303" s="65"/>
      <c r="M303" s="212"/>
      <c r="N303" s="7"/>
      <c r="O303" s="18"/>
      <c r="P303" s="72"/>
      <c r="Q303" s="70"/>
    </row>
    <row r="304" spans="1:17" ht="12.75">
      <c r="A304" s="89" t="s">
        <v>90</v>
      </c>
      <c r="B304" s="88"/>
      <c r="C304" s="136">
        <v>600</v>
      </c>
      <c r="D304" s="115"/>
      <c r="E304" s="245"/>
      <c r="F304" s="274">
        <f t="shared" si="89"/>
        <v>600</v>
      </c>
      <c r="G304" s="287"/>
      <c r="H304" s="235"/>
      <c r="I304" s="256">
        <f t="shared" si="90"/>
        <v>600</v>
      </c>
      <c r="J304" s="21"/>
      <c r="K304" s="7"/>
      <c r="L304" s="65"/>
      <c r="M304" s="212"/>
      <c r="N304" s="7"/>
      <c r="O304" s="18"/>
      <c r="P304" s="72"/>
      <c r="Q304" s="70"/>
    </row>
    <row r="305" spans="1:17" ht="12.75">
      <c r="A305" s="26" t="s">
        <v>201</v>
      </c>
      <c r="B305" s="88"/>
      <c r="C305" s="136">
        <v>33842</v>
      </c>
      <c r="D305" s="115"/>
      <c r="E305" s="245"/>
      <c r="F305" s="274">
        <f t="shared" si="89"/>
        <v>33842</v>
      </c>
      <c r="G305" s="287">
        <f>5000</f>
        <v>5000</v>
      </c>
      <c r="H305" s="235"/>
      <c r="I305" s="256">
        <f t="shared" si="90"/>
        <v>38842</v>
      </c>
      <c r="J305" s="21"/>
      <c r="K305" s="7"/>
      <c r="L305" s="65"/>
      <c r="M305" s="212"/>
      <c r="N305" s="7"/>
      <c r="O305" s="18"/>
      <c r="P305" s="72"/>
      <c r="Q305" s="70"/>
    </row>
    <row r="306" spans="1:17" ht="12.75" hidden="1">
      <c r="A306" s="30" t="s">
        <v>202</v>
      </c>
      <c r="B306" s="88"/>
      <c r="C306" s="136"/>
      <c r="D306" s="115"/>
      <c r="E306" s="245"/>
      <c r="F306" s="274">
        <f t="shared" si="89"/>
        <v>0</v>
      </c>
      <c r="G306" s="287"/>
      <c r="H306" s="235"/>
      <c r="I306" s="256">
        <f t="shared" si="90"/>
        <v>0</v>
      </c>
      <c r="J306" s="21"/>
      <c r="K306" s="7"/>
      <c r="L306" s="65"/>
      <c r="M306" s="212"/>
      <c r="N306" s="7"/>
      <c r="O306" s="18"/>
      <c r="P306" s="72"/>
      <c r="Q306" s="70"/>
    </row>
    <row r="307" spans="1:17" ht="12.75" hidden="1">
      <c r="A307" s="30" t="s">
        <v>263</v>
      </c>
      <c r="B307" s="88"/>
      <c r="C307" s="136"/>
      <c r="D307" s="115"/>
      <c r="E307" s="245"/>
      <c r="F307" s="274">
        <f t="shared" si="89"/>
        <v>0</v>
      </c>
      <c r="G307" s="287"/>
      <c r="H307" s="235"/>
      <c r="I307" s="256">
        <f t="shared" si="90"/>
        <v>0</v>
      </c>
      <c r="J307" s="21"/>
      <c r="K307" s="7"/>
      <c r="L307" s="65"/>
      <c r="M307" s="212"/>
      <c r="N307" s="7"/>
      <c r="O307" s="18"/>
      <c r="P307" s="72"/>
      <c r="Q307" s="70"/>
    </row>
    <row r="308" spans="1:17" ht="12.75">
      <c r="A308" s="30" t="s">
        <v>267</v>
      </c>
      <c r="B308" s="88"/>
      <c r="C308" s="136"/>
      <c r="D308" s="115">
        <f>192.3</f>
        <v>192.3</v>
      </c>
      <c r="E308" s="245"/>
      <c r="F308" s="274">
        <f t="shared" si="89"/>
        <v>192.3</v>
      </c>
      <c r="G308" s="287"/>
      <c r="H308" s="235"/>
      <c r="I308" s="256">
        <f t="shared" si="90"/>
        <v>192.3</v>
      </c>
      <c r="J308" s="21"/>
      <c r="K308" s="7"/>
      <c r="L308" s="65"/>
      <c r="M308" s="212"/>
      <c r="N308" s="7"/>
      <c r="O308" s="18"/>
      <c r="P308" s="72"/>
      <c r="Q308" s="70"/>
    </row>
    <row r="309" spans="1:17" ht="12.75">
      <c r="A309" s="26" t="s">
        <v>341</v>
      </c>
      <c r="B309" s="147">
        <v>212163</v>
      </c>
      <c r="C309" s="136"/>
      <c r="D309" s="115">
        <f>1724.05</f>
        <v>1724.05</v>
      </c>
      <c r="E309" s="245"/>
      <c r="F309" s="274">
        <f t="shared" si="89"/>
        <v>1724.05</v>
      </c>
      <c r="G309" s="287"/>
      <c r="H309" s="235"/>
      <c r="I309" s="256">
        <f t="shared" si="90"/>
        <v>1724.05</v>
      </c>
      <c r="J309" s="21"/>
      <c r="K309" s="7"/>
      <c r="L309" s="65"/>
      <c r="M309" s="212"/>
      <c r="N309" s="7"/>
      <c r="O309" s="18"/>
      <c r="P309" s="72"/>
      <c r="Q309" s="70"/>
    </row>
    <row r="310" spans="1:17" ht="12.75">
      <c r="A310" s="30" t="s">
        <v>185</v>
      </c>
      <c r="B310" s="147">
        <v>212162</v>
      </c>
      <c r="C310" s="136"/>
      <c r="D310" s="115">
        <f>658.97</f>
        <v>658.97</v>
      </c>
      <c r="E310" s="245"/>
      <c r="F310" s="274">
        <f>C310+D310+E310</f>
        <v>658.97</v>
      </c>
      <c r="G310" s="287"/>
      <c r="H310" s="235"/>
      <c r="I310" s="256">
        <f t="shared" si="90"/>
        <v>658.97</v>
      </c>
      <c r="J310" s="21"/>
      <c r="K310" s="7"/>
      <c r="L310" s="65"/>
      <c r="M310" s="212"/>
      <c r="N310" s="7"/>
      <c r="O310" s="18"/>
      <c r="P310" s="72"/>
      <c r="Q310" s="70"/>
    </row>
    <row r="311" spans="1:17" ht="12.75" hidden="1">
      <c r="A311" s="30" t="s">
        <v>340</v>
      </c>
      <c r="B311" s="147">
        <v>17051</v>
      </c>
      <c r="C311" s="136"/>
      <c r="D311" s="115"/>
      <c r="E311" s="245"/>
      <c r="F311" s="274">
        <f>C311+D311+E311</f>
        <v>0</v>
      </c>
      <c r="G311" s="287"/>
      <c r="H311" s="235"/>
      <c r="I311" s="256">
        <f t="shared" si="90"/>
        <v>0</v>
      </c>
      <c r="J311" s="21"/>
      <c r="K311" s="7"/>
      <c r="L311" s="65"/>
      <c r="M311" s="307"/>
      <c r="N311" s="308"/>
      <c r="O311" s="308"/>
      <c r="P311" s="309"/>
      <c r="Q311" s="310"/>
    </row>
    <row r="312" spans="1:17" ht="12.75">
      <c r="A312" s="26" t="s">
        <v>87</v>
      </c>
      <c r="B312" s="88"/>
      <c r="C312" s="138">
        <f>SUM(C313:C323)</f>
        <v>27489</v>
      </c>
      <c r="D312" s="115">
        <f aca="true" t="shared" si="91" ref="D312:Q312">SUM(D313:D323)</f>
        <v>38700.899999999994</v>
      </c>
      <c r="E312" s="245">
        <f t="shared" si="91"/>
        <v>32.67</v>
      </c>
      <c r="F312" s="281">
        <f t="shared" si="91"/>
        <v>66222.56999999999</v>
      </c>
      <c r="G312" s="296">
        <f t="shared" si="91"/>
        <v>7155.240000000002</v>
      </c>
      <c r="H312" s="245">
        <f t="shared" si="91"/>
        <v>0</v>
      </c>
      <c r="I312" s="264">
        <f t="shared" si="91"/>
        <v>73377.81000000001</v>
      </c>
      <c r="J312" s="138">
        <f t="shared" si="91"/>
        <v>0</v>
      </c>
      <c r="K312" s="115">
        <f t="shared" si="91"/>
        <v>0</v>
      </c>
      <c r="L312" s="185">
        <f t="shared" si="91"/>
        <v>0</v>
      </c>
      <c r="M312" s="156">
        <f t="shared" si="91"/>
        <v>0</v>
      </c>
      <c r="N312" s="138">
        <f t="shared" si="91"/>
        <v>0</v>
      </c>
      <c r="O312" s="138">
        <f t="shared" si="91"/>
        <v>0</v>
      </c>
      <c r="P312" s="138">
        <f t="shared" si="91"/>
        <v>0</v>
      </c>
      <c r="Q312" s="138">
        <f t="shared" si="91"/>
        <v>0</v>
      </c>
    </row>
    <row r="313" spans="1:17" ht="12.75">
      <c r="A313" s="26" t="s">
        <v>250</v>
      </c>
      <c r="B313" s="88"/>
      <c r="C313" s="138">
        <v>14000</v>
      </c>
      <c r="D313" s="115">
        <f>2000</f>
        <v>2000</v>
      </c>
      <c r="E313" s="236"/>
      <c r="F313" s="274">
        <f t="shared" si="89"/>
        <v>16000</v>
      </c>
      <c r="G313" s="287"/>
      <c r="H313" s="235"/>
      <c r="I313" s="256">
        <f t="shared" si="90"/>
        <v>16000</v>
      </c>
      <c r="J313" s="21"/>
      <c r="K313" s="7"/>
      <c r="L313" s="65"/>
      <c r="M313" s="212"/>
      <c r="N313" s="7"/>
      <c r="O313" s="18"/>
      <c r="P313" s="72"/>
      <c r="Q313" s="70"/>
    </row>
    <row r="314" spans="1:17" ht="12.75">
      <c r="A314" s="26" t="s">
        <v>200</v>
      </c>
      <c r="B314" s="88"/>
      <c r="C314" s="138"/>
      <c r="D314" s="115">
        <f>15999.31+2736.03+17203.48</f>
        <v>35938.82</v>
      </c>
      <c r="E314" s="236"/>
      <c r="F314" s="274">
        <f t="shared" si="89"/>
        <v>35938.82</v>
      </c>
      <c r="G314" s="287">
        <f>1245.41+2413.78+73.26+110.15+141.99</f>
        <v>3984.590000000001</v>
      </c>
      <c r="H314" s="235"/>
      <c r="I314" s="256">
        <f t="shared" si="90"/>
        <v>39923.41</v>
      </c>
      <c r="J314" s="21"/>
      <c r="K314" s="7"/>
      <c r="L314" s="65"/>
      <c r="M314" s="212"/>
      <c r="N314" s="7"/>
      <c r="O314" s="18"/>
      <c r="P314" s="72"/>
      <c r="Q314" s="70"/>
    </row>
    <row r="315" spans="1:17" ht="12.75" hidden="1">
      <c r="A315" s="26" t="s">
        <v>237</v>
      </c>
      <c r="B315" s="88"/>
      <c r="C315" s="138"/>
      <c r="D315" s="126"/>
      <c r="E315" s="236"/>
      <c r="F315" s="274">
        <f t="shared" si="89"/>
        <v>0</v>
      </c>
      <c r="G315" s="287"/>
      <c r="H315" s="235"/>
      <c r="I315" s="256">
        <f t="shared" si="90"/>
        <v>0</v>
      </c>
      <c r="J315" s="21"/>
      <c r="K315" s="7"/>
      <c r="L315" s="65"/>
      <c r="M315" s="212"/>
      <c r="N315" s="7"/>
      <c r="O315" s="18"/>
      <c r="P315" s="72"/>
      <c r="Q315" s="70"/>
    </row>
    <row r="316" spans="1:17" ht="12.75" hidden="1">
      <c r="A316" s="26" t="s">
        <v>233</v>
      </c>
      <c r="B316" s="88"/>
      <c r="C316" s="138"/>
      <c r="D316" s="115"/>
      <c r="E316" s="236"/>
      <c r="F316" s="274">
        <f t="shared" si="89"/>
        <v>0</v>
      </c>
      <c r="G316" s="287"/>
      <c r="H316" s="235"/>
      <c r="I316" s="256">
        <f t="shared" si="90"/>
        <v>0</v>
      </c>
      <c r="J316" s="21"/>
      <c r="K316" s="7"/>
      <c r="L316" s="65"/>
      <c r="M316" s="212"/>
      <c r="N316" s="7"/>
      <c r="O316" s="18"/>
      <c r="P316" s="72"/>
      <c r="Q316" s="70"/>
    </row>
    <row r="317" spans="1:17" ht="12.75">
      <c r="A317" s="26" t="s">
        <v>266</v>
      </c>
      <c r="B317" s="88"/>
      <c r="C317" s="138"/>
      <c r="D317" s="115">
        <f>8937.1</f>
        <v>8937.1</v>
      </c>
      <c r="E317" s="236"/>
      <c r="F317" s="274">
        <f t="shared" si="89"/>
        <v>8937.1</v>
      </c>
      <c r="G317" s="287"/>
      <c r="H317" s="235"/>
      <c r="I317" s="256">
        <f t="shared" si="90"/>
        <v>8937.1</v>
      </c>
      <c r="J317" s="21"/>
      <c r="K317" s="7"/>
      <c r="L317" s="65"/>
      <c r="M317" s="212"/>
      <c r="N317" s="7"/>
      <c r="O317" s="18"/>
      <c r="P317" s="72"/>
      <c r="Q317" s="70"/>
    </row>
    <row r="318" spans="1:17" ht="12.75">
      <c r="A318" s="26" t="s">
        <v>199</v>
      </c>
      <c r="B318" s="88"/>
      <c r="C318" s="138"/>
      <c r="D318" s="115">
        <f>6.33+1000</f>
        <v>1006.33</v>
      </c>
      <c r="E318" s="236">
        <v>32.67</v>
      </c>
      <c r="F318" s="274">
        <f t="shared" si="89"/>
        <v>1039</v>
      </c>
      <c r="G318" s="287">
        <f>1700+720.65-32.67</f>
        <v>2387.98</v>
      </c>
      <c r="H318" s="235"/>
      <c r="I318" s="256">
        <f t="shared" si="90"/>
        <v>3426.98</v>
      </c>
      <c r="J318" s="21"/>
      <c r="K318" s="7"/>
      <c r="L318" s="65"/>
      <c r="M318" s="212"/>
      <c r="N318" s="7"/>
      <c r="O318" s="18"/>
      <c r="P318" s="72"/>
      <c r="Q318" s="70"/>
    </row>
    <row r="319" spans="1:17" ht="12.75">
      <c r="A319" s="26" t="s">
        <v>203</v>
      </c>
      <c r="B319" s="88"/>
      <c r="C319" s="138"/>
      <c r="D319" s="115">
        <f>2617.13</f>
        <v>2617.13</v>
      </c>
      <c r="E319" s="236"/>
      <c r="F319" s="274">
        <f t="shared" si="89"/>
        <v>2617.13</v>
      </c>
      <c r="G319" s="287"/>
      <c r="H319" s="235"/>
      <c r="I319" s="256">
        <f t="shared" si="90"/>
        <v>2617.13</v>
      </c>
      <c r="J319" s="21"/>
      <c r="K319" s="7"/>
      <c r="L319" s="65"/>
      <c r="M319" s="212"/>
      <c r="N319" s="7"/>
      <c r="O319" s="18"/>
      <c r="P319" s="72"/>
      <c r="Q319" s="70"/>
    </row>
    <row r="320" spans="1:17" ht="12.75" hidden="1">
      <c r="A320" s="26" t="s">
        <v>209</v>
      </c>
      <c r="B320" s="88"/>
      <c r="C320" s="138"/>
      <c r="D320" s="115"/>
      <c r="E320" s="236"/>
      <c r="F320" s="274">
        <f t="shared" si="89"/>
        <v>0</v>
      </c>
      <c r="G320" s="287"/>
      <c r="H320" s="235"/>
      <c r="I320" s="256">
        <f t="shared" si="90"/>
        <v>0</v>
      </c>
      <c r="J320" s="21"/>
      <c r="K320" s="7"/>
      <c r="L320" s="65"/>
      <c r="M320" s="212"/>
      <c r="N320" s="7"/>
      <c r="O320" s="18"/>
      <c r="P320" s="72"/>
      <c r="Q320" s="70"/>
    </row>
    <row r="321" spans="1:17" ht="12.75">
      <c r="A321" s="26" t="s">
        <v>207</v>
      </c>
      <c r="B321" s="88"/>
      <c r="C321" s="138">
        <v>11831</v>
      </c>
      <c r="D321" s="115">
        <f>-10829.48+583.56-1001-214.56</f>
        <v>-11461.48</v>
      </c>
      <c r="E321" s="236"/>
      <c r="F321" s="274">
        <f t="shared" si="89"/>
        <v>369.52000000000044</v>
      </c>
      <c r="G321" s="287"/>
      <c r="H321" s="235"/>
      <c r="I321" s="256">
        <f t="shared" si="90"/>
        <v>369.52000000000044</v>
      </c>
      <c r="J321" s="21"/>
      <c r="K321" s="7"/>
      <c r="L321" s="65"/>
      <c r="M321" s="212"/>
      <c r="N321" s="7"/>
      <c r="O321" s="18"/>
      <c r="P321" s="72"/>
      <c r="Q321" s="70"/>
    </row>
    <row r="322" spans="1:17" ht="12.75">
      <c r="A322" s="26" t="s">
        <v>238</v>
      </c>
      <c r="B322" s="88"/>
      <c r="C322" s="138">
        <v>1658</v>
      </c>
      <c r="D322" s="115">
        <f>-506-802+300-350+1021</f>
        <v>-337</v>
      </c>
      <c r="E322" s="236"/>
      <c r="F322" s="274">
        <f t="shared" si="89"/>
        <v>1321</v>
      </c>
      <c r="G322" s="287"/>
      <c r="H322" s="235"/>
      <c r="I322" s="256">
        <f t="shared" si="90"/>
        <v>1321</v>
      </c>
      <c r="J322" s="21"/>
      <c r="K322" s="7"/>
      <c r="L322" s="65"/>
      <c r="M322" s="212"/>
      <c r="N322" s="7"/>
      <c r="O322" s="18"/>
      <c r="P322" s="72"/>
      <c r="Q322" s="70"/>
    </row>
    <row r="323" spans="1:17" ht="12.75">
      <c r="A323" s="26" t="s">
        <v>282</v>
      </c>
      <c r="B323" s="88"/>
      <c r="C323" s="138"/>
      <c r="D323" s="126"/>
      <c r="E323" s="236"/>
      <c r="F323" s="274">
        <f t="shared" si="89"/>
        <v>0</v>
      </c>
      <c r="G323" s="287">
        <f>750+32.67</f>
        <v>782.67</v>
      </c>
      <c r="H323" s="235"/>
      <c r="I323" s="256">
        <f t="shared" si="90"/>
        <v>782.67</v>
      </c>
      <c r="J323" s="21"/>
      <c r="K323" s="7"/>
      <c r="L323" s="65"/>
      <c r="M323" s="212"/>
      <c r="N323" s="7"/>
      <c r="O323" s="18"/>
      <c r="P323" s="72"/>
      <c r="Q323" s="70"/>
    </row>
    <row r="324" spans="1:17" ht="12.75">
      <c r="A324" s="32" t="s">
        <v>60</v>
      </c>
      <c r="B324" s="92"/>
      <c r="C324" s="163">
        <f aca="true" t="shared" si="92" ref="C324:Q324">SUM(C326:C339)</f>
        <v>445182.60000000003</v>
      </c>
      <c r="D324" s="111">
        <f t="shared" si="92"/>
        <v>1399655.2200000002</v>
      </c>
      <c r="E324" s="241">
        <f t="shared" si="92"/>
        <v>-22655.07</v>
      </c>
      <c r="F324" s="277">
        <f t="shared" si="92"/>
        <v>1822182.75</v>
      </c>
      <c r="G324" s="291">
        <f t="shared" si="92"/>
        <v>446029.77999999997</v>
      </c>
      <c r="H324" s="241">
        <f t="shared" si="92"/>
        <v>0</v>
      </c>
      <c r="I324" s="260">
        <f t="shared" si="92"/>
        <v>2268212.5300000003</v>
      </c>
      <c r="J324" s="163">
        <f t="shared" si="92"/>
        <v>0</v>
      </c>
      <c r="K324" s="111">
        <f t="shared" si="92"/>
        <v>0</v>
      </c>
      <c r="L324" s="183">
        <f t="shared" si="92"/>
        <v>0</v>
      </c>
      <c r="M324" s="154">
        <f t="shared" si="92"/>
        <v>0</v>
      </c>
      <c r="N324" s="110">
        <f t="shared" si="92"/>
        <v>0</v>
      </c>
      <c r="O324" s="110">
        <f t="shared" si="92"/>
        <v>0</v>
      </c>
      <c r="P324" s="110">
        <f t="shared" si="92"/>
        <v>0</v>
      </c>
      <c r="Q324" s="110">
        <f t="shared" si="92"/>
        <v>0</v>
      </c>
    </row>
    <row r="325" spans="1:17" ht="12.75">
      <c r="A325" s="30" t="s">
        <v>27</v>
      </c>
      <c r="B325" s="88"/>
      <c r="C325" s="136"/>
      <c r="D325" s="104"/>
      <c r="E325" s="236"/>
      <c r="F325" s="274"/>
      <c r="G325" s="287"/>
      <c r="H325" s="235"/>
      <c r="I325" s="256"/>
      <c r="J325" s="21"/>
      <c r="K325" s="7"/>
      <c r="L325" s="65"/>
      <c r="M325" s="212"/>
      <c r="N325" s="7"/>
      <c r="O325" s="18"/>
      <c r="P325" s="72"/>
      <c r="Q325" s="70"/>
    </row>
    <row r="326" spans="1:17" ht="12.75" hidden="1">
      <c r="A326" s="30" t="s">
        <v>194</v>
      </c>
      <c r="B326" s="88"/>
      <c r="C326" s="136"/>
      <c r="D326" s="104"/>
      <c r="E326" s="236"/>
      <c r="F326" s="274">
        <f aca="true" t="shared" si="93" ref="F326:F351">C326+D326+E326</f>
        <v>0</v>
      </c>
      <c r="G326" s="287"/>
      <c r="H326" s="235"/>
      <c r="I326" s="256"/>
      <c r="J326" s="21"/>
      <c r="K326" s="7"/>
      <c r="L326" s="65"/>
      <c r="M326" s="212"/>
      <c r="N326" s="7"/>
      <c r="O326" s="18"/>
      <c r="P326" s="72"/>
      <c r="Q326" s="70"/>
    </row>
    <row r="327" spans="1:17" ht="12.75">
      <c r="A327" s="30" t="s">
        <v>193</v>
      </c>
      <c r="B327" s="206">
        <v>1081.1202</v>
      </c>
      <c r="C327" s="136">
        <v>5423</v>
      </c>
      <c r="D327" s="104">
        <f>892.37</f>
        <v>892.37</v>
      </c>
      <c r="E327" s="236"/>
      <c r="F327" s="274">
        <f t="shared" si="93"/>
        <v>6315.37</v>
      </c>
      <c r="G327" s="287"/>
      <c r="H327" s="235"/>
      <c r="I327" s="256">
        <f aca="true" t="shared" si="94" ref="I327:I351">F327+G327+H327</f>
        <v>6315.37</v>
      </c>
      <c r="J327" s="21"/>
      <c r="K327" s="7"/>
      <c r="L327" s="65"/>
      <c r="M327" s="212"/>
      <c r="N327" s="7"/>
      <c r="O327" s="18"/>
      <c r="P327" s="72"/>
      <c r="Q327" s="70"/>
    </row>
    <row r="328" spans="1:17" ht="12.75">
      <c r="A328" s="30" t="s">
        <v>184</v>
      </c>
      <c r="B328" s="88"/>
      <c r="C328" s="136">
        <v>13853</v>
      </c>
      <c r="D328" s="104">
        <f>9223.46</f>
        <v>9223.46</v>
      </c>
      <c r="E328" s="236"/>
      <c r="F328" s="274">
        <f t="shared" si="93"/>
        <v>23076.46</v>
      </c>
      <c r="G328" s="287"/>
      <c r="H328" s="235"/>
      <c r="I328" s="256">
        <f t="shared" si="94"/>
        <v>23076.46</v>
      </c>
      <c r="J328" s="21"/>
      <c r="K328" s="7"/>
      <c r="L328" s="65"/>
      <c r="M328" s="212"/>
      <c r="N328" s="7"/>
      <c r="O328" s="18"/>
      <c r="P328" s="72"/>
      <c r="Q328" s="70"/>
    </row>
    <row r="329" spans="1:17" ht="12.75" hidden="1">
      <c r="A329" s="30" t="s">
        <v>263</v>
      </c>
      <c r="B329" s="88">
        <v>3000</v>
      </c>
      <c r="C329" s="136"/>
      <c r="D329" s="115"/>
      <c r="E329" s="245"/>
      <c r="F329" s="274">
        <f t="shared" si="93"/>
        <v>0</v>
      </c>
      <c r="G329" s="287"/>
      <c r="H329" s="235"/>
      <c r="I329" s="256">
        <f t="shared" si="94"/>
        <v>0</v>
      </c>
      <c r="J329" s="21"/>
      <c r="K329" s="7"/>
      <c r="L329" s="65"/>
      <c r="M329" s="212"/>
      <c r="N329" s="7"/>
      <c r="O329" s="18"/>
      <c r="P329" s="72"/>
      <c r="Q329" s="70"/>
    </row>
    <row r="330" spans="1:17" ht="12.75">
      <c r="A330" s="30" t="s">
        <v>248</v>
      </c>
      <c r="B330" s="88"/>
      <c r="C330" s="136"/>
      <c r="D330" s="115">
        <f>802.9</f>
        <v>802.9</v>
      </c>
      <c r="E330" s="245"/>
      <c r="F330" s="274">
        <f t="shared" si="93"/>
        <v>802.9</v>
      </c>
      <c r="G330" s="287"/>
      <c r="H330" s="235"/>
      <c r="I330" s="256">
        <f t="shared" si="94"/>
        <v>802.9</v>
      </c>
      <c r="J330" s="21"/>
      <c r="K330" s="7"/>
      <c r="L330" s="65"/>
      <c r="M330" s="212"/>
      <c r="N330" s="7"/>
      <c r="O330" s="18"/>
      <c r="P330" s="72"/>
      <c r="Q330" s="70"/>
    </row>
    <row r="331" spans="1:17" ht="12.75">
      <c r="A331" s="145" t="s">
        <v>267</v>
      </c>
      <c r="B331" s="88"/>
      <c r="C331" s="136">
        <v>85000</v>
      </c>
      <c r="D331" s="126">
        <f>323102.36</f>
        <v>323102.36</v>
      </c>
      <c r="E331" s="270">
        <v>-20000</v>
      </c>
      <c r="F331" s="274">
        <f t="shared" si="93"/>
        <v>388102.36</v>
      </c>
      <c r="G331" s="287"/>
      <c r="H331" s="235"/>
      <c r="I331" s="256">
        <f t="shared" si="94"/>
        <v>388102.36</v>
      </c>
      <c r="J331" s="21"/>
      <c r="K331" s="7"/>
      <c r="L331" s="65"/>
      <c r="M331" s="212"/>
      <c r="N331" s="7"/>
      <c r="O331" s="18"/>
      <c r="P331" s="72"/>
      <c r="Q331" s="70"/>
    </row>
    <row r="332" spans="1:17" ht="12.75">
      <c r="A332" s="30" t="s">
        <v>292</v>
      </c>
      <c r="B332" s="147">
        <v>212161</v>
      </c>
      <c r="C332" s="136">
        <v>66696.7</v>
      </c>
      <c r="D332" s="115">
        <f>54009.82</f>
        <v>54009.82</v>
      </c>
      <c r="E332" s="245"/>
      <c r="F332" s="274">
        <f t="shared" si="93"/>
        <v>120706.51999999999</v>
      </c>
      <c r="G332" s="287"/>
      <c r="H332" s="235"/>
      <c r="I332" s="256">
        <f t="shared" si="94"/>
        <v>120706.51999999999</v>
      </c>
      <c r="J332" s="21"/>
      <c r="K332" s="7"/>
      <c r="L332" s="65"/>
      <c r="M332" s="212"/>
      <c r="N332" s="7"/>
      <c r="O332" s="18"/>
      <c r="P332" s="72"/>
      <c r="Q332" s="70"/>
    </row>
    <row r="333" spans="1:17" ht="12.75" hidden="1">
      <c r="A333" s="30" t="s">
        <v>275</v>
      </c>
      <c r="B333" s="147">
        <v>97573</v>
      </c>
      <c r="C333" s="136"/>
      <c r="D333" s="115"/>
      <c r="E333" s="245"/>
      <c r="F333" s="274">
        <f t="shared" si="93"/>
        <v>0</v>
      </c>
      <c r="G333" s="287"/>
      <c r="H333" s="235"/>
      <c r="I333" s="256">
        <f t="shared" si="94"/>
        <v>0</v>
      </c>
      <c r="J333" s="21"/>
      <c r="K333" s="7"/>
      <c r="L333" s="65"/>
      <c r="M333" s="212"/>
      <c r="N333" s="7"/>
      <c r="O333" s="18"/>
      <c r="P333" s="72"/>
      <c r="Q333" s="70"/>
    </row>
    <row r="334" spans="1:17" ht="12.75">
      <c r="A334" s="30" t="s">
        <v>185</v>
      </c>
      <c r="B334" s="147">
        <v>212162</v>
      </c>
      <c r="C334" s="136"/>
      <c r="D334" s="115">
        <f>87850.14</f>
        <v>87850.14</v>
      </c>
      <c r="E334" s="245"/>
      <c r="F334" s="274">
        <f t="shared" si="93"/>
        <v>87850.14</v>
      </c>
      <c r="G334" s="287"/>
      <c r="H334" s="235"/>
      <c r="I334" s="256">
        <f t="shared" si="94"/>
        <v>87850.14</v>
      </c>
      <c r="J334" s="21"/>
      <c r="K334" s="7"/>
      <c r="L334" s="65"/>
      <c r="M334" s="212"/>
      <c r="N334" s="7"/>
      <c r="O334" s="18"/>
      <c r="P334" s="72"/>
      <c r="Q334" s="70"/>
    </row>
    <row r="335" spans="1:17" ht="12.75">
      <c r="A335" s="30" t="s">
        <v>345</v>
      </c>
      <c r="B335" s="147">
        <v>91628</v>
      </c>
      <c r="C335" s="136"/>
      <c r="D335" s="115"/>
      <c r="E335" s="245"/>
      <c r="F335" s="274">
        <f t="shared" si="93"/>
        <v>0</v>
      </c>
      <c r="G335" s="287">
        <f>190000</f>
        <v>190000</v>
      </c>
      <c r="H335" s="235"/>
      <c r="I335" s="256">
        <f t="shared" si="94"/>
        <v>190000</v>
      </c>
      <c r="J335" s="21"/>
      <c r="K335" s="7"/>
      <c r="L335" s="65"/>
      <c r="M335" s="212"/>
      <c r="N335" s="7"/>
      <c r="O335" s="18"/>
      <c r="P335" s="72"/>
      <c r="Q335" s="70"/>
    </row>
    <row r="336" spans="1:17" ht="12.75">
      <c r="A336" s="30" t="s">
        <v>339</v>
      </c>
      <c r="B336" s="147">
        <v>91628</v>
      </c>
      <c r="C336" s="136"/>
      <c r="D336" s="115"/>
      <c r="E336" s="245"/>
      <c r="F336" s="274">
        <f t="shared" si="93"/>
        <v>0</v>
      </c>
      <c r="G336" s="287">
        <f>83617.95</f>
        <v>83617.95</v>
      </c>
      <c r="H336" s="235"/>
      <c r="I336" s="256">
        <f t="shared" si="94"/>
        <v>83617.95</v>
      </c>
      <c r="J336" s="21"/>
      <c r="K336" s="7"/>
      <c r="L336" s="65"/>
      <c r="M336" s="212"/>
      <c r="N336" s="7"/>
      <c r="O336" s="18"/>
      <c r="P336" s="72"/>
      <c r="Q336" s="70"/>
    </row>
    <row r="337" spans="1:17" ht="12.75" hidden="1">
      <c r="A337" s="30" t="s">
        <v>340</v>
      </c>
      <c r="B337" s="147">
        <v>17988</v>
      </c>
      <c r="C337" s="136"/>
      <c r="D337" s="115"/>
      <c r="E337" s="245"/>
      <c r="F337" s="274">
        <f t="shared" si="93"/>
        <v>0</v>
      </c>
      <c r="G337" s="287"/>
      <c r="H337" s="235"/>
      <c r="I337" s="256">
        <f t="shared" si="94"/>
        <v>0</v>
      </c>
      <c r="J337" s="21"/>
      <c r="K337" s="7"/>
      <c r="L337" s="65"/>
      <c r="M337" s="212"/>
      <c r="N337" s="7"/>
      <c r="O337" s="18"/>
      <c r="P337" s="72"/>
      <c r="Q337" s="70"/>
    </row>
    <row r="338" spans="1:17" ht="12.75">
      <c r="A338" s="30" t="s">
        <v>228</v>
      </c>
      <c r="B338" s="88"/>
      <c r="C338" s="136">
        <v>1200</v>
      </c>
      <c r="D338" s="115"/>
      <c r="E338" s="245"/>
      <c r="F338" s="274">
        <f t="shared" si="93"/>
        <v>1200</v>
      </c>
      <c r="G338" s="287"/>
      <c r="H338" s="235"/>
      <c r="I338" s="256">
        <f t="shared" si="94"/>
        <v>1200</v>
      </c>
      <c r="J338" s="21"/>
      <c r="K338" s="7"/>
      <c r="L338" s="65"/>
      <c r="M338" s="212"/>
      <c r="N338" s="7"/>
      <c r="O338" s="18"/>
      <c r="P338" s="72"/>
      <c r="Q338" s="70"/>
    </row>
    <row r="339" spans="1:17" ht="12.75">
      <c r="A339" s="30" t="s">
        <v>186</v>
      </c>
      <c r="B339" s="88"/>
      <c r="C339" s="136">
        <f>SUM(C340:C351)</f>
        <v>273009.9</v>
      </c>
      <c r="D339" s="104">
        <f aca="true" t="shared" si="95" ref="D339:Q339">SUM(D340:D351)</f>
        <v>923774.1700000002</v>
      </c>
      <c r="E339" s="236">
        <f t="shared" si="95"/>
        <v>-2655.07</v>
      </c>
      <c r="F339" s="274">
        <f t="shared" si="95"/>
        <v>1194129</v>
      </c>
      <c r="G339" s="287">
        <f t="shared" si="95"/>
        <v>172411.82999999996</v>
      </c>
      <c r="H339" s="236">
        <f t="shared" si="95"/>
        <v>0</v>
      </c>
      <c r="I339" s="256">
        <f t="shared" si="95"/>
        <v>1366540.83</v>
      </c>
      <c r="J339" s="136">
        <f t="shared" si="95"/>
        <v>0</v>
      </c>
      <c r="K339" s="104">
        <f t="shared" si="95"/>
        <v>0</v>
      </c>
      <c r="L339" s="180">
        <f t="shared" si="95"/>
        <v>0</v>
      </c>
      <c r="M339" s="137">
        <f t="shared" si="95"/>
        <v>0</v>
      </c>
      <c r="N339" s="136">
        <f t="shared" si="95"/>
        <v>0</v>
      </c>
      <c r="O339" s="136">
        <f t="shared" si="95"/>
        <v>0</v>
      </c>
      <c r="P339" s="136">
        <f t="shared" si="95"/>
        <v>0</v>
      </c>
      <c r="Q339" s="136">
        <f t="shared" si="95"/>
        <v>0</v>
      </c>
    </row>
    <row r="340" spans="1:17" ht="12.75">
      <c r="A340" s="30" t="s">
        <v>187</v>
      </c>
      <c r="B340" s="88"/>
      <c r="C340" s="136">
        <f>28200</f>
        <v>28200</v>
      </c>
      <c r="D340" s="115">
        <f>6000+124756.58+12000</f>
        <v>142756.58000000002</v>
      </c>
      <c r="E340" s="236"/>
      <c r="F340" s="274">
        <f t="shared" si="93"/>
        <v>170956.58000000002</v>
      </c>
      <c r="G340" s="287">
        <f>8486.19+17525+499.19+297.65</f>
        <v>26808.030000000002</v>
      </c>
      <c r="H340" s="235"/>
      <c r="I340" s="256">
        <f t="shared" si="94"/>
        <v>197764.61000000002</v>
      </c>
      <c r="J340" s="21"/>
      <c r="K340" s="7"/>
      <c r="L340" s="65"/>
      <c r="M340" s="212"/>
      <c r="N340" s="7"/>
      <c r="O340" s="18"/>
      <c r="P340" s="72"/>
      <c r="Q340" s="70"/>
    </row>
    <row r="341" spans="1:17" ht="12.75" hidden="1">
      <c r="A341" s="30" t="s">
        <v>210</v>
      </c>
      <c r="B341" s="88"/>
      <c r="C341" s="136"/>
      <c r="D341" s="115"/>
      <c r="E341" s="236"/>
      <c r="F341" s="274">
        <f t="shared" si="93"/>
        <v>0</v>
      </c>
      <c r="G341" s="287"/>
      <c r="H341" s="235"/>
      <c r="I341" s="256">
        <f t="shared" si="94"/>
        <v>0</v>
      </c>
      <c r="J341" s="21"/>
      <c r="K341" s="7"/>
      <c r="L341" s="65"/>
      <c r="M341" s="212"/>
      <c r="N341" s="7"/>
      <c r="O341" s="18"/>
      <c r="P341" s="72"/>
      <c r="Q341" s="70"/>
    </row>
    <row r="342" spans="1:17" ht="12.75">
      <c r="A342" s="30" t="s">
        <v>195</v>
      </c>
      <c r="B342" s="88"/>
      <c r="C342" s="136"/>
      <c r="D342" s="115">
        <f>6918.68-4000</f>
        <v>2918.6800000000003</v>
      </c>
      <c r="E342" s="236"/>
      <c r="F342" s="274">
        <f t="shared" si="93"/>
        <v>2918.6800000000003</v>
      </c>
      <c r="G342" s="287">
        <f>-1200</f>
        <v>-1200</v>
      </c>
      <c r="H342" s="235"/>
      <c r="I342" s="256">
        <f t="shared" si="94"/>
        <v>1718.6800000000003</v>
      </c>
      <c r="J342" s="21"/>
      <c r="K342" s="7"/>
      <c r="L342" s="65"/>
      <c r="M342" s="212"/>
      <c r="N342" s="7"/>
      <c r="O342" s="18"/>
      <c r="P342" s="72"/>
      <c r="Q342" s="70"/>
    </row>
    <row r="343" spans="1:17" ht="12.75" hidden="1">
      <c r="A343" s="30" t="s">
        <v>223</v>
      </c>
      <c r="B343" s="88"/>
      <c r="C343" s="136"/>
      <c r="D343" s="115"/>
      <c r="E343" s="236"/>
      <c r="F343" s="274">
        <f t="shared" si="93"/>
        <v>0</v>
      </c>
      <c r="G343" s="287"/>
      <c r="H343" s="235"/>
      <c r="I343" s="256">
        <f t="shared" si="94"/>
        <v>0</v>
      </c>
      <c r="J343" s="21"/>
      <c r="K343" s="7"/>
      <c r="L343" s="65"/>
      <c r="M343" s="212"/>
      <c r="N343" s="7"/>
      <c r="O343" s="18"/>
      <c r="P343" s="72"/>
      <c r="Q343" s="70"/>
    </row>
    <row r="344" spans="1:17" ht="12.75">
      <c r="A344" s="30" t="s">
        <v>188</v>
      </c>
      <c r="B344" s="88"/>
      <c r="C344" s="136">
        <v>105826</v>
      </c>
      <c r="D344" s="115">
        <f>293.65+4388.99+169925.07+3000+1001+999+4295+5000</f>
        <v>188902.71000000002</v>
      </c>
      <c r="E344" s="236"/>
      <c r="F344" s="274">
        <f t="shared" si="93"/>
        <v>294728.71</v>
      </c>
      <c r="G344" s="287">
        <f>392.34+236.73+2144.93+4940.43+62.15+2603</f>
        <v>10379.58</v>
      </c>
      <c r="H344" s="235"/>
      <c r="I344" s="256">
        <f t="shared" si="94"/>
        <v>305108.29000000004</v>
      </c>
      <c r="J344" s="21"/>
      <c r="K344" s="7"/>
      <c r="L344" s="65"/>
      <c r="M344" s="212"/>
      <c r="N344" s="7"/>
      <c r="O344" s="18"/>
      <c r="P344" s="72"/>
      <c r="Q344" s="70"/>
    </row>
    <row r="345" spans="1:17" ht="12.75">
      <c r="A345" s="30" t="s">
        <v>189</v>
      </c>
      <c r="B345" s="88"/>
      <c r="C345" s="136">
        <v>70970</v>
      </c>
      <c r="D345" s="115">
        <f>2785.56+1964.29+16.4+1012.1+24686.08+2900.87-25341+200+2663.24+4000+400+48.79+2011.13</f>
        <v>17347.460000000003</v>
      </c>
      <c r="E345" s="236">
        <v>-32.67</v>
      </c>
      <c r="F345" s="274">
        <f t="shared" si="93"/>
        <v>88284.79000000001</v>
      </c>
      <c r="G345" s="287">
        <f>1525.85+2760.02+2355.48+3533.22+128.24+5000.32+267+2930+545.17+2605.02-1166.33+4649.7+6414.07+448.87+36.81+17.24+3986.74+8573.55</f>
        <v>44610.97</v>
      </c>
      <c r="H345" s="235"/>
      <c r="I345" s="256">
        <f t="shared" si="94"/>
        <v>132895.76</v>
      </c>
      <c r="J345" s="21"/>
      <c r="K345" s="7"/>
      <c r="L345" s="65"/>
      <c r="M345" s="212"/>
      <c r="N345" s="7"/>
      <c r="O345" s="18"/>
      <c r="P345" s="72"/>
      <c r="Q345" s="70"/>
    </row>
    <row r="346" spans="1:17" ht="12.75">
      <c r="A346" s="30" t="s">
        <v>196</v>
      </c>
      <c r="B346" s="88"/>
      <c r="C346" s="136">
        <v>5112</v>
      </c>
      <c r="D346" s="115">
        <f>28155.98+861.34+4000</f>
        <v>33017.32</v>
      </c>
      <c r="E346" s="236"/>
      <c r="F346" s="274">
        <f t="shared" si="93"/>
        <v>38129.32</v>
      </c>
      <c r="G346" s="287"/>
      <c r="H346" s="235"/>
      <c r="I346" s="256">
        <f t="shared" si="94"/>
        <v>38129.32</v>
      </c>
      <c r="J346" s="21"/>
      <c r="K346" s="7"/>
      <c r="L346" s="65"/>
      <c r="M346" s="212"/>
      <c r="N346" s="7"/>
      <c r="O346" s="18"/>
      <c r="P346" s="72"/>
      <c r="Q346" s="70"/>
    </row>
    <row r="347" spans="1:17" ht="12.75">
      <c r="A347" s="30" t="s">
        <v>208</v>
      </c>
      <c r="B347" s="88"/>
      <c r="C347" s="136">
        <v>51388</v>
      </c>
      <c r="D347" s="115">
        <f>27.78+24476.16-3000-4295-5014-11260</f>
        <v>934.9399999999987</v>
      </c>
      <c r="E347" s="236"/>
      <c r="F347" s="274">
        <f t="shared" si="93"/>
        <v>52322.94</v>
      </c>
      <c r="G347" s="287">
        <f>350-4630+752.84</f>
        <v>-3527.16</v>
      </c>
      <c r="H347" s="235"/>
      <c r="I347" s="256">
        <f t="shared" si="94"/>
        <v>48795.78</v>
      </c>
      <c r="J347" s="21"/>
      <c r="K347" s="7"/>
      <c r="L347" s="65"/>
      <c r="M347" s="212"/>
      <c r="N347" s="7"/>
      <c r="O347" s="18"/>
      <c r="P347" s="72"/>
      <c r="Q347" s="70"/>
    </row>
    <row r="348" spans="1:17" ht="12.75">
      <c r="A348" s="30" t="s">
        <v>190</v>
      </c>
      <c r="B348" s="88"/>
      <c r="C348" s="136">
        <v>4480</v>
      </c>
      <c r="D348" s="104">
        <f>30457.95+214.56+3157.39+6000</f>
        <v>39829.9</v>
      </c>
      <c r="E348" s="236"/>
      <c r="F348" s="274">
        <f t="shared" si="93"/>
        <v>44309.9</v>
      </c>
      <c r="G348" s="287">
        <f>220</f>
        <v>220</v>
      </c>
      <c r="H348" s="235"/>
      <c r="I348" s="256">
        <f t="shared" si="94"/>
        <v>44529.9</v>
      </c>
      <c r="J348" s="21"/>
      <c r="K348" s="7"/>
      <c r="L348" s="65"/>
      <c r="M348" s="212"/>
      <c r="N348" s="7"/>
      <c r="O348" s="18"/>
      <c r="P348" s="72"/>
      <c r="Q348" s="70"/>
    </row>
    <row r="349" spans="1:17" ht="12.75">
      <c r="A349" s="30" t="s">
        <v>272</v>
      </c>
      <c r="B349" s="88">
        <v>2088</v>
      </c>
      <c r="C349" s="136"/>
      <c r="D349" s="104">
        <f>70948.69</f>
        <v>70948.69</v>
      </c>
      <c r="E349" s="236"/>
      <c r="F349" s="274">
        <f t="shared" si="93"/>
        <v>70948.69</v>
      </c>
      <c r="G349" s="287">
        <f>12284.06+17096.88+3934.39+1706.91+20683.32+18227.47+23024.59</f>
        <v>96957.62</v>
      </c>
      <c r="H349" s="235"/>
      <c r="I349" s="256">
        <f t="shared" si="94"/>
        <v>167906.31</v>
      </c>
      <c r="J349" s="21"/>
      <c r="K349" s="7"/>
      <c r="L349" s="65"/>
      <c r="M349" s="212"/>
      <c r="N349" s="7"/>
      <c r="O349" s="18"/>
      <c r="P349" s="72"/>
      <c r="Q349" s="70"/>
    </row>
    <row r="350" spans="1:17" ht="12.75">
      <c r="A350" s="30" t="s">
        <v>273</v>
      </c>
      <c r="B350" s="88">
        <v>2077</v>
      </c>
      <c r="C350" s="136">
        <v>7033.9</v>
      </c>
      <c r="D350" s="104">
        <f>-1671.34-27.78-9.84+115737.11-999+5014+11260+25341-2663.24-120-1330-620-650+96.67</f>
        <v>149357.58000000002</v>
      </c>
      <c r="E350" s="236"/>
      <c r="F350" s="274">
        <f t="shared" si="93"/>
        <v>156391.48</v>
      </c>
      <c r="G350" s="287">
        <f>-3533.22-720.65-327.1-1563.01+450+1166.33-745.72-3074.02-1290.71-269.32-22.09</f>
        <v>-9929.510000000002</v>
      </c>
      <c r="H350" s="235"/>
      <c r="I350" s="256">
        <f t="shared" si="94"/>
        <v>146461.97</v>
      </c>
      <c r="J350" s="21"/>
      <c r="K350" s="7"/>
      <c r="L350" s="65"/>
      <c r="M350" s="212"/>
      <c r="N350" s="7"/>
      <c r="O350" s="18"/>
      <c r="P350" s="72"/>
      <c r="Q350" s="70"/>
    </row>
    <row r="351" spans="1:17" ht="13.5" thickBot="1">
      <c r="A351" s="135" t="s">
        <v>274</v>
      </c>
      <c r="B351" s="133">
        <v>2099</v>
      </c>
      <c r="C351" s="166"/>
      <c r="D351" s="134">
        <f>-1114.22-293.65-1964.29-6.56+198823.65+0.98+342.09-13.59-1012.1-2900.87-1600-4840+350+94000-2011.13</f>
        <v>277760.31</v>
      </c>
      <c r="E351" s="268">
        <v>-2622.4</v>
      </c>
      <c r="F351" s="280">
        <f t="shared" si="93"/>
        <v>275137.91</v>
      </c>
      <c r="G351" s="315">
        <f>36.59+39.76-1525.85-2760.02-2355.48-128.24-5000.32+18.3+5884.47+2843.17-764.85+40000-218.07-1042.01-6711.47-4649.7-2049.34-179.55-14.72-17.24-3986.74-752.84-8573.55</f>
        <v>8092.299999999996</v>
      </c>
      <c r="H351" s="316"/>
      <c r="I351" s="317">
        <f t="shared" si="94"/>
        <v>283230.20999999996</v>
      </c>
      <c r="J351" s="21"/>
      <c r="K351" s="7"/>
      <c r="L351" s="65"/>
      <c r="M351" s="212"/>
      <c r="N351" s="7"/>
      <c r="O351" s="18"/>
      <c r="P351" s="72"/>
      <c r="Q351" s="70"/>
    </row>
    <row r="352" spans="1:17" ht="12.75">
      <c r="A352" s="23" t="s">
        <v>106</v>
      </c>
      <c r="B352" s="92"/>
      <c r="C352" s="143">
        <f>C353+C374</f>
        <v>228860</v>
      </c>
      <c r="D352" s="103">
        <f aca="true" t="shared" si="96" ref="D352:Q352">D353+D374</f>
        <v>934685.3900000001</v>
      </c>
      <c r="E352" s="233">
        <f t="shared" si="96"/>
        <v>0</v>
      </c>
      <c r="F352" s="254">
        <f t="shared" si="96"/>
        <v>1163545.39</v>
      </c>
      <c r="G352" s="286">
        <f t="shared" si="96"/>
        <v>1875.59</v>
      </c>
      <c r="H352" s="233">
        <f t="shared" si="96"/>
        <v>0</v>
      </c>
      <c r="I352" s="257">
        <f t="shared" si="96"/>
        <v>1165420.98</v>
      </c>
      <c r="J352" s="143">
        <f t="shared" si="96"/>
        <v>0</v>
      </c>
      <c r="K352" s="103">
        <f t="shared" si="96"/>
        <v>0</v>
      </c>
      <c r="L352" s="158">
        <f t="shared" si="96"/>
        <v>211928.34</v>
      </c>
      <c r="M352" s="128">
        <f t="shared" si="96"/>
        <v>0</v>
      </c>
      <c r="N352" s="102">
        <f t="shared" si="96"/>
        <v>0</v>
      </c>
      <c r="O352" s="102">
        <f t="shared" si="96"/>
        <v>211928.34</v>
      </c>
      <c r="P352" s="102">
        <f t="shared" si="96"/>
        <v>0</v>
      </c>
      <c r="Q352" s="102">
        <f t="shared" si="96"/>
        <v>211928.34</v>
      </c>
    </row>
    <row r="353" spans="1:17" ht="12.75">
      <c r="A353" s="32" t="s">
        <v>55</v>
      </c>
      <c r="B353" s="92"/>
      <c r="C353" s="163">
        <f>SUM(C355:C373)</f>
        <v>228860</v>
      </c>
      <c r="D353" s="111">
        <f aca="true" t="shared" si="97" ref="D353:Q353">SUM(D355:D373)</f>
        <v>931185.3900000001</v>
      </c>
      <c r="E353" s="241">
        <f t="shared" si="97"/>
        <v>0</v>
      </c>
      <c r="F353" s="277">
        <f t="shared" si="97"/>
        <v>1160045.39</v>
      </c>
      <c r="G353" s="291">
        <f t="shared" si="97"/>
        <v>1875.59</v>
      </c>
      <c r="H353" s="241">
        <f t="shared" si="97"/>
        <v>0</v>
      </c>
      <c r="I353" s="260">
        <f t="shared" si="97"/>
        <v>1161920.98</v>
      </c>
      <c r="J353" s="163">
        <f t="shared" si="97"/>
        <v>0</v>
      </c>
      <c r="K353" s="111">
        <f t="shared" si="97"/>
        <v>0</v>
      </c>
      <c r="L353" s="183">
        <f t="shared" si="97"/>
        <v>208428.34</v>
      </c>
      <c r="M353" s="154">
        <f t="shared" si="97"/>
        <v>0</v>
      </c>
      <c r="N353" s="110">
        <f t="shared" si="97"/>
        <v>0</v>
      </c>
      <c r="O353" s="110">
        <f t="shared" si="97"/>
        <v>208428.34</v>
      </c>
      <c r="P353" s="110">
        <f t="shared" si="97"/>
        <v>0</v>
      </c>
      <c r="Q353" s="110">
        <f t="shared" si="97"/>
        <v>208428.34</v>
      </c>
    </row>
    <row r="354" spans="1:17" ht="12.75">
      <c r="A354" s="28" t="s">
        <v>27</v>
      </c>
      <c r="B354" s="88"/>
      <c r="C354" s="136"/>
      <c r="D354" s="104"/>
      <c r="E354" s="236"/>
      <c r="F354" s="274"/>
      <c r="G354" s="287"/>
      <c r="H354" s="235"/>
      <c r="I354" s="256"/>
      <c r="J354" s="21"/>
      <c r="K354" s="7"/>
      <c r="L354" s="65"/>
      <c r="M354" s="127"/>
      <c r="N354" s="7"/>
      <c r="O354" s="18"/>
      <c r="P354" s="72"/>
      <c r="Q354" s="70"/>
    </row>
    <row r="355" spans="1:17" ht="12.75">
      <c r="A355" s="39" t="s">
        <v>107</v>
      </c>
      <c r="B355" s="94"/>
      <c r="C355" s="136">
        <v>176000</v>
      </c>
      <c r="D355" s="104"/>
      <c r="E355" s="236"/>
      <c r="F355" s="274">
        <f aca="true" t="shared" si="98" ref="F355:F373">C355+D355+E355</f>
        <v>176000</v>
      </c>
      <c r="G355" s="287"/>
      <c r="H355" s="235"/>
      <c r="I355" s="256">
        <f>F355+G355+H355</f>
        <v>176000</v>
      </c>
      <c r="J355" s="21"/>
      <c r="K355" s="7"/>
      <c r="L355" s="65">
        <f>I355+J355+K355</f>
        <v>176000</v>
      </c>
      <c r="M355" s="127"/>
      <c r="N355" s="7"/>
      <c r="O355" s="18">
        <f>L355+M355+N355</f>
        <v>176000</v>
      </c>
      <c r="P355" s="72"/>
      <c r="Q355" s="70">
        <f>O355+P355</f>
        <v>176000</v>
      </c>
    </row>
    <row r="356" spans="1:17" ht="12.75" hidden="1">
      <c r="A356" s="89" t="s">
        <v>234</v>
      </c>
      <c r="B356" s="94"/>
      <c r="C356" s="136"/>
      <c r="D356" s="104"/>
      <c r="E356" s="236"/>
      <c r="F356" s="274">
        <f t="shared" si="98"/>
        <v>0</v>
      </c>
      <c r="G356" s="287"/>
      <c r="H356" s="235"/>
      <c r="I356" s="256">
        <f aca="true" t="shared" si="99" ref="I356:I370">F356+G356+H356</f>
        <v>0</v>
      </c>
      <c r="J356" s="21"/>
      <c r="K356" s="7"/>
      <c r="L356" s="65"/>
      <c r="M356" s="127"/>
      <c r="N356" s="7"/>
      <c r="O356" s="18"/>
      <c r="P356" s="72"/>
      <c r="Q356" s="70"/>
    </row>
    <row r="357" spans="1:17" ht="12.75" hidden="1">
      <c r="A357" s="26" t="s">
        <v>160</v>
      </c>
      <c r="B357" s="88"/>
      <c r="C357" s="136"/>
      <c r="D357" s="104"/>
      <c r="E357" s="236"/>
      <c r="F357" s="274">
        <f t="shared" si="98"/>
        <v>0</v>
      </c>
      <c r="G357" s="287"/>
      <c r="H357" s="235"/>
      <c r="I357" s="256">
        <f t="shared" si="99"/>
        <v>0</v>
      </c>
      <c r="J357" s="21"/>
      <c r="K357" s="7"/>
      <c r="L357" s="65">
        <f aca="true" t="shared" si="100" ref="L357:L373">I357+J357+K357</f>
        <v>0</v>
      </c>
      <c r="M357" s="127"/>
      <c r="N357" s="7"/>
      <c r="O357" s="18">
        <f aca="true" t="shared" si="101" ref="O357:O373">L357+M357+N357</f>
        <v>0</v>
      </c>
      <c r="P357" s="72"/>
      <c r="Q357" s="70">
        <f>O357+P357</f>
        <v>0</v>
      </c>
    </row>
    <row r="358" spans="1:17" ht="12.75">
      <c r="A358" s="26" t="s">
        <v>177</v>
      </c>
      <c r="B358" s="88"/>
      <c r="C358" s="136">
        <v>42500</v>
      </c>
      <c r="D358" s="104"/>
      <c r="E358" s="236"/>
      <c r="F358" s="274">
        <f t="shared" si="98"/>
        <v>42500</v>
      </c>
      <c r="G358" s="287"/>
      <c r="H358" s="235"/>
      <c r="I358" s="256">
        <f t="shared" si="99"/>
        <v>42500</v>
      </c>
      <c r="J358" s="21"/>
      <c r="K358" s="7"/>
      <c r="L358" s="65"/>
      <c r="M358" s="127"/>
      <c r="N358" s="7"/>
      <c r="O358" s="18"/>
      <c r="P358" s="72"/>
      <c r="Q358" s="70"/>
    </row>
    <row r="359" spans="1:17" ht="12.75">
      <c r="A359" s="26" t="s">
        <v>57</v>
      </c>
      <c r="B359" s="88"/>
      <c r="C359" s="136">
        <v>10360</v>
      </c>
      <c r="D359" s="104">
        <f>30+508.41</f>
        <v>538.4100000000001</v>
      </c>
      <c r="E359" s="236"/>
      <c r="F359" s="274">
        <f t="shared" si="98"/>
        <v>10898.41</v>
      </c>
      <c r="G359" s="287"/>
      <c r="H359" s="235"/>
      <c r="I359" s="256">
        <f t="shared" si="99"/>
        <v>10898.41</v>
      </c>
      <c r="J359" s="21"/>
      <c r="K359" s="7"/>
      <c r="L359" s="65">
        <f t="shared" si="100"/>
        <v>10898.41</v>
      </c>
      <c r="M359" s="127"/>
      <c r="N359" s="7"/>
      <c r="O359" s="18">
        <f t="shared" si="101"/>
        <v>10898.41</v>
      </c>
      <c r="P359" s="72"/>
      <c r="Q359" s="70">
        <f>O359+P359</f>
        <v>10898.41</v>
      </c>
    </row>
    <row r="360" spans="1:17" ht="12.75" hidden="1">
      <c r="A360" s="26" t="s">
        <v>71</v>
      </c>
      <c r="B360" s="88"/>
      <c r="C360" s="136"/>
      <c r="D360" s="104"/>
      <c r="E360" s="236"/>
      <c r="F360" s="274">
        <f t="shared" si="98"/>
        <v>0</v>
      </c>
      <c r="G360" s="287"/>
      <c r="H360" s="235"/>
      <c r="I360" s="256">
        <f t="shared" si="99"/>
        <v>0</v>
      </c>
      <c r="J360" s="21"/>
      <c r="K360" s="7"/>
      <c r="L360" s="65">
        <f t="shared" si="100"/>
        <v>0</v>
      </c>
      <c r="M360" s="127"/>
      <c r="N360" s="7"/>
      <c r="O360" s="18">
        <f t="shared" si="101"/>
        <v>0</v>
      </c>
      <c r="P360" s="72"/>
      <c r="Q360" s="70">
        <f>O360+P360</f>
        <v>0</v>
      </c>
    </row>
    <row r="361" spans="1:17" ht="12.75">
      <c r="A361" s="26" t="s">
        <v>321</v>
      </c>
      <c r="B361" s="88">
        <v>13013</v>
      </c>
      <c r="C361" s="136"/>
      <c r="D361" s="104">
        <f>566.83</f>
        <v>566.83</v>
      </c>
      <c r="E361" s="236"/>
      <c r="F361" s="274">
        <f t="shared" si="98"/>
        <v>566.83</v>
      </c>
      <c r="G361" s="287">
        <f>570+631.78+585.81</f>
        <v>1787.59</v>
      </c>
      <c r="H361" s="235"/>
      <c r="I361" s="256">
        <f t="shared" si="99"/>
        <v>2354.42</v>
      </c>
      <c r="J361" s="21"/>
      <c r="K361" s="7"/>
      <c r="L361" s="65"/>
      <c r="M361" s="127"/>
      <c r="N361" s="7"/>
      <c r="O361" s="18"/>
      <c r="P361" s="72"/>
      <c r="Q361" s="70"/>
    </row>
    <row r="362" spans="1:17" ht="12.75">
      <c r="A362" s="89" t="s">
        <v>306</v>
      </c>
      <c r="B362" s="88">
        <v>2043</v>
      </c>
      <c r="C362" s="136"/>
      <c r="D362" s="104">
        <f>1452.22</f>
        <v>1452.22</v>
      </c>
      <c r="E362" s="236"/>
      <c r="F362" s="274">
        <f t="shared" si="98"/>
        <v>1452.22</v>
      </c>
      <c r="G362" s="287"/>
      <c r="H362" s="235"/>
      <c r="I362" s="256">
        <f t="shared" si="99"/>
        <v>1452.22</v>
      </c>
      <c r="J362" s="21"/>
      <c r="K362" s="7"/>
      <c r="L362" s="65"/>
      <c r="M362" s="127"/>
      <c r="N362" s="7"/>
      <c r="O362" s="18"/>
      <c r="P362" s="72"/>
      <c r="Q362" s="70"/>
    </row>
    <row r="363" spans="1:17" ht="12.75">
      <c r="A363" s="26" t="s">
        <v>307</v>
      </c>
      <c r="B363" s="88">
        <v>2050</v>
      </c>
      <c r="C363" s="136"/>
      <c r="D363" s="104">
        <f>36714.98+825.31</f>
        <v>37540.29</v>
      </c>
      <c r="E363" s="236"/>
      <c r="F363" s="274">
        <f t="shared" si="98"/>
        <v>37540.29</v>
      </c>
      <c r="G363" s="287"/>
      <c r="H363" s="235"/>
      <c r="I363" s="256">
        <f t="shared" si="99"/>
        <v>37540.29</v>
      </c>
      <c r="J363" s="21"/>
      <c r="K363" s="7"/>
      <c r="L363" s="65"/>
      <c r="M363" s="127"/>
      <c r="N363" s="7"/>
      <c r="O363" s="18"/>
      <c r="P363" s="72"/>
      <c r="Q363" s="70"/>
    </row>
    <row r="364" spans="1:17" ht="12.75">
      <c r="A364" s="26" t="s">
        <v>279</v>
      </c>
      <c r="B364" s="88">
        <v>2050</v>
      </c>
      <c r="C364" s="136"/>
      <c r="D364" s="104">
        <f>57358.39</f>
        <v>57358.39</v>
      </c>
      <c r="E364" s="236"/>
      <c r="F364" s="274">
        <f t="shared" si="98"/>
        <v>57358.39</v>
      </c>
      <c r="G364" s="287"/>
      <c r="H364" s="235"/>
      <c r="I364" s="256">
        <f t="shared" si="99"/>
        <v>57358.39</v>
      </c>
      <c r="J364" s="21"/>
      <c r="K364" s="7"/>
      <c r="L364" s="65"/>
      <c r="M364" s="127"/>
      <c r="N364" s="7"/>
      <c r="O364" s="18"/>
      <c r="P364" s="72"/>
      <c r="Q364" s="70"/>
    </row>
    <row r="365" spans="1:17" ht="12.75">
      <c r="A365" s="26" t="s">
        <v>322</v>
      </c>
      <c r="B365" s="88">
        <v>2073</v>
      </c>
      <c r="C365" s="136"/>
      <c r="D365" s="104">
        <f>29847.76</f>
        <v>29847.76</v>
      </c>
      <c r="E365" s="236"/>
      <c r="F365" s="274">
        <f t="shared" si="98"/>
        <v>29847.76</v>
      </c>
      <c r="G365" s="287"/>
      <c r="H365" s="235"/>
      <c r="I365" s="256">
        <f t="shared" si="99"/>
        <v>29847.76</v>
      </c>
      <c r="J365" s="21"/>
      <c r="K365" s="7"/>
      <c r="L365" s="65"/>
      <c r="M365" s="127"/>
      <c r="N365" s="7"/>
      <c r="O365" s="18"/>
      <c r="P365" s="72"/>
      <c r="Q365" s="70"/>
    </row>
    <row r="366" spans="1:17" ht="12.75">
      <c r="A366" s="35" t="s">
        <v>308</v>
      </c>
      <c r="B366" s="88">
        <v>2044</v>
      </c>
      <c r="C366" s="136"/>
      <c r="D366" s="104">
        <f>315.76</f>
        <v>315.76</v>
      </c>
      <c r="E366" s="236"/>
      <c r="F366" s="274">
        <f t="shared" si="98"/>
        <v>315.76</v>
      </c>
      <c r="G366" s="287"/>
      <c r="H366" s="235"/>
      <c r="I366" s="256">
        <f t="shared" si="99"/>
        <v>315.76</v>
      </c>
      <c r="J366" s="21"/>
      <c r="K366" s="7"/>
      <c r="L366" s="65"/>
      <c r="M366" s="127"/>
      <c r="N366" s="7"/>
      <c r="O366" s="18"/>
      <c r="P366" s="72"/>
      <c r="Q366" s="70"/>
    </row>
    <row r="367" spans="1:17" ht="12.75" hidden="1">
      <c r="A367" s="35" t="s">
        <v>264</v>
      </c>
      <c r="B367" s="88">
        <v>2063</v>
      </c>
      <c r="C367" s="136"/>
      <c r="D367" s="104"/>
      <c r="E367" s="236"/>
      <c r="F367" s="274">
        <f t="shared" si="98"/>
        <v>0</v>
      </c>
      <c r="G367" s="287"/>
      <c r="H367" s="235"/>
      <c r="I367" s="256">
        <f t="shared" si="99"/>
        <v>0</v>
      </c>
      <c r="J367" s="21"/>
      <c r="K367" s="7"/>
      <c r="L367" s="65">
        <f t="shared" si="100"/>
        <v>0</v>
      </c>
      <c r="M367" s="127"/>
      <c r="N367" s="7"/>
      <c r="O367" s="18">
        <f t="shared" si="101"/>
        <v>0</v>
      </c>
      <c r="P367" s="72"/>
      <c r="Q367" s="70">
        <f aca="true" t="shared" si="102" ref="Q367:Q373">O367+P367</f>
        <v>0</v>
      </c>
    </row>
    <row r="368" spans="1:17" ht="12.75" hidden="1">
      <c r="A368" s="35" t="s">
        <v>265</v>
      </c>
      <c r="B368" s="88">
        <v>2048</v>
      </c>
      <c r="C368" s="136"/>
      <c r="D368" s="104"/>
      <c r="E368" s="236"/>
      <c r="F368" s="274">
        <f t="shared" si="98"/>
        <v>0</v>
      </c>
      <c r="G368" s="287"/>
      <c r="H368" s="235"/>
      <c r="I368" s="256">
        <f t="shared" si="99"/>
        <v>0</v>
      </c>
      <c r="J368" s="21"/>
      <c r="K368" s="7"/>
      <c r="L368" s="65"/>
      <c r="M368" s="127"/>
      <c r="N368" s="7"/>
      <c r="O368" s="18"/>
      <c r="P368" s="72"/>
      <c r="Q368" s="70"/>
    </row>
    <row r="369" spans="1:17" ht="12.75">
      <c r="A369" s="35" t="s">
        <v>229</v>
      </c>
      <c r="B369" s="88">
        <v>13305</v>
      </c>
      <c r="C369" s="136"/>
      <c r="D369" s="104">
        <f>782123.8</f>
        <v>782123.8</v>
      </c>
      <c r="E369" s="236"/>
      <c r="F369" s="274">
        <f t="shared" si="98"/>
        <v>782123.8</v>
      </c>
      <c r="G369" s="287"/>
      <c r="H369" s="235"/>
      <c r="I369" s="256">
        <f t="shared" si="99"/>
        <v>782123.8</v>
      </c>
      <c r="J369" s="21"/>
      <c r="K369" s="7"/>
      <c r="L369" s="65"/>
      <c r="M369" s="127"/>
      <c r="N369" s="7"/>
      <c r="O369" s="18"/>
      <c r="P369" s="72"/>
      <c r="Q369" s="70"/>
    </row>
    <row r="370" spans="1:17" ht="12.75">
      <c r="A370" s="26" t="s">
        <v>108</v>
      </c>
      <c r="B370" s="88">
        <v>13307</v>
      </c>
      <c r="C370" s="136"/>
      <c r="D370" s="104">
        <f>7000</f>
        <v>7000</v>
      </c>
      <c r="E370" s="236"/>
      <c r="F370" s="274">
        <f t="shared" si="98"/>
        <v>7000</v>
      </c>
      <c r="G370" s="287"/>
      <c r="H370" s="235"/>
      <c r="I370" s="256">
        <f t="shared" si="99"/>
        <v>7000</v>
      </c>
      <c r="J370" s="21"/>
      <c r="K370" s="7"/>
      <c r="L370" s="65">
        <f t="shared" si="100"/>
        <v>7000</v>
      </c>
      <c r="M370" s="127"/>
      <c r="N370" s="7"/>
      <c r="O370" s="18">
        <f t="shared" si="101"/>
        <v>7000</v>
      </c>
      <c r="P370" s="72"/>
      <c r="Q370" s="70">
        <f t="shared" si="102"/>
        <v>7000</v>
      </c>
    </row>
    <row r="371" spans="1:17" ht="12.75" hidden="1">
      <c r="A371" s="26" t="s">
        <v>159</v>
      </c>
      <c r="B371" s="88">
        <v>14032</v>
      </c>
      <c r="C371" s="136"/>
      <c r="D371" s="104"/>
      <c r="E371" s="236"/>
      <c r="F371" s="274">
        <f t="shared" si="98"/>
        <v>0</v>
      </c>
      <c r="G371" s="287"/>
      <c r="H371" s="235"/>
      <c r="I371" s="256">
        <f>F371+G371+H371</f>
        <v>0</v>
      </c>
      <c r="J371" s="21"/>
      <c r="K371" s="7"/>
      <c r="L371" s="65">
        <f t="shared" si="100"/>
        <v>0</v>
      </c>
      <c r="M371" s="127"/>
      <c r="N371" s="7"/>
      <c r="O371" s="18">
        <f t="shared" si="101"/>
        <v>0</v>
      </c>
      <c r="P371" s="72"/>
      <c r="Q371" s="70">
        <f t="shared" si="102"/>
        <v>0</v>
      </c>
    </row>
    <row r="372" spans="1:17" ht="12.75">
      <c r="A372" s="35" t="s">
        <v>165</v>
      </c>
      <c r="B372" s="88">
        <v>4359</v>
      </c>
      <c r="C372" s="136"/>
      <c r="D372" s="104"/>
      <c r="E372" s="236"/>
      <c r="F372" s="274">
        <f t="shared" si="98"/>
        <v>0</v>
      </c>
      <c r="G372" s="287">
        <f>88</f>
        <v>88</v>
      </c>
      <c r="H372" s="235"/>
      <c r="I372" s="256">
        <f>F372+G372+H372</f>
        <v>88</v>
      </c>
      <c r="J372" s="21"/>
      <c r="K372" s="7"/>
      <c r="L372" s="65">
        <f t="shared" si="100"/>
        <v>88</v>
      </c>
      <c r="M372" s="127"/>
      <c r="N372" s="7"/>
      <c r="O372" s="18">
        <f t="shared" si="101"/>
        <v>88</v>
      </c>
      <c r="P372" s="72"/>
      <c r="Q372" s="70">
        <f t="shared" si="102"/>
        <v>88</v>
      </c>
    </row>
    <row r="373" spans="1:17" ht="12.75">
      <c r="A373" s="26" t="s">
        <v>86</v>
      </c>
      <c r="B373" s="88"/>
      <c r="C373" s="136"/>
      <c r="D373" s="104">
        <f>9250+1200+85.48+294+1969.01+1600+43.44</f>
        <v>14441.93</v>
      </c>
      <c r="E373" s="236"/>
      <c r="F373" s="274">
        <f t="shared" si="98"/>
        <v>14441.93</v>
      </c>
      <c r="G373" s="287"/>
      <c r="H373" s="235"/>
      <c r="I373" s="256">
        <f>F373+G373+H373</f>
        <v>14441.93</v>
      </c>
      <c r="J373" s="21"/>
      <c r="K373" s="7"/>
      <c r="L373" s="65">
        <f t="shared" si="100"/>
        <v>14441.93</v>
      </c>
      <c r="M373" s="127"/>
      <c r="N373" s="7"/>
      <c r="O373" s="18">
        <f t="shared" si="101"/>
        <v>14441.93</v>
      </c>
      <c r="P373" s="72"/>
      <c r="Q373" s="70">
        <f t="shared" si="102"/>
        <v>14441.93</v>
      </c>
    </row>
    <row r="374" spans="1:17" ht="12.75">
      <c r="A374" s="32" t="s">
        <v>60</v>
      </c>
      <c r="B374" s="92"/>
      <c r="C374" s="163">
        <f>SUM(C376:C378)</f>
        <v>0</v>
      </c>
      <c r="D374" s="111">
        <f aca="true" t="shared" si="103" ref="D374:Q374">SUM(D376:D378)</f>
        <v>3500</v>
      </c>
      <c r="E374" s="241">
        <f t="shared" si="103"/>
        <v>0</v>
      </c>
      <c r="F374" s="277">
        <f t="shared" si="103"/>
        <v>3500</v>
      </c>
      <c r="G374" s="291">
        <f t="shared" si="103"/>
        <v>0</v>
      </c>
      <c r="H374" s="241">
        <f t="shared" si="103"/>
        <v>0</v>
      </c>
      <c r="I374" s="260">
        <f t="shared" si="103"/>
        <v>3500</v>
      </c>
      <c r="J374" s="163">
        <f t="shared" si="103"/>
        <v>0</v>
      </c>
      <c r="K374" s="111">
        <f t="shared" si="103"/>
        <v>0</v>
      </c>
      <c r="L374" s="183">
        <f t="shared" si="103"/>
        <v>3500</v>
      </c>
      <c r="M374" s="154">
        <f t="shared" si="103"/>
        <v>0</v>
      </c>
      <c r="N374" s="110">
        <f t="shared" si="103"/>
        <v>0</v>
      </c>
      <c r="O374" s="110">
        <f t="shared" si="103"/>
        <v>3500</v>
      </c>
      <c r="P374" s="110">
        <f t="shared" si="103"/>
        <v>0</v>
      </c>
      <c r="Q374" s="110">
        <f t="shared" si="103"/>
        <v>3500</v>
      </c>
    </row>
    <row r="375" spans="1:17" ht="12.75">
      <c r="A375" s="28" t="s">
        <v>27</v>
      </c>
      <c r="B375" s="88"/>
      <c r="C375" s="136"/>
      <c r="D375" s="104"/>
      <c r="E375" s="236"/>
      <c r="F375" s="274"/>
      <c r="G375" s="287"/>
      <c r="H375" s="235"/>
      <c r="I375" s="256"/>
      <c r="J375" s="21"/>
      <c r="K375" s="7"/>
      <c r="L375" s="65"/>
      <c r="M375" s="127"/>
      <c r="N375" s="7"/>
      <c r="O375" s="18"/>
      <c r="P375" s="72"/>
      <c r="Q375" s="70"/>
    </row>
    <row r="376" spans="1:17" ht="12.75" hidden="1">
      <c r="A376" s="26" t="s">
        <v>99</v>
      </c>
      <c r="B376" s="88"/>
      <c r="C376" s="136"/>
      <c r="D376" s="104"/>
      <c r="E376" s="236"/>
      <c r="F376" s="274">
        <f>C376+D376+E376</f>
        <v>0</v>
      </c>
      <c r="G376" s="287"/>
      <c r="H376" s="235"/>
      <c r="I376" s="256">
        <f>F376+G376+H376</f>
        <v>0</v>
      </c>
      <c r="J376" s="21"/>
      <c r="K376" s="7"/>
      <c r="L376" s="65">
        <f>I376+J376+K376</f>
        <v>0</v>
      </c>
      <c r="M376" s="127"/>
      <c r="N376" s="7"/>
      <c r="O376" s="18">
        <f>L376+M376+N376</f>
        <v>0</v>
      </c>
      <c r="P376" s="72"/>
      <c r="Q376" s="70">
        <f>O376+P376</f>
        <v>0</v>
      </c>
    </row>
    <row r="377" spans="1:17" ht="12.75">
      <c r="A377" s="29" t="s">
        <v>61</v>
      </c>
      <c r="B377" s="91"/>
      <c r="C377" s="164"/>
      <c r="D377" s="112">
        <f>3500</f>
        <v>3500</v>
      </c>
      <c r="E377" s="267"/>
      <c r="F377" s="279">
        <f>C377+D377+E377</f>
        <v>3500</v>
      </c>
      <c r="G377" s="294"/>
      <c r="H377" s="243"/>
      <c r="I377" s="262">
        <f>F377+G377+H377</f>
        <v>3500</v>
      </c>
      <c r="J377" s="21"/>
      <c r="K377" s="7"/>
      <c r="L377" s="65">
        <f>I377+J377+K377</f>
        <v>3500</v>
      </c>
      <c r="M377" s="127"/>
      <c r="N377" s="7"/>
      <c r="O377" s="18">
        <f>L377+M377+N377</f>
        <v>3500</v>
      </c>
      <c r="P377" s="72"/>
      <c r="Q377" s="70">
        <f>O377+P377</f>
        <v>3500</v>
      </c>
    </row>
    <row r="378" spans="1:17" ht="12.75" hidden="1">
      <c r="A378" s="29" t="s">
        <v>86</v>
      </c>
      <c r="B378" s="91"/>
      <c r="C378" s="164"/>
      <c r="D378" s="112">
        <f>342.09-342.09</f>
        <v>0</v>
      </c>
      <c r="E378" s="267"/>
      <c r="F378" s="279">
        <f>C378+D378+E378</f>
        <v>0</v>
      </c>
      <c r="G378" s="294"/>
      <c r="H378" s="243"/>
      <c r="I378" s="262">
        <f>F378+G378+H378</f>
        <v>0</v>
      </c>
      <c r="J378" s="21"/>
      <c r="K378" s="7"/>
      <c r="L378" s="65">
        <f>I378+J378+K378</f>
        <v>0</v>
      </c>
      <c r="M378" s="127"/>
      <c r="N378" s="7"/>
      <c r="O378" s="18">
        <f>L378+M378+N378</f>
        <v>0</v>
      </c>
      <c r="P378" s="72"/>
      <c r="Q378" s="70">
        <f>O378+P378</f>
        <v>0</v>
      </c>
    </row>
    <row r="379" spans="1:17" ht="12.75">
      <c r="A379" s="27" t="s">
        <v>204</v>
      </c>
      <c r="B379" s="92"/>
      <c r="C379" s="143">
        <f>C380+C392</f>
        <v>10860</v>
      </c>
      <c r="D379" s="103">
        <f aca="true" t="shared" si="104" ref="D379:Q379">D380+D392</f>
        <v>19685.129999999997</v>
      </c>
      <c r="E379" s="233">
        <f t="shared" si="104"/>
        <v>2622.4</v>
      </c>
      <c r="F379" s="254">
        <f t="shared" si="104"/>
        <v>33167.53</v>
      </c>
      <c r="G379" s="286">
        <f t="shared" si="104"/>
        <v>642.8699999999999</v>
      </c>
      <c r="H379" s="233">
        <f t="shared" si="104"/>
        <v>0</v>
      </c>
      <c r="I379" s="257">
        <f t="shared" si="104"/>
        <v>33810.4</v>
      </c>
      <c r="J379" s="143">
        <f t="shared" si="104"/>
        <v>0</v>
      </c>
      <c r="K379" s="103">
        <f t="shared" si="104"/>
        <v>0</v>
      </c>
      <c r="L379" s="158">
        <f t="shared" si="104"/>
        <v>32452.53</v>
      </c>
      <c r="M379" s="128">
        <f t="shared" si="104"/>
        <v>0</v>
      </c>
      <c r="N379" s="102">
        <f t="shared" si="104"/>
        <v>0</v>
      </c>
      <c r="O379" s="102">
        <f t="shared" si="104"/>
        <v>32452.53</v>
      </c>
      <c r="P379" s="102">
        <f t="shared" si="104"/>
        <v>0</v>
      </c>
      <c r="Q379" s="102">
        <f t="shared" si="104"/>
        <v>32452.53</v>
      </c>
    </row>
    <row r="380" spans="1:17" ht="12.75">
      <c r="A380" s="32" t="s">
        <v>55</v>
      </c>
      <c r="B380" s="92"/>
      <c r="C380" s="163">
        <f>SUM(C382:C391)</f>
        <v>9360</v>
      </c>
      <c r="D380" s="111">
        <f aca="true" t="shared" si="105" ref="D380:Q380">SUM(D382:D391)</f>
        <v>2249.85</v>
      </c>
      <c r="E380" s="241">
        <f t="shared" si="105"/>
        <v>2622.4</v>
      </c>
      <c r="F380" s="277">
        <f t="shared" si="105"/>
        <v>14232.25</v>
      </c>
      <c r="G380" s="291">
        <f t="shared" si="105"/>
        <v>1642.87</v>
      </c>
      <c r="H380" s="241">
        <f t="shared" si="105"/>
        <v>0</v>
      </c>
      <c r="I380" s="260">
        <f t="shared" si="105"/>
        <v>15875.12</v>
      </c>
      <c r="J380" s="163">
        <f t="shared" si="105"/>
        <v>0</v>
      </c>
      <c r="K380" s="111">
        <f t="shared" si="105"/>
        <v>0</v>
      </c>
      <c r="L380" s="183">
        <f t="shared" si="105"/>
        <v>14517.25</v>
      </c>
      <c r="M380" s="154">
        <f t="shared" si="105"/>
        <v>0</v>
      </c>
      <c r="N380" s="110">
        <f t="shared" si="105"/>
        <v>0</v>
      </c>
      <c r="O380" s="110">
        <f t="shared" si="105"/>
        <v>14517.25</v>
      </c>
      <c r="P380" s="110">
        <f t="shared" si="105"/>
        <v>0</v>
      </c>
      <c r="Q380" s="110">
        <f t="shared" si="105"/>
        <v>14517.25</v>
      </c>
    </row>
    <row r="381" spans="1:17" ht="12.75">
      <c r="A381" s="28" t="s">
        <v>27</v>
      </c>
      <c r="B381" s="88"/>
      <c r="C381" s="136"/>
      <c r="D381" s="104"/>
      <c r="E381" s="236"/>
      <c r="F381" s="254"/>
      <c r="G381" s="287"/>
      <c r="H381" s="235"/>
      <c r="I381" s="257"/>
      <c r="J381" s="21"/>
      <c r="K381" s="7"/>
      <c r="L381" s="61"/>
      <c r="M381" s="127"/>
      <c r="N381" s="7"/>
      <c r="O381" s="17"/>
      <c r="P381" s="72"/>
      <c r="Q381" s="70"/>
    </row>
    <row r="382" spans="1:17" ht="12.75">
      <c r="A382" s="26" t="s">
        <v>57</v>
      </c>
      <c r="B382" s="88"/>
      <c r="C382" s="136">
        <v>9360</v>
      </c>
      <c r="D382" s="104">
        <f>1857.7+70.1</f>
        <v>1927.8</v>
      </c>
      <c r="E382" s="236"/>
      <c r="F382" s="274">
        <f aca="true" t="shared" si="106" ref="F382:F391">C382+D382+E382</f>
        <v>11287.8</v>
      </c>
      <c r="G382" s="287">
        <f>435</f>
        <v>435</v>
      </c>
      <c r="H382" s="235"/>
      <c r="I382" s="256">
        <f>F382+G382+H382</f>
        <v>11722.8</v>
      </c>
      <c r="J382" s="21"/>
      <c r="K382" s="7"/>
      <c r="L382" s="65">
        <f>I382+J382+K382</f>
        <v>11722.8</v>
      </c>
      <c r="M382" s="127"/>
      <c r="N382" s="7"/>
      <c r="O382" s="18">
        <f>L382+M382+N382</f>
        <v>11722.8</v>
      </c>
      <c r="P382" s="72"/>
      <c r="Q382" s="70">
        <f>O382+P382</f>
        <v>11722.8</v>
      </c>
    </row>
    <row r="383" spans="1:17" ht="12.75" hidden="1">
      <c r="A383" s="30" t="s">
        <v>231</v>
      </c>
      <c r="B383" s="88"/>
      <c r="C383" s="136"/>
      <c r="D383" s="104"/>
      <c r="E383" s="236"/>
      <c r="F383" s="274">
        <f t="shared" si="106"/>
        <v>0</v>
      </c>
      <c r="G383" s="287"/>
      <c r="H383" s="235"/>
      <c r="I383" s="256">
        <f aca="true" t="shared" si="107" ref="I383:I391">F383+G383+H383</f>
        <v>0</v>
      </c>
      <c r="J383" s="21"/>
      <c r="K383" s="7"/>
      <c r="L383" s="65">
        <f aca="true" t="shared" si="108" ref="L383:L388">I383+J383+K383</f>
        <v>0</v>
      </c>
      <c r="M383" s="127"/>
      <c r="N383" s="7"/>
      <c r="O383" s="18">
        <f aca="true" t="shared" si="109" ref="O383:O388">L383+M383+N383</f>
        <v>0</v>
      </c>
      <c r="P383" s="72"/>
      <c r="Q383" s="70">
        <f>O383+P383</f>
        <v>0</v>
      </c>
    </row>
    <row r="384" spans="1:17" ht="12.75" hidden="1">
      <c r="A384" s="30" t="s">
        <v>232</v>
      </c>
      <c r="B384" s="88"/>
      <c r="C384" s="136"/>
      <c r="D384" s="104"/>
      <c r="E384" s="236"/>
      <c r="F384" s="274">
        <f t="shared" si="106"/>
        <v>0</v>
      </c>
      <c r="G384" s="287"/>
      <c r="H384" s="235"/>
      <c r="I384" s="256">
        <f t="shared" si="107"/>
        <v>0</v>
      </c>
      <c r="J384" s="21"/>
      <c r="K384" s="7"/>
      <c r="L384" s="65"/>
      <c r="M384" s="127"/>
      <c r="N384" s="7"/>
      <c r="O384" s="18"/>
      <c r="P384" s="72"/>
      <c r="Q384" s="70"/>
    </row>
    <row r="385" spans="1:17" ht="12.75" hidden="1">
      <c r="A385" s="30" t="s">
        <v>235</v>
      </c>
      <c r="B385" s="88">
        <v>1400</v>
      </c>
      <c r="C385" s="136"/>
      <c r="D385" s="115"/>
      <c r="E385" s="236"/>
      <c r="F385" s="274">
        <f t="shared" si="106"/>
        <v>0</v>
      </c>
      <c r="G385" s="287"/>
      <c r="H385" s="235"/>
      <c r="I385" s="256">
        <f t="shared" si="107"/>
        <v>0</v>
      </c>
      <c r="J385" s="21"/>
      <c r="K385" s="7"/>
      <c r="L385" s="65"/>
      <c r="M385" s="127"/>
      <c r="N385" s="7"/>
      <c r="O385" s="18"/>
      <c r="P385" s="72"/>
      <c r="Q385" s="70"/>
    </row>
    <row r="386" spans="1:17" ht="12.75">
      <c r="A386" s="26" t="s">
        <v>86</v>
      </c>
      <c r="B386" s="88"/>
      <c r="C386" s="136"/>
      <c r="D386" s="126">
        <f>13.32+158.73</f>
        <v>172.04999999999998</v>
      </c>
      <c r="E386" s="236">
        <v>2622.4</v>
      </c>
      <c r="F386" s="274">
        <f t="shared" si="106"/>
        <v>2794.4500000000003</v>
      </c>
      <c r="G386" s="287"/>
      <c r="H386" s="235"/>
      <c r="I386" s="256">
        <f t="shared" si="107"/>
        <v>2794.4500000000003</v>
      </c>
      <c r="J386" s="21"/>
      <c r="K386" s="7"/>
      <c r="L386" s="65">
        <f t="shared" si="108"/>
        <v>2794.4500000000003</v>
      </c>
      <c r="M386" s="127"/>
      <c r="N386" s="7"/>
      <c r="O386" s="18">
        <f t="shared" si="109"/>
        <v>2794.4500000000003</v>
      </c>
      <c r="P386" s="72"/>
      <c r="Q386" s="70">
        <f>O386+P386</f>
        <v>2794.4500000000003</v>
      </c>
    </row>
    <row r="387" spans="1:17" ht="12.75" hidden="1">
      <c r="A387" s="26" t="s">
        <v>71</v>
      </c>
      <c r="B387" s="88"/>
      <c r="C387" s="136"/>
      <c r="D387" s="104"/>
      <c r="E387" s="236"/>
      <c r="F387" s="274">
        <f t="shared" si="106"/>
        <v>0</v>
      </c>
      <c r="G387" s="287"/>
      <c r="H387" s="235"/>
      <c r="I387" s="256">
        <f t="shared" si="107"/>
        <v>0</v>
      </c>
      <c r="J387" s="197"/>
      <c r="K387" s="7"/>
      <c r="L387" s="65">
        <f t="shared" si="108"/>
        <v>0</v>
      </c>
      <c r="M387" s="127"/>
      <c r="N387" s="7"/>
      <c r="O387" s="18">
        <f t="shared" si="109"/>
        <v>0</v>
      </c>
      <c r="P387" s="72"/>
      <c r="Q387" s="70">
        <f>O387+P387</f>
        <v>0</v>
      </c>
    </row>
    <row r="388" spans="1:17" ht="12.75" hidden="1">
      <c r="A388" s="26" t="s">
        <v>173</v>
      </c>
      <c r="B388" s="88"/>
      <c r="C388" s="136"/>
      <c r="D388" s="104"/>
      <c r="E388" s="236"/>
      <c r="F388" s="274">
        <f t="shared" si="106"/>
        <v>0</v>
      </c>
      <c r="G388" s="287"/>
      <c r="H388" s="235"/>
      <c r="I388" s="256">
        <f t="shared" si="107"/>
        <v>0</v>
      </c>
      <c r="J388" s="197"/>
      <c r="K388" s="7"/>
      <c r="L388" s="65">
        <f t="shared" si="108"/>
        <v>0</v>
      </c>
      <c r="M388" s="127"/>
      <c r="N388" s="7"/>
      <c r="O388" s="18">
        <f t="shared" si="109"/>
        <v>0</v>
      </c>
      <c r="P388" s="72"/>
      <c r="Q388" s="70">
        <f>O388+P388</f>
        <v>0</v>
      </c>
    </row>
    <row r="389" spans="1:17" ht="12.75">
      <c r="A389" s="26" t="s">
        <v>302</v>
      </c>
      <c r="B389" s="88">
        <v>98035</v>
      </c>
      <c r="C389" s="136"/>
      <c r="D389" s="104">
        <v>150</v>
      </c>
      <c r="E389" s="236"/>
      <c r="F389" s="274">
        <f t="shared" si="106"/>
        <v>150</v>
      </c>
      <c r="G389" s="287"/>
      <c r="H389" s="235"/>
      <c r="I389" s="256">
        <f t="shared" si="107"/>
        <v>150</v>
      </c>
      <c r="J389" s="197"/>
      <c r="K389" s="7"/>
      <c r="L389" s="65"/>
      <c r="M389" s="127"/>
      <c r="N389" s="7"/>
      <c r="O389" s="18"/>
      <c r="P389" s="72"/>
      <c r="Q389" s="70"/>
    </row>
    <row r="390" spans="1:17" ht="12.75">
      <c r="A390" s="26" t="s">
        <v>269</v>
      </c>
      <c r="B390" s="150" t="s">
        <v>270</v>
      </c>
      <c r="C390" s="136"/>
      <c r="D390" s="104"/>
      <c r="E390" s="236"/>
      <c r="F390" s="274">
        <f t="shared" si="106"/>
        <v>0</v>
      </c>
      <c r="G390" s="287">
        <f>846.6</f>
        <v>846.6</v>
      </c>
      <c r="H390" s="235"/>
      <c r="I390" s="256">
        <f t="shared" si="107"/>
        <v>846.6</v>
      </c>
      <c r="J390" s="197"/>
      <c r="K390" s="7"/>
      <c r="L390" s="65"/>
      <c r="M390" s="127"/>
      <c r="N390" s="7"/>
      <c r="O390" s="18"/>
      <c r="P390" s="72"/>
      <c r="Q390" s="70"/>
    </row>
    <row r="391" spans="1:17" ht="12.75">
      <c r="A391" s="26" t="s">
        <v>268</v>
      </c>
      <c r="B391" s="88">
        <v>33064</v>
      </c>
      <c r="C391" s="136"/>
      <c r="D391" s="104"/>
      <c r="E391" s="236"/>
      <c r="F391" s="274">
        <f t="shared" si="106"/>
        <v>0</v>
      </c>
      <c r="G391" s="287">
        <f>361.27</f>
        <v>361.27</v>
      </c>
      <c r="H391" s="235"/>
      <c r="I391" s="256">
        <f t="shared" si="107"/>
        <v>361.27</v>
      </c>
      <c r="J391" s="197"/>
      <c r="K391" s="7"/>
      <c r="L391" s="65"/>
      <c r="M391" s="127"/>
      <c r="N391" s="7"/>
      <c r="O391" s="18"/>
      <c r="P391" s="72"/>
      <c r="Q391" s="70"/>
    </row>
    <row r="392" spans="1:17" ht="12.75">
      <c r="A392" s="32" t="s">
        <v>60</v>
      </c>
      <c r="B392" s="92"/>
      <c r="C392" s="163">
        <f>SUM(C394:C400)</f>
        <v>1500</v>
      </c>
      <c r="D392" s="111">
        <f aca="true" t="shared" si="110" ref="D392:Q392">SUM(D394:D400)</f>
        <v>17435.28</v>
      </c>
      <c r="E392" s="241">
        <f t="shared" si="110"/>
        <v>0</v>
      </c>
      <c r="F392" s="277">
        <f t="shared" si="110"/>
        <v>18935.28</v>
      </c>
      <c r="G392" s="291">
        <f t="shared" si="110"/>
        <v>-1000</v>
      </c>
      <c r="H392" s="241">
        <f t="shared" si="110"/>
        <v>0</v>
      </c>
      <c r="I392" s="260">
        <f t="shared" si="110"/>
        <v>17935.28</v>
      </c>
      <c r="J392" s="163">
        <f t="shared" si="110"/>
        <v>0</v>
      </c>
      <c r="K392" s="111">
        <f t="shared" si="110"/>
        <v>0</v>
      </c>
      <c r="L392" s="183">
        <f t="shared" si="110"/>
        <v>17935.28</v>
      </c>
      <c r="M392" s="154">
        <f t="shared" si="110"/>
        <v>0</v>
      </c>
      <c r="N392" s="110">
        <f t="shared" si="110"/>
        <v>0</v>
      </c>
      <c r="O392" s="110">
        <f t="shared" si="110"/>
        <v>17935.28</v>
      </c>
      <c r="P392" s="110">
        <f t="shared" si="110"/>
        <v>0</v>
      </c>
      <c r="Q392" s="110">
        <f t="shared" si="110"/>
        <v>17935.28</v>
      </c>
    </row>
    <row r="393" spans="1:17" ht="12.75">
      <c r="A393" s="28" t="s">
        <v>27</v>
      </c>
      <c r="B393" s="88"/>
      <c r="C393" s="136"/>
      <c r="D393" s="104"/>
      <c r="E393" s="236"/>
      <c r="F393" s="274"/>
      <c r="G393" s="287"/>
      <c r="H393" s="235"/>
      <c r="I393" s="256"/>
      <c r="J393" s="21"/>
      <c r="K393" s="7"/>
      <c r="L393" s="65"/>
      <c r="M393" s="127"/>
      <c r="N393" s="7"/>
      <c r="O393" s="18"/>
      <c r="P393" s="72"/>
      <c r="Q393" s="70"/>
    </row>
    <row r="394" spans="1:17" ht="12.75">
      <c r="A394" s="30" t="s">
        <v>75</v>
      </c>
      <c r="B394" s="88"/>
      <c r="C394" s="136"/>
      <c r="D394" s="104">
        <f>2000</f>
        <v>2000</v>
      </c>
      <c r="E394" s="236"/>
      <c r="F394" s="274">
        <f aca="true" t="shared" si="111" ref="F394:F400">C394+D394+E394</f>
        <v>2000</v>
      </c>
      <c r="G394" s="287"/>
      <c r="H394" s="235"/>
      <c r="I394" s="256">
        <f>F394+G394+H394</f>
        <v>2000</v>
      </c>
      <c r="J394" s="21"/>
      <c r="K394" s="7"/>
      <c r="L394" s="65">
        <f>I394+J394+K394</f>
        <v>2000</v>
      </c>
      <c r="M394" s="127"/>
      <c r="N394" s="7"/>
      <c r="O394" s="18">
        <f>L394+M394+N394</f>
        <v>2000</v>
      </c>
      <c r="P394" s="72"/>
      <c r="Q394" s="70">
        <f>O394+P394</f>
        <v>2000</v>
      </c>
    </row>
    <row r="395" spans="1:17" ht="12.75" hidden="1">
      <c r="A395" s="30" t="s">
        <v>217</v>
      </c>
      <c r="B395" s="88"/>
      <c r="C395" s="136"/>
      <c r="D395" s="104"/>
      <c r="E395" s="236"/>
      <c r="F395" s="274">
        <f t="shared" si="111"/>
        <v>0</v>
      </c>
      <c r="G395" s="287"/>
      <c r="H395" s="235"/>
      <c r="I395" s="256"/>
      <c r="J395" s="21"/>
      <c r="K395" s="7"/>
      <c r="L395" s="65"/>
      <c r="M395" s="127"/>
      <c r="N395" s="7"/>
      <c r="O395" s="18"/>
      <c r="P395" s="72"/>
      <c r="Q395" s="70"/>
    </row>
    <row r="396" spans="1:17" ht="12.75" hidden="1">
      <c r="A396" s="30" t="s">
        <v>218</v>
      </c>
      <c r="B396" s="88"/>
      <c r="C396" s="136"/>
      <c r="D396" s="104"/>
      <c r="E396" s="236"/>
      <c r="F396" s="274">
        <f t="shared" si="111"/>
        <v>0</v>
      </c>
      <c r="G396" s="287"/>
      <c r="H396" s="235"/>
      <c r="I396" s="256"/>
      <c r="J396" s="21"/>
      <c r="K396" s="7"/>
      <c r="L396" s="65"/>
      <c r="M396" s="127"/>
      <c r="N396" s="7"/>
      <c r="O396" s="18"/>
      <c r="P396" s="72"/>
      <c r="Q396" s="70"/>
    </row>
    <row r="397" spans="1:17" ht="12.75" hidden="1">
      <c r="A397" s="30" t="s">
        <v>205</v>
      </c>
      <c r="B397" s="88"/>
      <c r="C397" s="136"/>
      <c r="D397" s="104"/>
      <c r="E397" s="236"/>
      <c r="F397" s="274">
        <f t="shared" si="111"/>
        <v>0</v>
      </c>
      <c r="G397" s="287"/>
      <c r="H397" s="235"/>
      <c r="I397" s="256"/>
      <c r="J397" s="21"/>
      <c r="K397" s="7"/>
      <c r="L397" s="65"/>
      <c r="M397" s="127"/>
      <c r="N397" s="7"/>
      <c r="O397" s="18"/>
      <c r="P397" s="72"/>
      <c r="Q397" s="70"/>
    </row>
    <row r="398" spans="1:17" ht="12.75">
      <c r="A398" s="26" t="s">
        <v>61</v>
      </c>
      <c r="B398" s="88"/>
      <c r="C398" s="136">
        <v>1500</v>
      </c>
      <c r="D398" s="104">
        <f>1000</f>
        <v>1000</v>
      </c>
      <c r="E398" s="236"/>
      <c r="F398" s="274">
        <f t="shared" si="111"/>
        <v>2500</v>
      </c>
      <c r="G398" s="287">
        <f>-1000</f>
        <v>-1000</v>
      </c>
      <c r="H398" s="235"/>
      <c r="I398" s="256">
        <f>F398+G398+H398</f>
        <v>1500</v>
      </c>
      <c r="J398" s="21"/>
      <c r="K398" s="7"/>
      <c r="L398" s="65">
        <f>I398+J398+K398</f>
        <v>1500</v>
      </c>
      <c r="M398" s="127"/>
      <c r="N398" s="7"/>
      <c r="O398" s="18">
        <f>L398+M398+N398</f>
        <v>1500</v>
      </c>
      <c r="P398" s="72"/>
      <c r="Q398" s="70">
        <f>O398+P398</f>
        <v>1500</v>
      </c>
    </row>
    <row r="399" spans="1:17" ht="12.75">
      <c r="A399" s="29" t="s">
        <v>86</v>
      </c>
      <c r="B399" s="91"/>
      <c r="C399" s="164"/>
      <c r="D399" s="112">
        <f>14435.28</f>
        <v>14435.28</v>
      </c>
      <c r="E399" s="267"/>
      <c r="F399" s="279">
        <f t="shared" si="111"/>
        <v>14435.28</v>
      </c>
      <c r="G399" s="294"/>
      <c r="H399" s="243"/>
      <c r="I399" s="262">
        <f>F399+G399+H399</f>
        <v>14435.28</v>
      </c>
      <c r="J399" s="21"/>
      <c r="K399" s="7"/>
      <c r="L399" s="65">
        <f>I399+J399+K399</f>
        <v>14435.28</v>
      </c>
      <c r="M399" s="127"/>
      <c r="N399" s="7"/>
      <c r="O399" s="18">
        <f>L399+M399+N399</f>
        <v>14435.28</v>
      </c>
      <c r="P399" s="72"/>
      <c r="Q399" s="70">
        <f>O399+P399</f>
        <v>14435.28</v>
      </c>
    </row>
    <row r="400" spans="1:17" ht="12.75" hidden="1">
      <c r="A400" s="36" t="s">
        <v>206</v>
      </c>
      <c r="B400" s="91"/>
      <c r="C400" s="164"/>
      <c r="D400" s="112"/>
      <c r="E400" s="267"/>
      <c r="F400" s="279">
        <f t="shared" si="111"/>
        <v>0</v>
      </c>
      <c r="G400" s="294"/>
      <c r="H400" s="243"/>
      <c r="I400" s="262">
        <f>F400+G400+H400</f>
        <v>0</v>
      </c>
      <c r="J400" s="199"/>
      <c r="K400" s="10"/>
      <c r="L400" s="64">
        <f>I400+J400+K400</f>
        <v>0</v>
      </c>
      <c r="M400" s="214"/>
      <c r="N400" s="10"/>
      <c r="O400" s="20">
        <f>L400+M400+N400</f>
        <v>0</v>
      </c>
      <c r="P400" s="75"/>
      <c r="Q400" s="76">
        <f>O400+P400</f>
        <v>0</v>
      </c>
    </row>
    <row r="401" spans="1:17" ht="12.75">
      <c r="A401" s="23" t="s">
        <v>109</v>
      </c>
      <c r="B401" s="92"/>
      <c r="C401" s="143">
        <f>C402+C405</f>
        <v>3304.9</v>
      </c>
      <c r="D401" s="103">
        <f aca="true" t="shared" si="112" ref="D401:Q401">D402+D405</f>
        <v>0</v>
      </c>
      <c r="E401" s="233">
        <f t="shared" si="112"/>
        <v>0</v>
      </c>
      <c r="F401" s="254">
        <f t="shared" si="112"/>
        <v>3304.9</v>
      </c>
      <c r="G401" s="286">
        <f t="shared" si="112"/>
        <v>0</v>
      </c>
      <c r="H401" s="233">
        <f t="shared" si="112"/>
        <v>0</v>
      </c>
      <c r="I401" s="257">
        <f t="shared" si="112"/>
        <v>3304.9</v>
      </c>
      <c r="J401" s="143">
        <f t="shared" si="112"/>
        <v>0</v>
      </c>
      <c r="K401" s="103">
        <f t="shared" si="112"/>
        <v>0</v>
      </c>
      <c r="L401" s="158">
        <f t="shared" si="112"/>
        <v>3304.9</v>
      </c>
      <c r="M401" s="128">
        <f t="shared" si="112"/>
        <v>0</v>
      </c>
      <c r="N401" s="102">
        <f t="shared" si="112"/>
        <v>0</v>
      </c>
      <c r="O401" s="102">
        <f t="shared" si="112"/>
        <v>3304.9</v>
      </c>
      <c r="P401" s="102">
        <f t="shared" si="112"/>
        <v>0</v>
      </c>
      <c r="Q401" s="102">
        <f t="shared" si="112"/>
        <v>3304.9</v>
      </c>
    </row>
    <row r="402" spans="1:17" ht="12.75">
      <c r="A402" s="32" t="s">
        <v>55</v>
      </c>
      <c r="B402" s="92"/>
      <c r="C402" s="163">
        <f>SUM(C404:C404)</f>
        <v>3304.9</v>
      </c>
      <c r="D402" s="111">
        <f aca="true" t="shared" si="113" ref="D402:Q402">SUM(D404:D404)</f>
        <v>0</v>
      </c>
      <c r="E402" s="241">
        <f t="shared" si="113"/>
        <v>0</v>
      </c>
      <c r="F402" s="277">
        <f t="shared" si="113"/>
        <v>3304.9</v>
      </c>
      <c r="G402" s="291">
        <f t="shared" si="113"/>
        <v>0</v>
      </c>
      <c r="H402" s="241">
        <f t="shared" si="113"/>
        <v>0</v>
      </c>
      <c r="I402" s="260">
        <f t="shared" si="113"/>
        <v>3304.9</v>
      </c>
      <c r="J402" s="163">
        <f t="shared" si="113"/>
        <v>0</v>
      </c>
      <c r="K402" s="111">
        <f t="shared" si="113"/>
        <v>0</v>
      </c>
      <c r="L402" s="183">
        <f t="shared" si="113"/>
        <v>3304.9</v>
      </c>
      <c r="M402" s="154">
        <f t="shared" si="113"/>
        <v>0</v>
      </c>
      <c r="N402" s="110">
        <f t="shared" si="113"/>
        <v>0</v>
      </c>
      <c r="O402" s="110">
        <f t="shared" si="113"/>
        <v>3304.9</v>
      </c>
      <c r="P402" s="110">
        <f t="shared" si="113"/>
        <v>0</v>
      </c>
      <c r="Q402" s="110">
        <f t="shared" si="113"/>
        <v>3304.9</v>
      </c>
    </row>
    <row r="403" spans="1:17" ht="12.75">
      <c r="A403" s="28" t="s">
        <v>27</v>
      </c>
      <c r="B403" s="88"/>
      <c r="C403" s="136"/>
      <c r="D403" s="104"/>
      <c r="E403" s="236"/>
      <c r="F403" s="254"/>
      <c r="G403" s="287"/>
      <c r="H403" s="235"/>
      <c r="I403" s="257"/>
      <c r="J403" s="21"/>
      <c r="K403" s="7"/>
      <c r="L403" s="61"/>
      <c r="M403" s="127"/>
      <c r="N403" s="7"/>
      <c r="O403" s="17"/>
      <c r="P403" s="72"/>
      <c r="Q403" s="70"/>
    </row>
    <row r="404" spans="1:17" ht="12.75">
      <c r="A404" s="29" t="s">
        <v>57</v>
      </c>
      <c r="B404" s="91"/>
      <c r="C404" s="167">
        <v>3304.9</v>
      </c>
      <c r="D404" s="112"/>
      <c r="E404" s="267"/>
      <c r="F404" s="279">
        <f>C404+D404+E404</f>
        <v>3304.9</v>
      </c>
      <c r="G404" s="294"/>
      <c r="H404" s="243"/>
      <c r="I404" s="262">
        <f>F404+G404+H404</f>
        <v>3304.9</v>
      </c>
      <c r="J404" s="21"/>
      <c r="K404" s="7"/>
      <c r="L404" s="65">
        <f>I404+J404+K404</f>
        <v>3304.9</v>
      </c>
      <c r="M404" s="127"/>
      <c r="N404" s="7"/>
      <c r="O404" s="18">
        <f>L404+M404+N404</f>
        <v>3304.9</v>
      </c>
      <c r="P404" s="72"/>
      <c r="Q404" s="70">
        <f>O404+P404</f>
        <v>3304.9</v>
      </c>
    </row>
    <row r="405" spans="1:17" ht="12.75" hidden="1">
      <c r="A405" s="32" t="s">
        <v>60</v>
      </c>
      <c r="B405" s="92"/>
      <c r="C405" s="163">
        <f aca="true" t="shared" si="114" ref="C405:Q405">SUM(C407:C407)</f>
        <v>0</v>
      </c>
      <c r="D405" s="111">
        <f t="shared" si="114"/>
        <v>0</v>
      </c>
      <c r="E405" s="241">
        <f t="shared" si="114"/>
        <v>0</v>
      </c>
      <c r="F405" s="277">
        <f t="shared" si="114"/>
        <v>0</v>
      </c>
      <c r="G405" s="291">
        <f t="shared" si="114"/>
        <v>0</v>
      </c>
      <c r="H405" s="241">
        <f t="shared" si="114"/>
        <v>0</v>
      </c>
      <c r="I405" s="260">
        <f t="shared" si="114"/>
        <v>0</v>
      </c>
      <c r="J405" s="163">
        <f t="shared" si="114"/>
        <v>0</v>
      </c>
      <c r="K405" s="111">
        <f t="shared" si="114"/>
        <v>0</v>
      </c>
      <c r="L405" s="183">
        <f t="shared" si="114"/>
        <v>0</v>
      </c>
      <c r="M405" s="154">
        <f t="shared" si="114"/>
        <v>0</v>
      </c>
      <c r="N405" s="110">
        <f t="shared" si="114"/>
        <v>0</v>
      </c>
      <c r="O405" s="110">
        <f t="shared" si="114"/>
        <v>0</v>
      </c>
      <c r="P405" s="110">
        <f t="shared" si="114"/>
        <v>0</v>
      </c>
      <c r="Q405" s="110">
        <f t="shared" si="114"/>
        <v>0</v>
      </c>
    </row>
    <row r="406" spans="1:17" ht="12.75" hidden="1">
      <c r="A406" s="28" t="s">
        <v>27</v>
      </c>
      <c r="B406" s="88"/>
      <c r="C406" s="136"/>
      <c r="D406" s="104"/>
      <c r="E406" s="236"/>
      <c r="F406" s="274"/>
      <c r="G406" s="287"/>
      <c r="H406" s="235"/>
      <c r="I406" s="256"/>
      <c r="J406" s="21"/>
      <c r="K406" s="7"/>
      <c r="L406" s="65"/>
      <c r="M406" s="127"/>
      <c r="N406" s="7"/>
      <c r="O406" s="18"/>
      <c r="P406" s="72"/>
      <c r="Q406" s="70"/>
    </row>
    <row r="407" spans="1:17" ht="12.75" hidden="1">
      <c r="A407" s="29" t="s">
        <v>61</v>
      </c>
      <c r="B407" s="91"/>
      <c r="C407" s="164"/>
      <c r="D407" s="112"/>
      <c r="E407" s="267"/>
      <c r="F407" s="279">
        <f>C407+D407+E407</f>
        <v>0</v>
      </c>
      <c r="G407" s="294"/>
      <c r="H407" s="243"/>
      <c r="I407" s="262">
        <f>F407+G407+H407</f>
        <v>0</v>
      </c>
      <c r="J407" s="199"/>
      <c r="K407" s="10"/>
      <c r="L407" s="64">
        <f>I407+J407+K407</f>
        <v>0</v>
      </c>
      <c r="M407" s="214"/>
      <c r="N407" s="10"/>
      <c r="O407" s="20">
        <f>L407+M407+N407</f>
        <v>0</v>
      </c>
      <c r="P407" s="75"/>
      <c r="Q407" s="76">
        <f>O407+P407</f>
        <v>0</v>
      </c>
    </row>
    <row r="408" spans="1:17" ht="12.75">
      <c r="A408" s="23" t="s">
        <v>110</v>
      </c>
      <c r="B408" s="92"/>
      <c r="C408" s="143">
        <f aca="true" t="shared" si="115" ref="C408:Q408">C409</f>
        <v>39482.44</v>
      </c>
      <c r="D408" s="103">
        <f t="shared" si="115"/>
        <v>25118.32</v>
      </c>
      <c r="E408" s="233">
        <f t="shared" si="115"/>
        <v>0</v>
      </c>
      <c r="F408" s="254">
        <f t="shared" si="115"/>
        <v>64600.759999999995</v>
      </c>
      <c r="G408" s="286">
        <f t="shared" si="115"/>
        <v>-1564</v>
      </c>
      <c r="H408" s="233">
        <f t="shared" si="115"/>
        <v>0</v>
      </c>
      <c r="I408" s="257">
        <f t="shared" si="115"/>
        <v>63036.759999999995</v>
      </c>
      <c r="J408" s="143">
        <f t="shared" si="115"/>
        <v>0</v>
      </c>
      <c r="K408" s="103">
        <f t="shared" si="115"/>
        <v>0</v>
      </c>
      <c r="L408" s="158">
        <f t="shared" si="115"/>
        <v>63036.759999999995</v>
      </c>
      <c r="M408" s="128">
        <f t="shared" si="115"/>
        <v>0</v>
      </c>
      <c r="N408" s="102">
        <f t="shared" si="115"/>
        <v>0</v>
      </c>
      <c r="O408" s="102">
        <f t="shared" si="115"/>
        <v>63036.759999999995</v>
      </c>
      <c r="P408" s="102">
        <f t="shared" si="115"/>
        <v>0</v>
      </c>
      <c r="Q408" s="102">
        <f t="shared" si="115"/>
        <v>63036.759999999995</v>
      </c>
    </row>
    <row r="409" spans="1:17" ht="12.75">
      <c r="A409" s="32" t="s">
        <v>55</v>
      </c>
      <c r="B409" s="92"/>
      <c r="C409" s="163">
        <f>SUM(C411:C414)</f>
        <v>39482.44</v>
      </c>
      <c r="D409" s="111">
        <f aca="true" t="shared" si="116" ref="D409:Q409">SUM(D411:D414)</f>
        <v>25118.32</v>
      </c>
      <c r="E409" s="241">
        <f t="shared" si="116"/>
        <v>0</v>
      </c>
      <c r="F409" s="277">
        <f t="shared" si="116"/>
        <v>64600.759999999995</v>
      </c>
      <c r="G409" s="291">
        <f t="shared" si="116"/>
        <v>-1564</v>
      </c>
      <c r="H409" s="241">
        <f t="shared" si="116"/>
        <v>0</v>
      </c>
      <c r="I409" s="260">
        <f t="shared" si="116"/>
        <v>63036.759999999995</v>
      </c>
      <c r="J409" s="163">
        <f t="shared" si="116"/>
        <v>0</v>
      </c>
      <c r="K409" s="111">
        <f t="shared" si="116"/>
        <v>0</v>
      </c>
      <c r="L409" s="183">
        <f t="shared" si="116"/>
        <v>63036.759999999995</v>
      </c>
      <c r="M409" s="154">
        <f t="shared" si="116"/>
        <v>0</v>
      </c>
      <c r="N409" s="110">
        <f t="shared" si="116"/>
        <v>0</v>
      </c>
      <c r="O409" s="110">
        <f t="shared" si="116"/>
        <v>63036.759999999995</v>
      </c>
      <c r="P409" s="110">
        <f t="shared" si="116"/>
        <v>0</v>
      </c>
      <c r="Q409" s="110">
        <f t="shared" si="116"/>
        <v>63036.759999999995</v>
      </c>
    </row>
    <row r="410" spans="1:17" ht="12.75">
      <c r="A410" s="28" t="s">
        <v>27</v>
      </c>
      <c r="B410" s="88"/>
      <c r="C410" s="143"/>
      <c r="D410" s="103"/>
      <c r="E410" s="233"/>
      <c r="F410" s="254"/>
      <c r="G410" s="286"/>
      <c r="H410" s="234"/>
      <c r="I410" s="257"/>
      <c r="J410" s="196"/>
      <c r="K410" s="6"/>
      <c r="L410" s="61"/>
      <c r="M410" s="211"/>
      <c r="N410" s="6"/>
      <c r="O410" s="17"/>
      <c r="P410" s="72"/>
      <c r="Q410" s="70"/>
    </row>
    <row r="411" spans="1:17" ht="12.75">
      <c r="A411" s="89" t="s">
        <v>219</v>
      </c>
      <c r="B411" s="88"/>
      <c r="C411" s="136">
        <v>10000</v>
      </c>
      <c r="D411" s="104"/>
      <c r="E411" s="236"/>
      <c r="F411" s="274">
        <f>C411+D411+E411</f>
        <v>10000</v>
      </c>
      <c r="G411" s="287">
        <f>-600-40-408-516</f>
        <v>-1564</v>
      </c>
      <c r="H411" s="235"/>
      <c r="I411" s="256">
        <f>F411+G411+H411</f>
        <v>8436</v>
      </c>
      <c r="J411" s="197"/>
      <c r="K411" s="7"/>
      <c r="L411" s="65">
        <f>I411+J411+K411</f>
        <v>8436</v>
      </c>
      <c r="M411" s="127"/>
      <c r="N411" s="7"/>
      <c r="O411" s="18">
        <f>L411+M411+N411</f>
        <v>8436</v>
      </c>
      <c r="P411" s="72"/>
      <c r="Q411" s="70">
        <f>O411+P411</f>
        <v>8436</v>
      </c>
    </row>
    <row r="412" spans="1:17" ht="12.75">
      <c r="A412" s="89" t="s">
        <v>111</v>
      </c>
      <c r="B412" s="88"/>
      <c r="C412" s="136"/>
      <c r="D412" s="115">
        <f>19085.93</f>
        <v>19085.93</v>
      </c>
      <c r="E412" s="236"/>
      <c r="F412" s="274">
        <f>C412+D412+E412</f>
        <v>19085.93</v>
      </c>
      <c r="G412" s="287"/>
      <c r="H412" s="235"/>
      <c r="I412" s="256">
        <f>F412+G412+H412</f>
        <v>19085.93</v>
      </c>
      <c r="J412" s="21"/>
      <c r="K412" s="7"/>
      <c r="L412" s="65">
        <f>I412+J412+K412</f>
        <v>19085.93</v>
      </c>
      <c r="M412" s="127"/>
      <c r="N412" s="7"/>
      <c r="O412" s="18">
        <f>L412+M412+N412</f>
        <v>19085.93</v>
      </c>
      <c r="P412" s="72"/>
      <c r="Q412" s="70">
        <f>O412+P412</f>
        <v>19085.93</v>
      </c>
    </row>
    <row r="413" spans="1:17" ht="12.75">
      <c r="A413" s="89" t="s">
        <v>112</v>
      </c>
      <c r="B413" s="88"/>
      <c r="C413" s="136"/>
      <c r="D413" s="104">
        <f>6032.39</f>
        <v>6032.39</v>
      </c>
      <c r="E413" s="236"/>
      <c r="F413" s="274">
        <f>C413+D413+E413</f>
        <v>6032.39</v>
      </c>
      <c r="G413" s="287"/>
      <c r="H413" s="235"/>
      <c r="I413" s="256">
        <f>F413+G413+H413</f>
        <v>6032.39</v>
      </c>
      <c r="J413" s="21"/>
      <c r="K413" s="7"/>
      <c r="L413" s="65">
        <f>I413+J413+K413</f>
        <v>6032.39</v>
      </c>
      <c r="M413" s="127"/>
      <c r="N413" s="7"/>
      <c r="O413" s="18">
        <f>L413+M413+N413</f>
        <v>6032.39</v>
      </c>
      <c r="P413" s="72"/>
      <c r="Q413" s="70">
        <f>O413+P413</f>
        <v>6032.39</v>
      </c>
    </row>
    <row r="414" spans="1:17" ht="12.75">
      <c r="A414" s="29" t="s">
        <v>57</v>
      </c>
      <c r="B414" s="91"/>
      <c r="C414" s="164">
        <v>29482.44</v>
      </c>
      <c r="D414" s="112"/>
      <c r="E414" s="267"/>
      <c r="F414" s="279">
        <f>C414+D414+E414</f>
        <v>29482.44</v>
      </c>
      <c r="G414" s="294"/>
      <c r="H414" s="243"/>
      <c r="I414" s="262">
        <f>F414+G414+H414</f>
        <v>29482.44</v>
      </c>
      <c r="J414" s="199"/>
      <c r="K414" s="10"/>
      <c r="L414" s="64">
        <f>I414+J414+K414</f>
        <v>29482.44</v>
      </c>
      <c r="M414" s="214"/>
      <c r="N414" s="10"/>
      <c r="O414" s="20">
        <f>L414+M414+N414</f>
        <v>29482.44</v>
      </c>
      <c r="P414" s="75"/>
      <c r="Q414" s="76">
        <f>O414+P414</f>
        <v>29482.44</v>
      </c>
    </row>
    <row r="415" spans="1:17" ht="12.75">
      <c r="A415" s="23" t="s">
        <v>183</v>
      </c>
      <c r="B415" s="92"/>
      <c r="C415" s="143">
        <f aca="true" t="shared" si="117" ref="C415:Q415">C416+C430</f>
        <v>101456.4</v>
      </c>
      <c r="D415" s="103">
        <f t="shared" si="117"/>
        <v>81260.92</v>
      </c>
      <c r="E415" s="233">
        <f t="shared" si="117"/>
        <v>3100</v>
      </c>
      <c r="F415" s="254">
        <f t="shared" si="117"/>
        <v>185817.32</v>
      </c>
      <c r="G415" s="286">
        <f t="shared" si="117"/>
        <v>33518</v>
      </c>
      <c r="H415" s="233">
        <f t="shared" si="117"/>
        <v>0</v>
      </c>
      <c r="I415" s="257">
        <f t="shared" si="117"/>
        <v>219335.32</v>
      </c>
      <c r="J415" s="143">
        <f t="shared" si="117"/>
        <v>0</v>
      </c>
      <c r="K415" s="103">
        <f t="shared" si="117"/>
        <v>0</v>
      </c>
      <c r="L415" s="158">
        <f t="shared" si="117"/>
        <v>0</v>
      </c>
      <c r="M415" s="128">
        <f t="shared" si="117"/>
        <v>0</v>
      </c>
      <c r="N415" s="102">
        <f t="shared" si="117"/>
        <v>0</v>
      </c>
      <c r="O415" s="102">
        <f t="shared" si="117"/>
        <v>0</v>
      </c>
      <c r="P415" s="102">
        <f t="shared" si="117"/>
        <v>0</v>
      </c>
      <c r="Q415" s="102">
        <f t="shared" si="117"/>
        <v>0</v>
      </c>
    </row>
    <row r="416" spans="1:17" ht="12.75">
      <c r="A416" s="32" t="s">
        <v>55</v>
      </c>
      <c r="B416" s="92"/>
      <c r="C416" s="163">
        <f>SUM(C418:C429)</f>
        <v>66631.4</v>
      </c>
      <c r="D416" s="111">
        <f>SUM(D418:D429)</f>
        <v>24807.72</v>
      </c>
      <c r="E416" s="241">
        <f>SUM(E417:E429)</f>
        <v>-250</v>
      </c>
      <c r="F416" s="277">
        <f>SUM(F418:F429)</f>
        <v>91189.12</v>
      </c>
      <c r="G416" s="291">
        <f aca="true" t="shared" si="118" ref="G416:Q416">SUM(G417:G429)</f>
        <v>1981.5</v>
      </c>
      <c r="H416" s="241">
        <f t="shared" si="118"/>
        <v>0</v>
      </c>
      <c r="I416" s="260">
        <f t="shared" si="118"/>
        <v>93170.62</v>
      </c>
      <c r="J416" s="163">
        <f t="shared" si="118"/>
        <v>0</v>
      </c>
      <c r="K416" s="111">
        <f t="shared" si="118"/>
        <v>0</v>
      </c>
      <c r="L416" s="183">
        <f t="shared" si="118"/>
        <v>0</v>
      </c>
      <c r="M416" s="154">
        <f t="shared" si="118"/>
        <v>0</v>
      </c>
      <c r="N416" s="110">
        <f t="shared" si="118"/>
        <v>0</v>
      </c>
      <c r="O416" s="110">
        <f t="shared" si="118"/>
        <v>0</v>
      </c>
      <c r="P416" s="110">
        <f t="shared" si="118"/>
        <v>0</v>
      </c>
      <c r="Q416" s="110">
        <f t="shared" si="118"/>
        <v>0</v>
      </c>
    </row>
    <row r="417" spans="1:17" ht="12.75">
      <c r="A417" s="28" t="s">
        <v>27</v>
      </c>
      <c r="B417" s="88"/>
      <c r="C417" s="136"/>
      <c r="D417" s="104"/>
      <c r="E417" s="236"/>
      <c r="F417" s="274"/>
      <c r="G417" s="287"/>
      <c r="H417" s="235"/>
      <c r="I417" s="256"/>
      <c r="J417" s="21"/>
      <c r="K417" s="7"/>
      <c r="L417" s="65"/>
      <c r="M417" s="127"/>
      <c r="N417" s="7"/>
      <c r="O417" s="18"/>
      <c r="P417" s="72"/>
      <c r="Q417" s="70"/>
    </row>
    <row r="418" spans="1:17" ht="12.75">
      <c r="A418" s="26" t="s">
        <v>296</v>
      </c>
      <c r="B418" s="88">
        <v>1202</v>
      </c>
      <c r="C418" s="136">
        <v>4025</v>
      </c>
      <c r="D418" s="104">
        <f>485.09-205</f>
        <v>280.09</v>
      </c>
      <c r="E418" s="236"/>
      <c r="F418" s="274">
        <f aca="true" t="shared" si="119" ref="F418:F429">C418+D418+E418</f>
        <v>4305.09</v>
      </c>
      <c r="G418" s="287">
        <f>4.15</f>
        <v>4.15</v>
      </c>
      <c r="H418" s="235"/>
      <c r="I418" s="256">
        <f>F418+G418+H418</f>
        <v>4309.24</v>
      </c>
      <c r="J418" s="21"/>
      <c r="K418" s="7"/>
      <c r="L418" s="65"/>
      <c r="M418" s="127"/>
      <c r="N418" s="7"/>
      <c r="O418" s="18"/>
      <c r="P418" s="72"/>
      <c r="Q418" s="70"/>
    </row>
    <row r="419" spans="1:17" ht="12.75">
      <c r="A419" s="26" t="s">
        <v>211</v>
      </c>
      <c r="B419" s="88">
        <v>1208</v>
      </c>
      <c r="C419" s="136">
        <v>2500</v>
      </c>
      <c r="D419" s="104">
        <f>18</f>
        <v>18</v>
      </c>
      <c r="E419" s="236"/>
      <c r="F419" s="274">
        <f t="shared" si="119"/>
        <v>2518</v>
      </c>
      <c r="G419" s="287"/>
      <c r="H419" s="235"/>
      <c r="I419" s="256">
        <f aca="true" t="shared" si="120" ref="I419:I429">F419+G419+H419</f>
        <v>2518</v>
      </c>
      <c r="J419" s="21"/>
      <c r="K419" s="7"/>
      <c r="L419" s="65"/>
      <c r="M419" s="127"/>
      <c r="N419" s="7"/>
      <c r="O419" s="18"/>
      <c r="P419" s="72"/>
      <c r="Q419" s="70"/>
    </row>
    <row r="420" spans="1:17" ht="12.75">
      <c r="A420" s="26" t="s">
        <v>212</v>
      </c>
      <c r="B420" s="88">
        <v>1207</v>
      </c>
      <c r="C420" s="136">
        <v>5420</v>
      </c>
      <c r="D420" s="104">
        <f>250.66</f>
        <v>250.66</v>
      </c>
      <c r="E420" s="236"/>
      <c r="F420" s="274">
        <f t="shared" si="119"/>
        <v>5670.66</v>
      </c>
      <c r="G420" s="287">
        <f>2287.4</f>
        <v>2287.4</v>
      </c>
      <c r="H420" s="235"/>
      <c r="I420" s="256">
        <f t="shared" si="120"/>
        <v>7958.0599999999995</v>
      </c>
      <c r="J420" s="21"/>
      <c r="K420" s="7"/>
      <c r="L420" s="65"/>
      <c r="M420" s="127"/>
      <c r="N420" s="7"/>
      <c r="O420" s="18"/>
      <c r="P420" s="72"/>
      <c r="Q420" s="70"/>
    </row>
    <row r="421" spans="1:17" ht="12.75">
      <c r="A421" s="26" t="s">
        <v>244</v>
      </c>
      <c r="B421" s="88">
        <v>1209</v>
      </c>
      <c r="C421" s="136">
        <v>2860</v>
      </c>
      <c r="D421" s="104">
        <f>65.68</f>
        <v>65.68</v>
      </c>
      <c r="E421" s="236"/>
      <c r="F421" s="274">
        <f t="shared" si="119"/>
        <v>2925.68</v>
      </c>
      <c r="G421" s="287"/>
      <c r="H421" s="235"/>
      <c r="I421" s="256">
        <f t="shared" si="120"/>
        <v>2925.68</v>
      </c>
      <c r="J421" s="21"/>
      <c r="K421" s="7"/>
      <c r="L421" s="65"/>
      <c r="M421" s="127"/>
      <c r="N421" s="7"/>
      <c r="O421" s="18"/>
      <c r="P421" s="72"/>
      <c r="Q421" s="70"/>
    </row>
    <row r="422" spans="1:17" ht="12.75">
      <c r="A422" s="26" t="s">
        <v>213</v>
      </c>
      <c r="B422" s="88">
        <v>1211</v>
      </c>
      <c r="C422" s="136">
        <v>4779</v>
      </c>
      <c r="D422" s="115">
        <f>88.16</f>
        <v>88.16</v>
      </c>
      <c r="E422" s="245"/>
      <c r="F422" s="274">
        <f t="shared" si="119"/>
        <v>4867.16</v>
      </c>
      <c r="G422" s="287"/>
      <c r="H422" s="235"/>
      <c r="I422" s="256">
        <f t="shared" si="120"/>
        <v>4867.16</v>
      </c>
      <c r="J422" s="21"/>
      <c r="K422" s="7"/>
      <c r="L422" s="65"/>
      <c r="M422" s="127"/>
      <c r="N422" s="7"/>
      <c r="O422" s="18"/>
      <c r="P422" s="72"/>
      <c r="Q422" s="70"/>
    </row>
    <row r="423" spans="1:17" ht="12.75">
      <c r="A423" s="26" t="s">
        <v>276</v>
      </c>
      <c r="B423" s="88">
        <v>1214</v>
      </c>
      <c r="C423" s="136">
        <v>1409</v>
      </c>
      <c r="D423" s="115">
        <f>21+185</f>
        <v>206</v>
      </c>
      <c r="E423" s="236"/>
      <c r="F423" s="274">
        <f t="shared" si="119"/>
        <v>1615</v>
      </c>
      <c r="G423" s="287"/>
      <c r="H423" s="235"/>
      <c r="I423" s="256">
        <f t="shared" si="120"/>
        <v>1615</v>
      </c>
      <c r="J423" s="21"/>
      <c r="K423" s="7"/>
      <c r="L423" s="65"/>
      <c r="M423" s="127"/>
      <c r="N423" s="7"/>
      <c r="O423" s="18"/>
      <c r="P423" s="72"/>
      <c r="Q423" s="70"/>
    </row>
    <row r="424" spans="1:17" ht="12.75">
      <c r="A424" s="26" t="s">
        <v>277</v>
      </c>
      <c r="B424" s="88">
        <v>1213</v>
      </c>
      <c r="C424" s="136">
        <v>641</v>
      </c>
      <c r="D424" s="115">
        <f>500+38.27</f>
        <v>538.27</v>
      </c>
      <c r="E424" s="236"/>
      <c r="F424" s="274">
        <f t="shared" si="119"/>
        <v>1179.27</v>
      </c>
      <c r="G424" s="287"/>
      <c r="H424" s="235"/>
      <c r="I424" s="256">
        <f t="shared" si="120"/>
        <v>1179.27</v>
      </c>
      <c r="J424" s="21"/>
      <c r="K424" s="7"/>
      <c r="L424" s="65"/>
      <c r="M424" s="127"/>
      <c r="N424" s="7"/>
      <c r="O424" s="18"/>
      <c r="P424" s="72"/>
      <c r="Q424" s="70"/>
    </row>
    <row r="425" spans="1:17" ht="12.75">
      <c r="A425" s="26" t="s">
        <v>293</v>
      </c>
      <c r="B425" s="88">
        <v>1216</v>
      </c>
      <c r="C425" s="136">
        <v>11190</v>
      </c>
      <c r="D425" s="104">
        <f>822.07+1000</f>
        <v>1822.0700000000002</v>
      </c>
      <c r="E425" s="236"/>
      <c r="F425" s="274">
        <f t="shared" si="119"/>
        <v>13012.07</v>
      </c>
      <c r="G425" s="287">
        <f>2</f>
        <v>2</v>
      </c>
      <c r="H425" s="235"/>
      <c r="I425" s="256">
        <f t="shared" si="120"/>
        <v>13014.07</v>
      </c>
      <c r="J425" s="21"/>
      <c r="K425" s="7"/>
      <c r="L425" s="65"/>
      <c r="M425" s="127"/>
      <c r="N425" s="7"/>
      <c r="O425" s="18"/>
      <c r="P425" s="72"/>
      <c r="Q425" s="70"/>
    </row>
    <row r="426" spans="1:17" ht="12.75">
      <c r="A426" s="26" t="s">
        <v>214</v>
      </c>
      <c r="B426" s="88">
        <v>1239</v>
      </c>
      <c r="C426" s="136">
        <v>5269.7</v>
      </c>
      <c r="D426" s="104">
        <f>2709.79</f>
        <v>2709.79</v>
      </c>
      <c r="E426" s="236"/>
      <c r="F426" s="274">
        <f t="shared" si="119"/>
        <v>7979.49</v>
      </c>
      <c r="G426" s="287">
        <f>-4431.9+2.45</f>
        <v>-4429.45</v>
      </c>
      <c r="H426" s="235"/>
      <c r="I426" s="256">
        <f t="shared" si="120"/>
        <v>3550.04</v>
      </c>
      <c r="J426" s="21"/>
      <c r="K426" s="7"/>
      <c r="L426" s="65"/>
      <c r="M426" s="127"/>
      <c r="N426" s="7"/>
      <c r="O426" s="18"/>
      <c r="P426" s="72"/>
      <c r="Q426" s="70"/>
    </row>
    <row r="427" spans="1:17" ht="12.75">
      <c r="A427" s="26" t="s">
        <v>236</v>
      </c>
      <c r="B427" s="88">
        <v>1300</v>
      </c>
      <c r="C427" s="136">
        <v>14025.7</v>
      </c>
      <c r="D427" s="104">
        <f>3710.03+15034</f>
        <v>18744.03</v>
      </c>
      <c r="E427" s="236">
        <v>-250</v>
      </c>
      <c r="F427" s="274">
        <f t="shared" si="119"/>
        <v>32519.729999999996</v>
      </c>
      <c r="G427" s="296">
        <f>4984.4</f>
        <v>4984.4</v>
      </c>
      <c r="H427" s="235"/>
      <c r="I427" s="256">
        <f t="shared" si="120"/>
        <v>37504.13</v>
      </c>
      <c r="J427" s="21"/>
      <c r="K427" s="7"/>
      <c r="L427" s="65"/>
      <c r="M427" s="127"/>
      <c r="N427" s="7"/>
      <c r="O427" s="18"/>
      <c r="P427" s="72"/>
      <c r="Q427" s="70"/>
    </row>
    <row r="428" spans="1:17" ht="12.75">
      <c r="A428" s="26" t="s">
        <v>215</v>
      </c>
      <c r="B428" s="88">
        <v>1110</v>
      </c>
      <c r="C428" s="136">
        <v>14500</v>
      </c>
      <c r="D428" s="104"/>
      <c r="E428" s="236"/>
      <c r="F428" s="274">
        <f t="shared" si="119"/>
        <v>14500</v>
      </c>
      <c r="G428" s="287">
        <f>-873+6</f>
        <v>-867</v>
      </c>
      <c r="H428" s="235"/>
      <c r="I428" s="256">
        <f t="shared" si="120"/>
        <v>13633</v>
      </c>
      <c r="J428" s="21"/>
      <c r="K428" s="7"/>
      <c r="L428" s="65"/>
      <c r="M428" s="127"/>
      <c r="N428" s="7"/>
      <c r="O428" s="18"/>
      <c r="P428" s="72"/>
      <c r="Q428" s="70"/>
    </row>
    <row r="429" spans="1:17" ht="12.75">
      <c r="A429" s="26" t="s">
        <v>294</v>
      </c>
      <c r="B429" s="88"/>
      <c r="C429" s="136">
        <v>12</v>
      </c>
      <c r="D429" s="104">
        <f>84.97</f>
        <v>84.97</v>
      </c>
      <c r="E429" s="236"/>
      <c r="F429" s="274">
        <f t="shared" si="119"/>
        <v>96.97</v>
      </c>
      <c r="G429" s="287"/>
      <c r="H429" s="235"/>
      <c r="I429" s="256">
        <f t="shared" si="120"/>
        <v>96.97</v>
      </c>
      <c r="J429" s="21"/>
      <c r="K429" s="7"/>
      <c r="L429" s="65"/>
      <c r="M429" s="127"/>
      <c r="N429" s="7"/>
      <c r="O429" s="18"/>
      <c r="P429" s="72"/>
      <c r="Q429" s="70"/>
    </row>
    <row r="430" spans="1:17" ht="12.75">
      <c r="A430" s="32" t="s">
        <v>60</v>
      </c>
      <c r="B430" s="92"/>
      <c r="C430" s="163">
        <f>SUM(C432:C437)</f>
        <v>34825</v>
      </c>
      <c r="D430" s="111">
        <f aca="true" t="shared" si="121" ref="D430:Q430">SUM(D432:D437)</f>
        <v>56453.2</v>
      </c>
      <c r="E430" s="241">
        <f t="shared" si="121"/>
        <v>3350</v>
      </c>
      <c r="F430" s="277">
        <f t="shared" si="121"/>
        <v>94628.20000000001</v>
      </c>
      <c r="G430" s="291">
        <f t="shared" si="121"/>
        <v>31536.5</v>
      </c>
      <c r="H430" s="241">
        <f t="shared" si="121"/>
        <v>0</v>
      </c>
      <c r="I430" s="260">
        <f t="shared" si="121"/>
        <v>126164.7</v>
      </c>
      <c r="J430" s="163">
        <f t="shared" si="121"/>
        <v>0</v>
      </c>
      <c r="K430" s="111">
        <f t="shared" si="121"/>
        <v>0</v>
      </c>
      <c r="L430" s="183">
        <f t="shared" si="121"/>
        <v>0</v>
      </c>
      <c r="M430" s="154">
        <f t="shared" si="121"/>
        <v>0</v>
      </c>
      <c r="N430" s="110">
        <f t="shared" si="121"/>
        <v>0</v>
      </c>
      <c r="O430" s="110">
        <f t="shared" si="121"/>
        <v>0</v>
      </c>
      <c r="P430" s="110">
        <f t="shared" si="121"/>
        <v>0</v>
      </c>
      <c r="Q430" s="110">
        <f t="shared" si="121"/>
        <v>0</v>
      </c>
    </row>
    <row r="431" spans="1:17" ht="12.75">
      <c r="A431" s="28" t="s">
        <v>27</v>
      </c>
      <c r="B431" s="88"/>
      <c r="C431" s="136"/>
      <c r="D431" s="104"/>
      <c r="E431" s="236"/>
      <c r="F431" s="274"/>
      <c r="G431" s="287"/>
      <c r="H431" s="235"/>
      <c r="I431" s="256"/>
      <c r="J431" s="21"/>
      <c r="K431" s="7"/>
      <c r="L431" s="65"/>
      <c r="M431" s="127"/>
      <c r="N431" s="7"/>
      <c r="O431" s="18"/>
      <c r="P431" s="72"/>
      <c r="Q431" s="70"/>
    </row>
    <row r="432" spans="1:17" ht="12.75">
      <c r="A432" s="30" t="s">
        <v>227</v>
      </c>
      <c r="B432" s="88">
        <v>1239</v>
      </c>
      <c r="C432" s="136"/>
      <c r="D432" s="104">
        <f>1914+28000</f>
        <v>29914</v>
      </c>
      <c r="E432" s="236"/>
      <c r="F432" s="274">
        <f aca="true" t="shared" si="122" ref="F432:F437">C432+D432+E432</f>
        <v>29914</v>
      </c>
      <c r="G432" s="287">
        <f>4431.9+3000</f>
        <v>7431.9</v>
      </c>
      <c r="H432" s="235"/>
      <c r="I432" s="256">
        <f aca="true" t="shared" si="123" ref="I432:I437">F432+G432+H432</f>
        <v>37345.9</v>
      </c>
      <c r="J432" s="21"/>
      <c r="K432" s="7"/>
      <c r="L432" s="65"/>
      <c r="M432" s="127"/>
      <c r="N432" s="7"/>
      <c r="O432" s="18"/>
      <c r="P432" s="72"/>
      <c r="Q432" s="70"/>
    </row>
    <row r="433" spans="1:17" ht="12.75" hidden="1">
      <c r="A433" s="30" t="s">
        <v>123</v>
      </c>
      <c r="B433" s="88">
        <v>1214</v>
      </c>
      <c r="C433" s="136"/>
      <c r="D433" s="104"/>
      <c r="E433" s="236"/>
      <c r="F433" s="274">
        <f t="shared" si="122"/>
        <v>0</v>
      </c>
      <c r="G433" s="287"/>
      <c r="H433" s="235"/>
      <c r="I433" s="256">
        <f t="shared" si="123"/>
        <v>0</v>
      </c>
      <c r="J433" s="21"/>
      <c r="K433" s="7"/>
      <c r="L433" s="65"/>
      <c r="M433" s="127"/>
      <c r="N433" s="7"/>
      <c r="O433" s="18"/>
      <c r="P433" s="72"/>
      <c r="Q433" s="70"/>
    </row>
    <row r="434" spans="1:17" ht="12.75">
      <c r="A434" s="30" t="s">
        <v>295</v>
      </c>
      <c r="B434" s="88">
        <v>1209</v>
      </c>
      <c r="C434" s="136">
        <v>600</v>
      </c>
      <c r="D434" s="104"/>
      <c r="E434" s="236"/>
      <c r="F434" s="274">
        <f t="shared" si="122"/>
        <v>600</v>
      </c>
      <c r="G434" s="287"/>
      <c r="H434" s="235"/>
      <c r="I434" s="256">
        <f t="shared" si="123"/>
        <v>600</v>
      </c>
      <c r="J434" s="21"/>
      <c r="K434" s="7"/>
      <c r="L434" s="65"/>
      <c r="M434" s="127"/>
      <c r="N434" s="7"/>
      <c r="O434" s="18"/>
      <c r="P434" s="72"/>
      <c r="Q434" s="70"/>
    </row>
    <row r="435" spans="1:17" ht="13.5" thickBot="1">
      <c r="A435" s="207" t="s">
        <v>178</v>
      </c>
      <c r="B435" s="133">
        <v>1202</v>
      </c>
      <c r="C435" s="166"/>
      <c r="D435" s="134">
        <f>205</f>
        <v>205</v>
      </c>
      <c r="E435" s="268"/>
      <c r="F435" s="280">
        <f t="shared" si="122"/>
        <v>205</v>
      </c>
      <c r="G435" s="315"/>
      <c r="H435" s="316"/>
      <c r="I435" s="317">
        <f t="shared" si="123"/>
        <v>205</v>
      </c>
      <c r="J435" s="21"/>
      <c r="K435" s="7"/>
      <c r="L435" s="65"/>
      <c r="M435" s="127"/>
      <c r="N435" s="7"/>
      <c r="O435" s="18"/>
      <c r="P435" s="72"/>
      <c r="Q435" s="70"/>
    </row>
    <row r="436" spans="1:17" ht="12.75">
      <c r="A436" s="30" t="s">
        <v>242</v>
      </c>
      <c r="B436" s="88">
        <v>1300</v>
      </c>
      <c r="C436" s="136">
        <v>4225</v>
      </c>
      <c r="D436" s="104">
        <f>1000+8748.4</f>
        <v>9748.4</v>
      </c>
      <c r="E436" s="236">
        <v>3350</v>
      </c>
      <c r="F436" s="274">
        <f t="shared" si="122"/>
        <v>17323.4</v>
      </c>
      <c r="G436" s="296">
        <f>1000+22231.6</f>
        <v>23231.6</v>
      </c>
      <c r="H436" s="235"/>
      <c r="I436" s="256">
        <f t="shared" si="123"/>
        <v>40555</v>
      </c>
      <c r="J436" s="21"/>
      <c r="K436" s="7"/>
      <c r="L436" s="65"/>
      <c r="M436" s="127"/>
      <c r="N436" s="7"/>
      <c r="O436" s="18"/>
      <c r="P436" s="72"/>
      <c r="Q436" s="70"/>
    </row>
    <row r="437" spans="1:17" ht="12.75">
      <c r="A437" s="29" t="s">
        <v>91</v>
      </c>
      <c r="B437" s="91">
        <v>1110</v>
      </c>
      <c r="C437" s="168">
        <v>30000</v>
      </c>
      <c r="D437" s="112">
        <f>16585.8</f>
        <v>16585.8</v>
      </c>
      <c r="E437" s="267"/>
      <c r="F437" s="279">
        <f t="shared" si="122"/>
        <v>46585.8</v>
      </c>
      <c r="G437" s="294">
        <f>873</f>
        <v>873</v>
      </c>
      <c r="H437" s="243"/>
      <c r="I437" s="262">
        <f t="shared" si="123"/>
        <v>47458.8</v>
      </c>
      <c r="J437" s="21"/>
      <c r="K437" s="7"/>
      <c r="L437" s="65"/>
      <c r="M437" s="127"/>
      <c r="N437" s="7"/>
      <c r="O437" s="18"/>
      <c r="P437" s="72"/>
      <c r="Q437" s="70"/>
    </row>
    <row r="438" spans="1:17" ht="12.75">
      <c r="A438" s="23" t="s">
        <v>156</v>
      </c>
      <c r="B438" s="92"/>
      <c r="C438" s="143">
        <f aca="true" t="shared" si="124" ref="C438:Q438">C439</f>
        <v>1</v>
      </c>
      <c r="D438" s="103">
        <f t="shared" si="124"/>
        <v>7280.35</v>
      </c>
      <c r="E438" s="233">
        <f t="shared" si="124"/>
        <v>0</v>
      </c>
      <c r="F438" s="254">
        <f t="shared" si="124"/>
        <v>7281.35</v>
      </c>
      <c r="G438" s="286">
        <f t="shared" si="124"/>
        <v>0</v>
      </c>
      <c r="H438" s="233">
        <f t="shared" si="124"/>
        <v>0</v>
      </c>
      <c r="I438" s="257">
        <f t="shared" si="124"/>
        <v>7281.35</v>
      </c>
      <c r="J438" s="143">
        <f t="shared" si="124"/>
        <v>0</v>
      </c>
      <c r="K438" s="103">
        <f t="shared" si="124"/>
        <v>0</v>
      </c>
      <c r="L438" s="158">
        <f t="shared" si="124"/>
        <v>7281.35</v>
      </c>
      <c r="M438" s="128">
        <f t="shared" si="124"/>
        <v>0</v>
      </c>
      <c r="N438" s="102">
        <f t="shared" si="124"/>
        <v>0</v>
      </c>
      <c r="O438" s="102">
        <f t="shared" si="124"/>
        <v>7281.35</v>
      </c>
      <c r="P438" s="102">
        <f t="shared" si="124"/>
        <v>0</v>
      </c>
      <c r="Q438" s="102">
        <f t="shared" si="124"/>
        <v>7281.35</v>
      </c>
    </row>
    <row r="439" spans="1:17" ht="12.75">
      <c r="A439" s="32" t="s">
        <v>55</v>
      </c>
      <c r="B439" s="92"/>
      <c r="C439" s="163">
        <f>C441</f>
        <v>1</v>
      </c>
      <c r="D439" s="111">
        <f aca="true" t="shared" si="125" ref="D439:Q439">D441</f>
        <v>7280.35</v>
      </c>
      <c r="E439" s="241">
        <f t="shared" si="125"/>
        <v>0</v>
      </c>
      <c r="F439" s="277">
        <f t="shared" si="125"/>
        <v>7281.35</v>
      </c>
      <c r="G439" s="291">
        <f t="shared" si="125"/>
        <v>0</v>
      </c>
      <c r="H439" s="241">
        <f t="shared" si="125"/>
        <v>0</v>
      </c>
      <c r="I439" s="260">
        <f t="shared" si="125"/>
        <v>7281.35</v>
      </c>
      <c r="J439" s="163">
        <f t="shared" si="125"/>
        <v>0</v>
      </c>
      <c r="K439" s="111">
        <f t="shared" si="125"/>
        <v>0</v>
      </c>
      <c r="L439" s="183">
        <f t="shared" si="125"/>
        <v>7281.35</v>
      </c>
      <c r="M439" s="154">
        <f t="shared" si="125"/>
        <v>0</v>
      </c>
      <c r="N439" s="110">
        <f t="shared" si="125"/>
        <v>0</v>
      </c>
      <c r="O439" s="110">
        <f t="shared" si="125"/>
        <v>7281.35</v>
      </c>
      <c r="P439" s="110">
        <f t="shared" si="125"/>
        <v>0</v>
      </c>
      <c r="Q439" s="110">
        <f t="shared" si="125"/>
        <v>7281.35</v>
      </c>
    </row>
    <row r="440" spans="1:17" ht="12.75">
      <c r="A440" s="28" t="s">
        <v>27</v>
      </c>
      <c r="B440" s="88"/>
      <c r="C440" s="136"/>
      <c r="D440" s="104"/>
      <c r="E440" s="236"/>
      <c r="F440" s="274"/>
      <c r="G440" s="287"/>
      <c r="H440" s="235"/>
      <c r="I440" s="256"/>
      <c r="J440" s="21"/>
      <c r="K440" s="7"/>
      <c r="L440" s="65"/>
      <c r="M440" s="127"/>
      <c r="N440" s="7"/>
      <c r="O440" s="18"/>
      <c r="P440" s="72"/>
      <c r="Q440" s="70"/>
    </row>
    <row r="441" spans="1:17" ht="12.75">
      <c r="A441" s="29" t="s">
        <v>57</v>
      </c>
      <c r="B441" s="91"/>
      <c r="C441" s="164">
        <v>1</v>
      </c>
      <c r="D441" s="112">
        <v>7280.35</v>
      </c>
      <c r="E441" s="267"/>
      <c r="F441" s="279">
        <f>C441+D441+E441</f>
        <v>7281.35</v>
      </c>
      <c r="G441" s="294"/>
      <c r="H441" s="243"/>
      <c r="I441" s="262">
        <f>F441+G441+H441</f>
        <v>7281.35</v>
      </c>
      <c r="J441" s="199"/>
      <c r="K441" s="10"/>
      <c r="L441" s="64">
        <f>I441+J441+K441</f>
        <v>7281.35</v>
      </c>
      <c r="M441" s="214"/>
      <c r="N441" s="10"/>
      <c r="O441" s="20">
        <f>L441+M441+N441</f>
        <v>7281.35</v>
      </c>
      <c r="P441" s="75"/>
      <c r="Q441" s="76">
        <f>O441+P441</f>
        <v>7281.35</v>
      </c>
    </row>
    <row r="442" spans="1:17" ht="12.75">
      <c r="A442" s="23" t="s">
        <v>113</v>
      </c>
      <c r="B442" s="92"/>
      <c r="C442" s="143">
        <f>C444+C445</f>
        <v>500010</v>
      </c>
      <c r="D442" s="103">
        <f aca="true" t="shared" si="126" ref="D442:Q442">D444+D445</f>
        <v>417149.95</v>
      </c>
      <c r="E442" s="233">
        <f t="shared" si="126"/>
        <v>78219.54</v>
      </c>
      <c r="F442" s="254">
        <f t="shared" si="126"/>
        <v>995379.49</v>
      </c>
      <c r="G442" s="286">
        <f t="shared" si="126"/>
        <v>1241.0799999999995</v>
      </c>
      <c r="H442" s="233">
        <f t="shared" si="126"/>
        <v>0</v>
      </c>
      <c r="I442" s="257">
        <f t="shared" si="126"/>
        <v>996620.5700000001</v>
      </c>
      <c r="J442" s="143">
        <f t="shared" si="126"/>
        <v>0</v>
      </c>
      <c r="K442" s="103">
        <f t="shared" si="126"/>
        <v>0</v>
      </c>
      <c r="L442" s="158">
        <f t="shared" si="126"/>
        <v>991401.31</v>
      </c>
      <c r="M442" s="128">
        <f t="shared" si="126"/>
        <v>0</v>
      </c>
      <c r="N442" s="102">
        <f t="shared" si="126"/>
        <v>0</v>
      </c>
      <c r="O442" s="102">
        <f t="shared" si="126"/>
        <v>991401.31</v>
      </c>
      <c r="P442" s="102">
        <f t="shared" si="126"/>
        <v>0</v>
      </c>
      <c r="Q442" s="102">
        <f t="shared" si="126"/>
        <v>991401.31</v>
      </c>
    </row>
    <row r="443" spans="1:17" ht="12.75">
      <c r="A443" s="25" t="s">
        <v>27</v>
      </c>
      <c r="B443" s="88"/>
      <c r="C443" s="143"/>
      <c r="D443" s="103"/>
      <c r="E443" s="233"/>
      <c r="F443" s="254"/>
      <c r="G443" s="286"/>
      <c r="H443" s="233"/>
      <c r="I443" s="257"/>
      <c r="J443" s="143"/>
      <c r="K443" s="103"/>
      <c r="L443" s="158"/>
      <c r="M443" s="128"/>
      <c r="N443" s="102"/>
      <c r="O443" s="102"/>
      <c r="P443" s="102"/>
      <c r="Q443" s="102"/>
    </row>
    <row r="444" spans="1:17" ht="12.75">
      <c r="A444" s="23" t="s">
        <v>55</v>
      </c>
      <c r="B444" s="92"/>
      <c r="C444" s="130">
        <f>C459+C461+C473+C475+C480+C485+C476+C466+C487+C468+C491</f>
        <v>193060</v>
      </c>
      <c r="D444" s="107">
        <f aca="true" t="shared" si="127" ref="D444:Q444">D459+D461+D473+D475+D480+D485+D476+D466+D487+D468+D491</f>
        <v>6865.51</v>
      </c>
      <c r="E444" s="238">
        <f t="shared" si="127"/>
        <v>1160</v>
      </c>
      <c r="F444" s="275">
        <f t="shared" si="127"/>
        <v>201085.51</v>
      </c>
      <c r="G444" s="289">
        <f t="shared" si="127"/>
        <v>3615</v>
      </c>
      <c r="H444" s="238">
        <f t="shared" si="127"/>
        <v>0</v>
      </c>
      <c r="I444" s="258">
        <f t="shared" si="127"/>
        <v>204700.51</v>
      </c>
      <c r="J444" s="130">
        <f t="shared" si="127"/>
        <v>0</v>
      </c>
      <c r="K444" s="107">
        <f t="shared" si="127"/>
        <v>0</v>
      </c>
      <c r="L444" s="181">
        <f t="shared" si="127"/>
        <v>199890.51</v>
      </c>
      <c r="M444" s="152">
        <f t="shared" si="127"/>
        <v>0</v>
      </c>
      <c r="N444" s="106">
        <f t="shared" si="127"/>
        <v>0</v>
      </c>
      <c r="O444" s="106">
        <f t="shared" si="127"/>
        <v>199890.51</v>
      </c>
      <c r="P444" s="106">
        <f t="shared" si="127"/>
        <v>0</v>
      </c>
      <c r="Q444" s="106">
        <f t="shared" si="127"/>
        <v>199890.51</v>
      </c>
    </row>
    <row r="445" spans="1:17" ht="12.75">
      <c r="A445" s="23" t="s">
        <v>60</v>
      </c>
      <c r="B445" s="92"/>
      <c r="C445" s="130">
        <f>C448+C449+C451+C452+C454+C456+C457+C458+C462+C463+C465+C467+C469+C471+C472+C474+C477+C479+C481+C482+C484+C486+C488+C490</f>
        <v>306950</v>
      </c>
      <c r="D445" s="107">
        <f aca="true" t="shared" si="128" ref="D445:Q445">D448+D449+D451+D452+D454+D456+D457+D458+D462+D463+D465+D467+D469+D471+D472+D474+D477+D479+D481+D482+D484+D486+D488+D490</f>
        <v>410284.44</v>
      </c>
      <c r="E445" s="238">
        <f t="shared" si="128"/>
        <v>77059.54</v>
      </c>
      <c r="F445" s="275">
        <f t="shared" si="128"/>
        <v>794293.98</v>
      </c>
      <c r="G445" s="289">
        <f t="shared" si="128"/>
        <v>-2373.9200000000005</v>
      </c>
      <c r="H445" s="238">
        <f t="shared" si="128"/>
        <v>0</v>
      </c>
      <c r="I445" s="258">
        <f t="shared" si="128"/>
        <v>791920.06</v>
      </c>
      <c r="J445" s="130">
        <f t="shared" si="128"/>
        <v>0</v>
      </c>
      <c r="K445" s="107">
        <f t="shared" si="128"/>
        <v>0</v>
      </c>
      <c r="L445" s="181">
        <f t="shared" si="128"/>
        <v>791510.8</v>
      </c>
      <c r="M445" s="152">
        <f t="shared" si="128"/>
        <v>0</v>
      </c>
      <c r="N445" s="106">
        <f t="shared" si="128"/>
        <v>0</v>
      </c>
      <c r="O445" s="106">
        <f t="shared" si="128"/>
        <v>791510.8</v>
      </c>
      <c r="P445" s="106">
        <f t="shared" si="128"/>
        <v>0</v>
      </c>
      <c r="Q445" s="106">
        <f t="shared" si="128"/>
        <v>791510.8</v>
      </c>
    </row>
    <row r="446" spans="1:17" ht="12.75">
      <c r="A446" s="24" t="s">
        <v>114</v>
      </c>
      <c r="B446" s="88"/>
      <c r="C446" s="143"/>
      <c r="D446" s="103"/>
      <c r="E446" s="233"/>
      <c r="F446" s="254"/>
      <c r="G446" s="286"/>
      <c r="H446" s="234"/>
      <c r="I446" s="257"/>
      <c r="J446" s="196"/>
      <c r="K446" s="6"/>
      <c r="L446" s="61"/>
      <c r="M446" s="211"/>
      <c r="N446" s="6"/>
      <c r="O446" s="17"/>
      <c r="P446" s="72"/>
      <c r="Q446" s="70"/>
    </row>
    <row r="447" spans="1:17" ht="12.75" hidden="1">
      <c r="A447" s="25" t="s">
        <v>115</v>
      </c>
      <c r="B447" s="88">
        <v>18</v>
      </c>
      <c r="C447" s="136">
        <f>C448+C449</f>
        <v>0</v>
      </c>
      <c r="D447" s="104">
        <f aca="true" t="shared" si="129" ref="D447:Q447">D448+D449</f>
        <v>0</v>
      </c>
      <c r="E447" s="236">
        <f t="shared" si="129"/>
        <v>0</v>
      </c>
      <c r="F447" s="274">
        <f t="shared" si="129"/>
        <v>0</v>
      </c>
      <c r="G447" s="287">
        <f t="shared" si="129"/>
        <v>0</v>
      </c>
      <c r="H447" s="236">
        <f t="shared" si="129"/>
        <v>0</v>
      </c>
      <c r="I447" s="256">
        <f t="shared" si="129"/>
        <v>0</v>
      </c>
      <c r="J447" s="136">
        <f t="shared" si="129"/>
        <v>0</v>
      </c>
      <c r="K447" s="104">
        <f t="shared" si="129"/>
        <v>0</v>
      </c>
      <c r="L447" s="180">
        <f t="shared" si="129"/>
        <v>0</v>
      </c>
      <c r="M447" s="151">
        <f t="shared" si="129"/>
        <v>0</v>
      </c>
      <c r="N447" s="105">
        <f t="shared" si="129"/>
        <v>0</v>
      </c>
      <c r="O447" s="105">
        <f t="shared" si="129"/>
        <v>0</v>
      </c>
      <c r="P447" s="105">
        <f t="shared" si="129"/>
        <v>0</v>
      </c>
      <c r="Q447" s="105">
        <f t="shared" si="129"/>
        <v>0</v>
      </c>
    </row>
    <row r="448" spans="1:17" ht="12.75" hidden="1">
      <c r="A448" s="25" t="s">
        <v>116</v>
      </c>
      <c r="B448" s="88"/>
      <c r="C448" s="136"/>
      <c r="D448" s="104">
        <f>1000-1000</f>
        <v>0</v>
      </c>
      <c r="E448" s="236"/>
      <c r="F448" s="274">
        <f aca="true" t="shared" si="130" ref="F448:F494">C448+D448+E448</f>
        <v>0</v>
      </c>
      <c r="G448" s="287"/>
      <c r="H448" s="234"/>
      <c r="I448" s="256">
        <f>F448+G448+H448</f>
        <v>0</v>
      </c>
      <c r="J448" s="21"/>
      <c r="K448" s="6"/>
      <c r="L448" s="65">
        <f>I448+J448+K448</f>
        <v>0</v>
      </c>
      <c r="M448" s="127"/>
      <c r="N448" s="6"/>
      <c r="O448" s="18">
        <f>L448+M448+N448</f>
        <v>0</v>
      </c>
      <c r="P448" s="72"/>
      <c r="Q448" s="70">
        <f>O448+P448</f>
        <v>0</v>
      </c>
    </row>
    <row r="449" spans="1:17" ht="12.75" hidden="1">
      <c r="A449" s="25" t="s">
        <v>117</v>
      </c>
      <c r="B449" s="88"/>
      <c r="C449" s="136"/>
      <c r="D449" s="104"/>
      <c r="E449" s="236"/>
      <c r="F449" s="274">
        <f t="shared" si="130"/>
        <v>0</v>
      </c>
      <c r="G449" s="287"/>
      <c r="H449" s="234"/>
      <c r="I449" s="256">
        <f>F449+G449+H449</f>
        <v>0</v>
      </c>
      <c r="J449" s="21"/>
      <c r="K449" s="6"/>
      <c r="L449" s="65">
        <f>I449+J449+K449</f>
        <v>0</v>
      </c>
      <c r="M449" s="127"/>
      <c r="N449" s="6"/>
      <c r="O449" s="18">
        <f>L449+M449+N449</f>
        <v>0</v>
      </c>
      <c r="P449" s="72"/>
      <c r="Q449" s="70">
        <f>O449+P449</f>
        <v>0</v>
      </c>
    </row>
    <row r="450" spans="1:17" ht="12.75">
      <c r="A450" s="89" t="s">
        <v>297</v>
      </c>
      <c r="B450" s="88">
        <v>19</v>
      </c>
      <c r="C450" s="136">
        <f>C451+C452</f>
        <v>22500</v>
      </c>
      <c r="D450" s="104">
        <f aca="true" t="shared" si="131" ref="D450:Q450">D451+D452</f>
        <v>13458.31</v>
      </c>
      <c r="E450" s="236">
        <f t="shared" si="131"/>
        <v>0</v>
      </c>
      <c r="F450" s="274">
        <f t="shared" si="131"/>
        <v>35958.31</v>
      </c>
      <c r="G450" s="287">
        <f t="shared" si="131"/>
        <v>0</v>
      </c>
      <c r="H450" s="236">
        <f t="shared" si="131"/>
        <v>0</v>
      </c>
      <c r="I450" s="256">
        <f t="shared" si="131"/>
        <v>35958.31</v>
      </c>
      <c r="J450" s="136">
        <f t="shared" si="131"/>
        <v>0</v>
      </c>
      <c r="K450" s="104">
        <f t="shared" si="131"/>
        <v>0</v>
      </c>
      <c r="L450" s="180">
        <f t="shared" si="131"/>
        <v>35958.31</v>
      </c>
      <c r="M450" s="151">
        <f t="shared" si="131"/>
        <v>0</v>
      </c>
      <c r="N450" s="105">
        <f t="shared" si="131"/>
        <v>0</v>
      </c>
      <c r="O450" s="105">
        <f t="shared" si="131"/>
        <v>35958.31</v>
      </c>
      <c r="P450" s="105">
        <f t="shared" si="131"/>
        <v>0</v>
      </c>
      <c r="Q450" s="105">
        <f t="shared" si="131"/>
        <v>35958.31</v>
      </c>
    </row>
    <row r="451" spans="1:17" ht="12.75">
      <c r="A451" s="25" t="s">
        <v>116</v>
      </c>
      <c r="B451" s="88"/>
      <c r="C451" s="136">
        <v>22500</v>
      </c>
      <c r="D451" s="104">
        <f>6018+2750+90+1000+3300</f>
        <v>13158</v>
      </c>
      <c r="E451" s="236"/>
      <c r="F451" s="274">
        <f t="shared" si="130"/>
        <v>35658</v>
      </c>
      <c r="G451" s="287"/>
      <c r="H451" s="234"/>
      <c r="I451" s="256">
        <f>F451+G451+H451</f>
        <v>35658</v>
      </c>
      <c r="J451" s="21"/>
      <c r="K451" s="6"/>
      <c r="L451" s="65">
        <f>I451+J451+K451</f>
        <v>35658</v>
      </c>
      <c r="M451" s="127"/>
      <c r="N451" s="6"/>
      <c r="O451" s="18">
        <f>L451+M451+N451</f>
        <v>35658</v>
      </c>
      <c r="P451" s="72"/>
      <c r="Q451" s="70">
        <f>O451+P451</f>
        <v>35658</v>
      </c>
    </row>
    <row r="452" spans="1:17" ht="12.75">
      <c r="A452" s="25" t="s">
        <v>117</v>
      </c>
      <c r="B452" s="88"/>
      <c r="C452" s="136"/>
      <c r="D452" s="104">
        <f>390.31-90</f>
        <v>300.31</v>
      </c>
      <c r="E452" s="236"/>
      <c r="F452" s="274">
        <f t="shared" si="130"/>
        <v>300.31</v>
      </c>
      <c r="G452" s="287"/>
      <c r="H452" s="234"/>
      <c r="I452" s="256">
        <f>F452+G452+H452</f>
        <v>300.31</v>
      </c>
      <c r="J452" s="21"/>
      <c r="K452" s="6"/>
      <c r="L452" s="65">
        <f>I452+J452+K452</f>
        <v>300.31</v>
      </c>
      <c r="M452" s="127"/>
      <c r="N452" s="6"/>
      <c r="O452" s="18">
        <f>L452+M452+N452</f>
        <v>300.31</v>
      </c>
      <c r="P452" s="72"/>
      <c r="Q452" s="70">
        <f>O452+P452</f>
        <v>300.31</v>
      </c>
    </row>
    <row r="453" spans="1:17" ht="12.75" hidden="1">
      <c r="A453" s="26" t="s">
        <v>178</v>
      </c>
      <c r="B453" s="88">
        <v>2</v>
      </c>
      <c r="C453" s="136">
        <f>C454</f>
        <v>0</v>
      </c>
      <c r="D453" s="104">
        <f aca="true" t="shared" si="132" ref="D453:O453">D454</f>
        <v>0</v>
      </c>
      <c r="E453" s="236">
        <f t="shared" si="132"/>
        <v>0</v>
      </c>
      <c r="F453" s="274">
        <f t="shared" si="132"/>
        <v>0</v>
      </c>
      <c r="G453" s="287">
        <f t="shared" si="132"/>
        <v>0</v>
      </c>
      <c r="H453" s="236">
        <f t="shared" si="132"/>
        <v>0</v>
      </c>
      <c r="I453" s="256">
        <f t="shared" si="132"/>
        <v>0</v>
      </c>
      <c r="J453" s="136">
        <f t="shared" si="132"/>
        <v>0</v>
      </c>
      <c r="K453" s="104">
        <f t="shared" si="132"/>
        <v>0</v>
      </c>
      <c r="L453" s="180">
        <f t="shared" si="132"/>
        <v>0</v>
      </c>
      <c r="M453" s="151">
        <f t="shared" si="132"/>
        <v>0</v>
      </c>
      <c r="N453" s="105">
        <f t="shared" si="132"/>
        <v>0</v>
      </c>
      <c r="O453" s="105">
        <f t="shared" si="132"/>
        <v>0</v>
      </c>
      <c r="P453" s="72"/>
      <c r="Q453" s="70"/>
    </row>
    <row r="454" spans="1:17" ht="12.75" hidden="1">
      <c r="A454" s="26" t="s">
        <v>179</v>
      </c>
      <c r="B454" s="88"/>
      <c r="C454" s="136"/>
      <c r="D454" s="104"/>
      <c r="E454" s="236"/>
      <c r="F454" s="274">
        <f t="shared" si="130"/>
        <v>0</v>
      </c>
      <c r="G454" s="287"/>
      <c r="H454" s="234"/>
      <c r="I454" s="256"/>
      <c r="J454" s="21"/>
      <c r="K454" s="6"/>
      <c r="L454" s="65"/>
      <c r="M454" s="127"/>
      <c r="N454" s="6"/>
      <c r="O454" s="18"/>
      <c r="P454" s="72"/>
      <c r="Q454" s="70"/>
    </row>
    <row r="455" spans="1:17" ht="12.75">
      <c r="A455" s="25" t="s">
        <v>118</v>
      </c>
      <c r="B455" s="88">
        <v>10</v>
      </c>
      <c r="C455" s="136">
        <f>SUM(C456:C459)</f>
        <v>150000</v>
      </c>
      <c r="D455" s="104">
        <f aca="true" t="shared" si="133" ref="D455:Q455">SUM(D456:D459)</f>
        <v>17657.870000000006</v>
      </c>
      <c r="E455" s="236">
        <f t="shared" si="133"/>
        <v>78219.54</v>
      </c>
      <c r="F455" s="274">
        <f t="shared" si="133"/>
        <v>245877.41</v>
      </c>
      <c r="G455" s="287">
        <f t="shared" si="133"/>
        <v>0</v>
      </c>
      <c r="H455" s="236">
        <f t="shared" si="133"/>
        <v>0</v>
      </c>
      <c r="I455" s="256">
        <f t="shared" si="133"/>
        <v>245877.41</v>
      </c>
      <c r="J455" s="136">
        <f t="shared" si="133"/>
        <v>0</v>
      </c>
      <c r="K455" s="104">
        <f t="shared" si="133"/>
        <v>0</v>
      </c>
      <c r="L455" s="180">
        <f t="shared" si="133"/>
        <v>245877.41</v>
      </c>
      <c r="M455" s="151">
        <f t="shared" si="133"/>
        <v>0</v>
      </c>
      <c r="N455" s="105">
        <f t="shared" si="133"/>
        <v>0</v>
      </c>
      <c r="O455" s="105">
        <f t="shared" si="133"/>
        <v>245877.41</v>
      </c>
      <c r="P455" s="105">
        <f t="shared" si="133"/>
        <v>0</v>
      </c>
      <c r="Q455" s="105">
        <f t="shared" si="133"/>
        <v>245877.41</v>
      </c>
    </row>
    <row r="456" spans="1:17" ht="12.75">
      <c r="A456" s="25" t="s">
        <v>119</v>
      </c>
      <c r="B456" s="88"/>
      <c r="C456" s="136"/>
      <c r="D456" s="104"/>
      <c r="E456" s="236"/>
      <c r="F456" s="274">
        <f t="shared" si="130"/>
        <v>0</v>
      </c>
      <c r="G456" s="287"/>
      <c r="H456" s="235"/>
      <c r="I456" s="256">
        <f>F456+G456+H456</f>
        <v>0</v>
      </c>
      <c r="J456" s="21"/>
      <c r="K456" s="7"/>
      <c r="L456" s="65">
        <f>I456+J456+K456</f>
        <v>0</v>
      </c>
      <c r="M456" s="127"/>
      <c r="N456" s="7"/>
      <c r="O456" s="18">
        <f>L456+M456+N456</f>
        <v>0</v>
      </c>
      <c r="P456" s="72"/>
      <c r="Q456" s="70">
        <f>O456+P456</f>
        <v>0</v>
      </c>
    </row>
    <row r="457" spans="1:17" ht="12.75">
      <c r="A457" s="25" t="s">
        <v>120</v>
      </c>
      <c r="B457" s="88"/>
      <c r="C457" s="136"/>
      <c r="D457" s="115">
        <f>39934.19</f>
        <v>39934.19</v>
      </c>
      <c r="E457" s="245">
        <v>78219.54</v>
      </c>
      <c r="F457" s="274">
        <f t="shared" si="130"/>
        <v>118153.73</v>
      </c>
      <c r="G457" s="287"/>
      <c r="H457" s="235"/>
      <c r="I457" s="256">
        <f>F457+G457+H457</f>
        <v>118153.73</v>
      </c>
      <c r="J457" s="21"/>
      <c r="K457" s="7"/>
      <c r="L457" s="65">
        <f>I457+J457+K457</f>
        <v>118153.73</v>
      </c>
      <c r="M457" s="127"/>
      <c r="N457" s="7"/>
      <c r="O457" s="18">
        <f>L457+M457+N457</f>
        <v>118153.73</v>
      </c>
      <c r="P457" s="72"/>
      <c r="Q457" s="70">
        <f>O457+P457</f>
        <v>118153.73</v>
      </c>
    </row>
    <row r="458" spans="1:17" ht="12.75">
      <c r="A458" s="25" t="s">
        <v>117</v>
      </c>
      <c r="B458" s="88"/>
      <c r="C458" s="136"/>
      <c r="D458" s="104">
        <f>1000+164.8</f>
        <v>1164.8</v>
      </c>
      <c r="E458" s="236"/>
      <c r="F458" s="274">
        <f t="shared" si="130"/>
        <v>1164.8</v>
      </c>
      <c r="G458" s="287"/>
      <c r="H458" s="235"/>
      <c r="I458" s="256">
        <f>F458+G458+H458</f>
        <v>1164.8</v>
      </c>
      <c r="J458" s="21"/>
      <c r="K458" s="7"/>
      <c r="L458" s="65">
        <f>I458+J458+K458</f>
        <v>1164.8</v>
      </c>
      <c r="M458" s="127"/>
      <c r="N458" s="7"/>
      <c r="O458" s="18">
        <f>L458+M458+N458</f>
        <v>1164.8</v>
      </c>
      <c r="P458" s="72"/>
      <c r="Q458" s="70">
        <f>O458+P458</f>
        <v>1164.8</v>
      </c>
    </row>
    <row r="459" spans="1:17" ht="12.75">
      <c r="A459" s="26" t="s">
        <v>146</v>
      </c>
      <c r="B459" s="88"/>
      <c r="C459" s="136">
        <v>150000</v>
      </c>
      <c r="D459" s="132">
        <f>-23441.12</f>
        <v>-23441.12</v>
      </c>
      <c r="E459" s="236"/>
      <c r="F459" s="274">
        <f t="shared" si="130"/>
        <v>126558.88</v>
      </c>
      <c r="G459" s="287"/>
      <c r="H459" s="235"/>
      <c r="I459" s="256">
        <f>F459+G459+H459</f>
        <v>126558.88</v>
      </c>
      <c r="J459" s="21"/>
      <c r="K459" s="7"/>
      <c r="L459" s="65">
        <f>I459+J459+K459</f>
        <v>126558.88</v>
      </c>
      <c r="M459" s="127"/>
      <c r="N459" s="7"/>
      <c r="O459" s="18">
        <f>L459+M459+N459</f>
        <v>126558.88</v>
      </c>
      <c r="P459" s="72"/>
      <c r="Q459" s="70">
        <f>O459+P459</f>
        <v>126558.88</v>
      </c>
    </row>
    <row r="460" spans="1:17" ht="12.75">
      <c r="A460" s="25" t="s">
        <v>121</v>
      </c>
      <c r="B460" s="88">
        <v>12</v>
      </c>
      <c r="C460" s="136">
        <f aca="true" t="shared" si="134" ref="C460:Q460">C461+C462+C463</f>
        <v>32500</v>
      </c>
      <c r="D460" s="104">
        <f t="shared" si="134"/>
        <v>53799.600000000006</v>
      </c>
      <c r="E460" s="236">
        <f t="shared" si="134"/>
        <v>0</v>
      </c>
      <c r="F460" s="274">
        <f t="shared" si="134"/>
        <v>86299.6</v>
      </c>
      <c r="G460" s="287">
        <f t="shared" si="134"/>
        <v>-2800</v>
      </c>
      <c r="H460" s="236">
        <f t="shared" si="134"/>
        <v>0</v>
      </c>
      <c r="I460" s="256">
        <f t="shared" si="134"/>
        <v>83499.6</v>
      </c>
      <c r="J460" s="136">
        <f t="shared" si="134"/>
        <v>0</v>
      </c>
      <c r="K460" s="104">
        <f t="shared" si="134"/>
        <v>0</v>
      </c>
      <c r="L460" s="180">
        <f t="shared" si="134"/>
        <v>83499.6</v>
      </c>
      <c r="M460" s="151">
        <f t="shared" si="134"/>
        <v>0</v>
      </c>
      <c r="N460" s="105">
        <f t="shared" si="134"/>
        <v>0</v>
      </c>
      <c r="O460" s="105">
        <f t="shared" si="134"/>
        <v>83499.6</v>
      </c>
      <c r="P460" s="105">
        <f t="shared" si="134"/>
        <v>0</v>
      </c>
      <c r="Q460" s="105">
        <f t="shared" si="134"/>
        <v>83499.6</v>
      </c>
    </row>
    <row r="461" spans="1:17" ht="12.75">
      <c r="A461" s="25" t="s">
        <v>122</v>
      </c>
      <c r="B461" s="88"/>
      <c r="C461" s="136">
        <v>1500</v>
      </c>
      <c r="D461" s="104">
        <f>2132.41-600</f>
        <v>1532.4099999999999</v>
      </c>
      <c r="E461" s="236"/>
      <c r="F461" s="274">
        <f t="shared" si="130"/>
        <v>3032.41</v>
      </c>
      <c r="G461" s="287">
        <f>-300</f>
        <v>-300</v>
      </c>
      <c r="H461" s="235"/>
      <c r="I461" s="256">
        <f>F461+G461+H461</f>
        <v>2732.41</v>
      </c>
      <c r="J461" s="21"/>
      <c r="K461" s="7"/>
      <c r="L461" s="65">
        <f>I461+J461+K461</f>
        <v>2732.41</v>
      </c>
      <c r="M461" s="127"/>
      <c r="N461" s="7"/>
      <c r="O461" s="18">
        <f>L461+M461+N461</f>
        <v>2732.41</v>
      </c>
      <c r="P461" s="72"/>
      <c r="Q461" s="70">
        <f>O461+P461</f>
        <v>2732.41</v>
      </c>
    </row>
    <row r="462" spans="1:17" ht="12.75">
      <c r="A462" s="25" t="s">
        <v>120</v>
      </c>
      <c r="B462" s="88"/>
      <c r="C462" s="136">
        <v>31000</v>
      </c>
      <c r="D462" s="104">
        <f>20000+31167.19+1100</f>
        <v>52267.19</v>
      </c>
      <c r="E462" s="236"/>
      <c r="F462" s="274">
        <f t="shared" si="130"/>
        <v>83267.19</v>
      </c>
      <c r="G462" s="287">
        <f>-2500</f>
        <v>-2500</v>
      </c>
      <c r="H462" s="235"/>
      <c r="I462" s="256">
        <f>F462+G462+H462</f>
        <v>80767.19</v>
      </c>
      <c r="J462" s="21"/>
      <c r="K462" s="7"/>
      <c r="L462" s="65">
        <f>I462+J462+K462</f>
        <v>80767.19</v>
      </c>
      <c r="M462" s="127"/>
      <c r="N462" s="7"/>
      <c r="O462" s="18">
        <f>L462+M462+N462</f>
        <v>80767.19</v>
      </c>
      <c r="P462" s="72"/>
      <c r="Q462" s="70">
        <f>O462+P462</f>
        <v>80767.19</v>
      </c>
    </row>
    <row r="463" spans="1:17" ht="12.75" customHeight="1" hidden="1">
      <c r="A463" s="25" t="s">
        <v>117</v>
      </c>
      <c r="B463" s="88"/>
      <c r="C463" s="136"/>
      <c r="D463" s="104"/>
      <c r="E463" s="236"/>
      <c r="F463" s="274">
        <f t="shared" si="130"/>
        <v>0</v>
      </c>
      <c r="G463" s="287"/>
      <c r="H463" s="235"/>
      <c r="I463" s="256">
        <f>F463+G463+H463</f>
        <v>0</v>
      </c>
      <c r="J463" s="21"/>
      <c r="K463" s="7"/>
      <c r="L463" s="65">
        <f>I463+J463+K463</f>
        <v>0</v>
      </c>
      <c r="M463" s="127"/>
      <c r="N463" s="7"/>
      <c r="O463" s="18">
        <f>L463+M463+N463</f>
        <v>0</v>
      </c>
      <c r="P463" s="72"/>
      <c r="Q463" s="70">
        <f>O463+P463</f>
        <v>0</v>
      </c>
    </row>
    <row r="464" spans="1:17" ht="12.75">
      <c r="A464" s="25" t="s">
        <v>123</v>
      </c>
      <c r="B464" s="88">
        <v>14</v>
      </c>
      <c r="C464" s="136">
        <f>SUM(C465:C469)</f>
        <v>92000</v>
      </c>
      <c r="D464" s="104">
        <f aca="true" t="shared" si="135" ref="D464:Q464">SUM(D465:D469)</f>
        <v>35526.1</v>
      </c>
      <c r="E464" s="236">
        <f t="shared" si="135"/>
        <v>0</v>
      </c>
      <c r="F464" s="274">
        <f t="shared" si="135"/>
        <v>127526.1</v>
      </c>
      <c r="G464" s="287">
        <f t="shared" si="135"/>
        <v>4609.39</v>
      </c>
      <c r="H464" s="236">
        <f t="shared" si="135"/>
        <v>0</v>
      </c>
      <c r="I464" s="256">
        <f t="shared" si="135"/>
        <v>132135.49</v>
      </c>
      <c r="J464" s="136">
        <f t="shared" si="135"/>
        <v>0</v>
      </c>
      <c r="K464" s="104">
        <f t="shared" si="135"/>
        <v>0</v>
      </c>
      <c r="L464" s="180">
        <f t="shared" si="135"/>
        <v>132135.49</v>
      </c>
      <c r="M464" s="151">
        <f t="shared" si="135"/>
        <v>0</v>
      </c>
      <c r="N464" s="105">
        <f t="shared" si="135"/>
        <v>0</v>
      </c>
      <c r="O464" s="105">
        <f t="shared" si="135"/>
        <v>132135.49</v>
      </c>
      <c r="P464" s="105">
        <f t="shared" si="135"/>
        <v>0</v>
      </c>
      <c r="Q464" s="105">
        <f t="shared" si="135"/>
        <v>132135.49</v>
      </c>
    </row>
    <row r="465" spans="1:17" ht="12.75">
      <c r="A465" s="25" t="s">
        <v>124</v>
      </c>
      <c r="B465" s="88"/>
      <c r="C465" s="136">
        <v>57300</v>
      </c>
      <c r="D465" s="115">
        <f>18532+4700</f>
        <v>23232</v>
      </c>
      <c r="E465" s="245"/>
      <c r="F465" s="274">
        <f t="shared" si="130"/>
        <v>80532</v>
      </c>
      <c r="G465" s="287">
        <f>1569.39+2397</f>
        <v>3966.3900000000003</v>
      </c>
      <c r="H465" s="235"/>
      <c r="I465" s="256">
        <f>F465+G465+H465</f>
        <v>84498.39</v>
      </c>
      <c r="J465" s="21"/>
      <c r="K465" s="7"/>
      <c r="L465" s="65">
        <f>I465+J465+K465</f>
        <v>84498.39</v>
      </c>
      <c r="M465" s="127"/>
      <c r="N465" s="7"/>
      <c r="O465" s="18">
        <f>L465+M465+N465</f>
        <v>84498.39</v>
      </c>
      <c r="P465" s="72"/>
      <c r="Q465" s="70">
        <f aca="true" t="shared" si="136" ref="Q465:Q505">O465+P465</f>
        <v>84498.39</v>
      </c>
    </row>
    <row r="466" spans="1:17" ht="12.75">
      <c r="A466" s="25" t="s">
        <v>125</v>
      </c>
      <c r="B466" s="88"/>
      <c r="C466" s="136">
        <v>27050</v>
      </c>
      <c r="D466" s="104">
        <f>4191+650+55.1</f>
        <v>4896.1</v>
      </c>
      <c r="E466" s="236"/>
      <c r="F466" s="274">
        <f t="shared" si="130"/>
        <v>31946.1</v>
      </c>
      <c r="G466" s="287">
        <f>1840+603</f>
        <v>2443</v>
      </c>
      <c r="H466" s="235"/>
      <c r="I466" s="256">
        <f>F466+G466+H466</f>
        <v>34389.1</v>
      </c>
      <c r="J466" s="21"/>
      <c r="K466" s="7"/>
      <c r="L466" s="65">
        <f>I466+J466+K466</f>
        <v>34389.1</v>
      </c>
      <c r="M466" s="127"/>
      <c r="N466" s="7"/>
      <c r="O466" s="18">
        <f>L466+M466+N466</f>
        <v>34389.1</v>
      </c>
      <c r="P466" s="72"/>
      <c r="Q466" s="70">
        <f t="shared" si="136"/>
        <v>34389.1</v>
      </c>
    </row>
    <row r="467" spans="1:17" ht="13.5" customHeight="1">
      <c r="A467" s="25" t="s">
        <v>126</v>
      </c>
      <c r="B467" s="88"/>
      <c r="C467" s="136">
        <v>2000</v>
      </c>
      <c r="D467" s="104">
        <f>12948-33-200</f>
        <v>12715</v>
      </c>
      <c r="E467" s="236"/>
      <c r="F467" s="274">
        <f t="shared" si="130"/>
        <v>14715</v>
      </c>
      <c r="G467" s="287">
        <f>-2000</f>
        <v>-2000</v>
      </c>
      <c r="H467" s="235"/>
      <c r="I467" s="256">
        <f>F467+G467+H467</f>
        <v>12715</v>
      </c>
      <c r="J467" s="21"/>
      <c r="K467" s="7"/>
      <c r="L467" s="65">
        <f>I467+J467+K467</f>
        <v>12715</v>
      </c>
      <c r="M467" s="127"/>
      <c r="N467" s="7"/>
      <c r="O467" s="18">
        <f>L467+M467+N467</f>
        <v>12715</v>
      </c>
      <c r="P467" s="72"/>
      <c r="Q467" s="70">
        <f t="shared" si="136"/>
        <v>12715</v>
      </c>
    </row>
    <row r="468" spans="1:17" ht="13.5" customHeight="1">
      <c r="A468" s="26" t="s">
        <v>146</v>
      </c>
      <c r="B468" s="88"/>
      <c r="C468" s="136">
        <v>300</v>
      </c>
      <c r="D468" s="104">
        <f>33</f>
        <v>33</v>
      </c>
      <c r="E468" s="236"/>
      <c r="F468" s="274">
        <f t="shared" si="130"/>
        <v>333</v>
      </c>
      <c r="G468" s="287">
        <f>200</f>
        <v>200</v>
      </c>
      <c r="H468" s="235"/>
      <c r="I468" s="256">
        <f>F468+G468+H468</f>
        <v>533</v>
      </c>
      <c r="J468" s="21"/>
      <c r="K468" s="7"/>
      <c r="L468" s="65">
        <f>I468+J468+K468</f>
        <v>533</v>
      </c>
      <c r="M468" s="127"/>
      <c r="N468" s="7"/>
      <c r="O468" s="18">
        <f>L468+M468+N468</f>
        <v>533</v>
      </c>
      <c r="P468" s="72"/>
      <c r="Q468" s="70">
        <f t="shared" si="136"/>
        <v>533</v>
      </c>
    </row>
    <row r="469" spans="1:17" ht="12.75">
      <c r="A469" s="25" t="s">
        <v>127</v>
      </c>
      <c r="B469" s="88"/>
      <c r="C469" s="136">
        <v>5350</v>
      </c>
      <c r="D469" s="104">
        <f>-5350</f>
        <v>-5350</v>
      </c>
      <c r="E469" s="236"/>
      <c r="F469" s="274">
        <f t="shared" si="130"/>
        <v>0</v>
      </c>
      <c r="G469" s="287"/>
      <c r="H469" s="235"/>
      <c r="I469" s="256">
        <f>F469+G469+H469</f>
        <v>0</v>
      </c>
      <c r="J469" s="21"/>
      <c r="K469" s="7"/>
      <c r="L469" s="65">
        <f>I469+J469+K469</f>
        <v>0</v>
      </c>
      <c r="M469" s="127"/>
      <c r="N469" s="7"/>
      <c r="O469" s="18">
        <f>L469+M469+N469</f>
        <v>0</v>
      </c>
      <c r="P469" s="72"/>
      <c r="Q469" s="70">
        <f t="shared" si="136"/>
        <v>0</v>
      </c>
    </row>
    <row r="470" spans="1:17" ht="12.75">
      <c r="A470" s="25" t="s">
        <v>128</v>
      </c>
      <c r="B470" s="88">
        <v>15</v>
      </c>
      <c r="C470" s="136">
        <f>SUM(C471:C477)</f>
        <v>150000</v>
      </c>
      <c r="D470" s="104">
        <f aca="true" t="shared" si="137" ref="D470:Q470">SUM(D471:D477)</f>
        <v>244780.86</v>
      </c>
      <c r="E470" s="236">
        <f t="shared" si="137"/>
        <v>0</v>
      </c>
      <c r="F470" s="274">
        <f t="shared" si="137"/>
        <v>394780.86</v>
      </c>
      <c r="G470" s="287">
        <f t="shared" si="137"/>
        <v>-260</v>
      </c>
      <c r="H470" s="236">
        <f t="shared" si="137"/>
        <v>0</v>
      </c>
      <c r="I470" s="256">
        <f t="shared" si="137"/>
        <v>394520.86</v>
      </c>
      <c r="J470" s="136">
        <f t="shared" si="137"/>
        <v>0</v>
      </c>
      <c r="K470" s="104">
        <f t="shared" si="137"/>
        <v>0</v>
      </c>
      <c r="L470" s="180">
        <f t="shared" si="137"/>
        <v>394520.86</v>
      </c>
      <c r="M470" s="151">
        <f t="shared" si="137"/>
        <v>0</v>
      </c>
      <c r="N470" s="105">
        <f t="shared" si="137"/>
        <v>0</v>
      </c>
      <c r="O470" s="105">
        <f t="shared" si="137"/>
        <v>394520.86</v>
      </c>
      <c r="P470" s="105">
        <f t="shared" si="137"/>
        <v>0</v>
      </c>
      <c r="Q470" s="105">
        <f t="shared" si="137"/>
        <v>394520.86</v>
      </c>
    </row>
    <row r="471" spans="1:17" ht="12.75">
      <c r="A471" s="25" t="s">
        <v>129</v>
      </c>
      <c r="B471" s="88"/>
      <c r="C471" s="136">
        <v>124380</v>
      </c>
      <c r="D471" s="104">
        <f>-500+192468.93</f>
        <v>191968.93</v>
      </c>
      <c r="E471" s="236">
        <v>385</v>
      </c>
      <c r="F471" s="274">
        <f t="shared" si="130"/>
        <v>316733.93</v>
      </c>
      <c r="G471" s="287">
        <f>90</f>
        <v>90</v>
      </c>
      <c r="H471" s="235"/>
      <c r="I471" s="256">
        <f aca="true" t="shared" si="138" ref="I471:I477">F471+G471+H471</f>
        <v>316823.93</v>
      </c>
      <c r="J471" s="21"/>
      <c r="K471" s="7"/>
      <c r="L471" s="65">
        <f aca="true" t="shared" si="139" ref="L471:L477">I471+J471+K471</f>
        <v>316823.93</v>
      </c>
      <c r="M471" s="127"/>
      <c r="N471" s="7"/>
      <c r="O471" s="18">
        <f aca="true" t="shared" si="140" ref="O471:O477">L471+M471+N471</f>
        <v>316823.93</v>
      </c>
      <c r="P471" s="72"/>
      <c r="Q471" s="70">
        <f t="shared" si="136"/>
        <v>316823.93</v>
      </c>
    </row>
    <row r="472" spans="1:17" ht="12.75" hidden="1">
      <c r="A472" s="25" t="s">
        <v>130</v>
      </c>
      <c r="B472" s="88"/>
      <c r="C472" s="136"/>
      <c r="D472" s="104"/>
      <c r="E472" s="236"/>
      <c r="F472" s="274">
        <f t="shared" si="130"/>
        <v>0</v>
      </c>
      <c r="G472" s="287"/>
      <c r="H472" s="235"/>
      <c r="I472" s="256">
        <f t="shared" si="138"/>
        <v>0</v>
      </c>
      <c r="J472" s="21"/>
      <c r="K472" s="7"/>
      <c r="L472" s="65">
        <f t="shared" si="139"/>
        <v>0</v>
      </c>
      <c r="M472" s="127"/>
      <c r="N472" s="7"/>
      <c r="O472" s="18">
        <f t="shared" si="140"/>
        <v>0</v>
      </c>
      <c r="P472" s="72"/>
      <c r="Q472" s="70">
        <f t="shared" si="136"/>
        <v>0</v>
      </c>
    </row>
    <row r="473" spans="1:17" ht="12.75" hidden="1">
      <c r="A473" s="25" t="s">
        <v>131</v>
      </c>
      <c r="B473" s="88"/>
      <c r="C473" s="136"/>
      <c r="D473" s="115"/>
      <c r="E473" s="245"/>
      <c r="F473" s="274">
        <f t="shared" si="130"/>
        <v>0</v>
      </c>
      <c r="G473" s="287"/>
      <c r="H473" s="235"/>
      <c r="I473" s="256">
        <f t="shared" si="138"/>
        <v>0</v>
      </c>
      <c r="J473" s="21"/>
      <c r="K473" s="7"/>
      <c r="L473" s="65">
        <f t="shared" si="139"/>
        <v>0</v>
      </c>
      <c r="M473" s="127"/>
      <c r="N473" s="7"/>
      <c r="O473" s="18">
        <f t="shared" si="140"/>
        <v>0</v>
      </c>
      <c r="P473" s="72"/>
      <c r="Q473" s="70">
        <f t="shared" si="136"/>
        <v>0</v>
      </c>
    </row>
    <row r="474" spans="1:17" ht="12.75">
      <c r="A474" s="25" t="s">
        <v>132</v>
      </c>
      <c r="B474" s="88"/>
      <c r="C474" s="136">
        <v>17100</v>
      </c>
      <c r="D474" s="104">
        <f>28807.16</f>
        <v>28807.16</v>
      </c>
      <c r="E474" s="236"/>
      <c r="F474" s="274">
        <f t="shared" si="130"/>
        <v>45907.16</v>
      </c>
      <c r="G474" s="287">
        <f>-1822</f>
        <v>-1822</v>
      </c>
      <c r="H474" s="235"/>
      <c r="I474" s="256">
        <f t="shared" si="138"/>
        <v>44085.16</v>
      </c>
      <c r="J474" s="21"/>
      <c r="K474" s="7"/>
      <c r="L474" s="65">
        <f t="shared" si="139"/>
        <v>44085.16</v>
      </c>
      <c r="M474" s="127"/>
      <c r="N474" s="7"/>
      <c r="O474" s="18">
        <f t="shared" si="140"/>
        <v>44085.16</v>
      </c>
      <c r="P474" s="72"/>
      <c r="Q474" s="70">
        <f t="shared" si="136"/>
        <v>44085.16</v>
      </c>
    </row>
    <row r="475" spans="1:17" ht="12.75">
      <c r="A475" s="25" t="s">
        <v>133</v>
      </c>
      <c r="B475" s="88"/>
      <c r="C475" s="136"/>
      <c r="D475" s="104">
        <f>5444.91+757</f>
        <v>6201.91</v>
      </c>
      <c r="E475" s="236"/>
      <c r="F475" s="274">
        <f t="shared" si="130"/>
        <v>6201.91</v>
      </c>
      <c r="G475" s="287">
        <f>1822-350</f>
        <v>1472</v>
      </c>
      <c r="H475" s="235"/>
      <c r="I475" s="256">
        <f t="shared" si="138"/>
        <v>7673.91</v>
      </c>
      <c r="J475" s="197"/>
      <c r="K475" s="7"/>
      <c r="L475" s="65">
        <f t="shared" si="139"/>
        <v>7673.91</v>
      </c>
      <c r="M475" s="127"/>
      <c r="N475" s="7"/>
      <c r="O475" s="18">
        <f t="shared" si="140"/>
        <v>7673.91</v>
      </c>
      <c r="P475" s="72"/>
      <c r="Q475" s="70">
        <f t="shared" si="136"/>
        <v>7673.91</v>
      </c>
    </row>
    <row r="476" spans="1:17" ht="12.75">
      <c r="A476" s="25" t="s">
        <v>134</v>
      </c>
      <c r="B476" s="88"/>
      <c r="C476" s="136">
        <v>8520</v>
      </c>
      <c r="D476" s="104">
        <f>500+12213.21</f>
        <v>12713.21</v>
      </c>
      <c r="E476" s="236">
        <v>1160</v>
      </c>
      <c r="F476" s="274">
        <f t="shared" si="130"/>
        <v>22393.21</v>
      </c>
      <c r="G476" s="287"/>
      <c r="H476" s="235"/>
      <c r="I476" s="256">
        <f t="shared" si="138"/>
        <v>22393.21</v>
      </c>
      <c r="J476" s="21"/>
      <c r="K476" s="7"/>
      <c r="L476" s="65">
        <f t="shared" si="139"/>
        <v>22393.21</v>
      </c>
      <c r="M476" s="127"/>
      <c r="N476" s="7"/>
      <c r="O476" s="18">
        <f t="shared" si="140"/>
        <v>22393.21</v>
      </c>
      <c r="P476" s="72"/>
      <c r="Q476" s="70">
        <f t="shared" si="136"/>
        <v>22393.21</v>
      </c>
    </row>
    <row r="477" spans="1:17" ht="12.75">
      <c r="A477" s="25" t="s">
        <v>127</v>
      </c>
      <c r="B477" s="88"/>
      <c r="C477" s="136"/>
      <c r="D477" s="104">
        <f>5089.65</f>
        <v>5089.65</v>
      </c>
      <c r="E477" s="236">
        <v>-1545</v>
      </c>
      <c r="F477" s="274">
        <f t="shared" si="130"/>
        <v>3544.6499999999996</v>
      </c>
      <c r="G477" s="287"/>
      <c r="H477" s="235"/>
      <c r="I477" s="256">
        <f t="shared" si="138"/>
        <v>3544.6499999999996</v>
      </c>
      <c r="J477" s="21"/>
      <c r="K477" s="7"/>
      <c r="L477" s="65">
        <f t="shared" si="139"/>
        <v>3544.6499999999996</v>
      </c>
      <c r="M477" s="127"/>
      <c r="N477" s="7"/>
      <c r="O477" s="18">
        <f t="shared" si="140"/>
        <v>3544.6499999999996</v>
      </c>
      <c r="P477" s="72"/>
      <c r="Q477" s="70">
        <f t="shared" si="136"/>
        <v>3544.6499999999996</v>
      </c>
    </row>
    <row r="478" spans="1:17" ht="12.75">
      <c r="A478" s="25" t="s">
        <v>135</v>
      </c>
      <c r="B478" s="88">
        <v>16</v>
      </c>
      <c r="C478" s="136">
        <f>SUM(C479:C482)</f>
        <v>3000</v>
      </c>
      <c r="D478" s="104">
        <f aca="true" t="shared" si="141" ref="D478:Q478">SUM(D479:D482)</f>
        <v>22983.289999999997</v>
      </c>
      <c r="E478" s="236">
        <f t="shared" si="141"/>
        <v>0</v>
      </c>
      <c r="F478" s="274">
        <f t="shared" si="141"/>
        <v>25983.289999999997</v>
      </c>
      <c r="G478" s="287">
        <f t="shared" si="141"/>
        <v>0</v>
      </c>
      <c r="H478" s="236">
        <f t="shared" si="141"/>
        <v>0</v>
      </c>
      <c r="I478" s="256">
        <f t="shared" si="141"/>
        <v>25983.289999999997</v>
      </c>
      <c r="J478" s="136">
        <f t="shared" si="141"/>
        <v>0</v>
      </c>
      <c r="K478" s="104">
        <f t="shared" si="141"/>
        <v>0</v>
      </c>
      <c r="L478" s="180">
        <f t="shared" si="141"/>
        <v>25983.289999999997</v>
      </c>
      <c r="M478" s="151">
        <f t="shared" si="141"/>
        <v>0</v>
      </c>
      <c r="N478" s="105">
        <f t="shared" si="141"/>
        <v>0</v>
      </c>
      <c r="O478" s="105">
        <f t="shared" si="141"/>
        <v>25983.289999999997</v>
      </c>
      <c r="P478" s="105">
        <f t="shared" si="141"/>
        <v>0</v>
      </c>
      <c r="Q478" s="105">
        <f t="shared" si="141"/>
        <v>25983.289999999997</v>
      </c>
    </row>
    <row r="479" spans="1:17" ht="12.75">
      <c r="A479" s="25" t="s">
        <v>124</v>
      </c>
      <c r="B479" s="88"/>
      <c r="C479" s="136">
        <v>1870</v>
      </c>
      <c r="D479" s="104">
        <f>478</f>
        <v>478</v>
      </c>
      <c r="E479" s="236"/>
      <c r="F479" s="274">
        <f t="shared" si="130"/>
        <v>2348</v>
      </c>
      <c r="G479" s="287"/>
      <c r="H479" s="235"/>
      <c r="I479" s="256">
        <f>F479+G479+H479</f>
        <v>2348</v>
      </c>
      <c r="J479" s="21"/>
      <c r="K479" s="7"/>
      <c r="L479" s="65">
        <f>I479+J479+K479</f>
        <v>2348</v>
      </c>
      <c r="M479" s="127"/>
      <c r="N479" s="7"/>
      <c r="O479" s="18">
        <f>L479+M479+N479</f>
        <v>2348</v>
      </c>
      <c r="P479" s="72"/>
      <c r="Q479" s="70">
        <f t="shared" si="136"/>
        <v>2348</v>
      </c>
    </row>
    <row r="480" spans="1:17" ht="12.75">
      <c r="A480" s="25" t="s">
        <v>125</v>
      </c>
      <c r="B480" s="88"/>
      <c r="C480" s="136">
        <v>1080</v>
      </c>
      <c r="D480" s="104">
        <f>-70</f>
        <v>-70</v>
      </c>
      <c r="E480" s="236"/>
      <c r="F480" s="274">
        <f t="shared" si="130"/>
        <v>1010</v>
      </c>
      <c r="G480" s="287"/>
      <c r="H480" s="235"/>
      <c r="I480" s="256">
        <f>F480+G480+H480</f>
        <v>1010</v>
      </c>
      <c r="J480" s="21"/>
      <c r="K480" s="7"/>
      <c r="L480" s="65">
        <f>I480+J480+K480</f>
        <v>1010</v>
      </c>
      <c r="M480" s="127"/>
      <c r="N480" s="7"/>
      <c r="O480" s="18">
        <f>L480+M480+N480</f>
        <v>1010</v>
      </c>
      <c r="P480" s="72"/>
      <c r="Q480" s="70">
        <f t="shared" si="136"/>
        <v>1010</v>
      </c>
    </row>
    <row r="481" spans="1:17" ht="12.75">
      <c r="A481" s="25" t="s">
        <v>126</v>
      </c>
      <c r="B481" s="88"/>
      <c r="C481" s="136"/>
      <c r="D481" s="104">
        <f>2872.96-861.34+20000</f>
        <v>22011.62</v>
      </c>
      <c r="E481" s="236"/>
      <c r="F481" s="274">
        <f t="shared" si="130"/>
        <v>22011.62</v>
      </c>
      <c r="G481" s="287"/>
      <c r="H481" s="235"/>
      <c r="I481" s="256">
        <f>F481+G481+H481</f>
        <v>22011.62</v>
      </c>
      <c r="J481" s="21"/>
      <c r="K481" s="7"/>
      <c r="L481" s="65">
        <f>I481+J481+K481</f>
        <v>22011.62</v>
      </c>
      <c r="M481" s="127"/>
      <c r="N481" s="7"/>
      <c r="O481" s="18">
        <f>L481+M481+N481</f>
        <v>22011.62</v>
      </c>
      <c r="P481" s="72"/>
      <c r="Q481" s="70">
        <f t="shared" si="136"/>
        <v>22011.62</v>
      </c>
    </row>
    <row r="482" spans="1:17" ht="12.75">
      <c r="A482" s="25" t="s">
        <v>127</v>
      </c>
      <c r="B482" s="88"/>
      <c r="C482" s="136">
        <v>50</v>
      </c>
      <c r="D482" s="104">
        <f>563.67</f>
        <v>563.67</v>
      </c>
      <c r="E482" s="236"/>
      <c r="F482" s="274">
        <f t="shared" si="130"/>
        <v>613.67</v>
      </c>
      <c r="G482" s="287"/>
      <c r="H482" s="235"/>
      <c r="I482" s="256">
        <f>F482+G482+H482</f>
        <v>613.67</v>
      </c>
      <c r="J482" s="21"/>
      <c r="K482" s="7"/>
      <c r="L482" s="65">
        <f>I482+J482+K482</f>
        <v>613.67</v>
      </c>
      <c r="M482" s="127"/>
      <c r="N482" s="7"/>
      <c r="O482" s="18">
        <f>L482+M482+N482</f>
        <v>613.67</v>
      </c>
      <c r="P482" s="72"/>
      <c r="Q482" s="70">
        <f t="shared" si="136"/>
        <v>613.67</v>
      </c>
    </row>
    <row r="483" spans="1:17" ht="12.75">
      <c r="A483" s="25" t="s">
        <v>136</v>
      </c>
      <c r="B483" s="88">
        <v>28</v>
      </c>
      <c r="C483" s="136">
        <f>SUM(C484:C488)</f>
        <v>50000</v>
      </c>
      <c r="D483" s="104">
        <f aca="true" t="shared" si="142" ref="D483:Q483">SUM(D484:D488)</f>
        <v>23426.350000000002</v>
      </c>
      <c r="E483" s="236">
        <f t="shared" si="142"/>
        <v>0</v>
      </c>
      <c r="F483" s="274">
        <f t="shared" si="142"/>
        <v>73426.35</v>
      </c>
      <c r="G483" s="287">
        <f t="shared" si="142"/>
        <v>0</v>
      </c>
      <c r="H483" s="236">
        <f t="shared" si="142"/>
        <v>0</v>
      </c>
      <c r="I483" s="256">
        <f t="shared" si="142"/>
        <v>73426.35</v>
      </c>
      <c r="J483" s="136">
        <f t="shared" si="142"/>
        <v>0</v>
      </c>
      <c r="K483" s="104">
        <f t="shared" si="142"/>
        <v>0</v>
      </c>
      <c r="L483" s="180">
        <f t="shared" si="142"/>
        <v>73426.35</v>
      </c>
      <c r="M483" s="151">
        <f t="shared" si="142"/>
        <v>0</v>
      </c>
      <c r="N483" s="105">
        <f t="shared" si="142"/>
        <v>0</v>
      </c>
      <c r="O483" s="105">
        <f t="shared" si="142"/>
        <v>73426.35</v>
      </c>
      <c r="P483" s="105">
        <f t="shared" si="142"/>
        <v>0</v>
      </c>
      <c r="Q483" s="105">
        <f t="shared" si="142"/>
        <v>73426.35</v>
      </c>
    </row>
    <row r="484" spans="1:17" ht="12.75">
      <c r="A484" s="25" t="s">
        <v>124</v>
      </c>
      <c r="B484" s="88"/>
      <c r="C484" s="136">
        <v>2000</v>
      </c>
      <c r="D484" s="104">
        <f>8555.71</f>
        <v>8555.71</v>
      </c>
      <c r="E484" s="236"/>
      <c r="F484" s="274">
        <f t="shared" si="130"/>
        <v>10555.71</v>
      </c>
      <c r="G484" s="287">
        <f>-500</f>
        <v>-500</v>
      </c>
      <c r="H484" s="235"/>
      <c r="I484" s="256">
        <f>F484+G484+H484</f>
        <v>10055.71</v>
      </c>
      <c r="J484" s="21"/>
      <c r="K484" s="7"/>
      <c r="L484" s="65">
        <f>I484+J484+K484</f>
        <v>10055.71</v>
      </c>
      <c r="M484" s="127"/>
      <c r="N484" s="7"/>
      <c r="O484" s="18">
        <f>L484+M484+N484</f>
        <v>10055.71</v>
      </c>
      <c r="P484" s="72"/>
      <c r="Q484" s="70">
        <f t="shared" si="136"/>
        <v>10055.71</v>
      </c>
    </row>
    <row r="485" spans="1:17" ht="12.75">
      <c r="A485" s="25" t="s">
        <v>125</v>
      </c>
      <c r="B485" s="88"/>
      <c r="C485" s="136">
        <v>4600</v>
      </c>
      <c r="D485" s="104"/>
      <c r="E485" s="236"/>
      <c r="F485" s="274">
        <f t="shared" si="130"/>
        <v>4600</v>
      </c>
      <c r="G485" s="287"/>
      <c r="H485" s="235"/>
      <c r="I485" s="256">
        <f>F485+G485+H485</f>
        <v>4600</v>
      </c>
      <c r="J485" s="21"/>
      <c r="K485" s="7"/>
      <c r="L485" s="65">
        <f>I485+J485+K485</f>
        <v>4600</v>
      </c>
      <c r="M485" s="127"/>
      <c r="N485" s="7"/>
      <c r="O485" s="18">
        <f>L485+M485+N485</f>
        <v>4600</v>
      </c>
      <c r="P485" s="72"/>
      <c r="Q485" s="70">
        <f t="shared" si="136"/>
        <v>4600</v>
      </c>
    </row>
    <row r="486" spans="1:17" ht="12.75">
      <c r="A486" s="25" t="s">
        <v>137</v>
      </c>
      <c r="B486" s="88"/>
      <c r="C486" s="136">
        <v>34500</v>
      </c>
      <c r="D486" s="104">
        <f>9685.65+500</f>
        <v>10185.65</v>
      </c>
      <c r="E486" s="236"/>
      <c r="F486" s="274">
        <f t="shared" si="130"/>
        <v>44685.65</v>
      </c>
      <c r="G486" s="287">
        <f>12500</f>
        <v>12500</v>
      </c>
      <c r="H486" s="235"/>
      <c r="I486" s="256">
        <f>F486+G486+H486</f>
        <v>57185.65</v>
      </c>
      <c r="J486" s="21"/>
      <c r="K486" s="7"/>
      <c r="L486" s="65">
        <f>I486+J486+K486</f>
        <v>57185.65</v>
      </c>
      <c r="M486" s="127"/>
      <c r="N486" s="7"/>
      <c r="O486" s="18">
        <f>L486+M486+N486</f>
        <v>57185.65</v>
      </c>
      <c r="P486" s="72"/>
      <c r="Q486" s="70">
        <f t="shared" si="136"/>
        <v>57185.65</v>
      </c>
    </row>
    <row r="487" spans="1:17" ht="12.75" hidden="1">
      <c r="A487" s="25" t="s">
        <v>134</v>
      </c>
      <c r="B487" s="88"/>
      <c r="C487" s="136"/>
      <c r="D487" s="104"/>
      <c r="E487" s="236"/>
      <c r="F487" s="274">
        <f t="shared" si="130"/>
        <v>0</v>
      </c>
      <c r="G487" s="287"/>
      <c r="H487" s="235"/>
      <c r="I487" s="256">
        <f>F487+G487+H487</f>
        <v>0</v>
      </c>
      <c r="J487" s="21"/>
      <c r="K487" s="7"/>
      <c r="L487" s="65">
        <f>I487+J487+K487</f>
        <v>0</v>
      </c>
      <c r="M487" s="127"/>
      <c r="N487" s="7"/>
      <c r="O487" s="18">
        <f>L487+M487+N487</f>
        <v>0</v>
      </c>
      <c r="P487" s="72"/>
      <c r="Q487" s="70">
        <f t="shared" si="136"/>
        <v>0</v>
      </c>
    </row>
    <row r="488" spans="1:17" ht="12.75">
      <c r="A488" s="25" t="s">
        <v>127</v>
      </c>
      <c r="B488" s="88"/>
      <c r="C488" s="136">
        <v>8900</v>
      </c>
      <c r="D488" s="115">
        <f>5173.89-488.9</f>
        <v>4684.990000000001</v>
      </c>
      <c r="E488" s="236"/>
      <c r="F488" s="274">
        <f t="shared" si="130"/>
        <v>13584.990000000002</v>
      </c>
      <c r="G488" s="287">
        <f>-12000</f>
        <v>-12000</v>
      </c>
      <c r="H488" s="235"/>
      <c r="I488" s="256">
        <f>F488+G488+H488</f>
        <v>1584.9900000000016</v>
      </c>
      <c r="J488" s="21"/>
      <c r="K488" s="7"/>
      <c r="L488" s="65">
        <f>I488+J488+K488</f>
        <v>1584.9900000000016</v>
      </c>
      <c r="M488" s="127"/>
      <c r="N488" s="7"/>
      <c r="O488" s="18">
        <f>L488+M488+N488</f>
        <v>1584.9900000000016</v>
      </c>
      <c r="P488" s="72"/>
      <c r="Q488" s="70">
        <f t="shared" si="136"/>
        <v>1584.9900000000016</v>
      </c>
    </row>
    <row r="489" spans="1:17" ht="12.75">
      <c r="A489" s="26" t="s">
        <v>138</v>
      </c>
      <c r="B489" s="88"/>
      <c r="C489" s="136">
        <f>C490+C491</f>
        <v>10</v>
      </c>
      <c r="D489" s="104">
        <f aca="true" t="shared" si="143" ref="D489:Q489">D490+D491</f>
        <v>5517.57</v>
      </c>
      <c r="E489" s="236">
        <f t="shared" si="143"/>
        <v>0</v>
      </c>
      <c r="F489" s="274">
        <f t="shared" si="143"/>
        <v>5527.57</v>
      </c>
      <c r="G489" s="287">
        <f t="shared" si="143"/>
        <v>-308.31</v>
      </c>
      <c r="H489" s="236">
        <f t="shared" si="143"/>
        <v>0</v>
      </c>
      <c r="I489" s="256">
        <f t="shared" si="143"/>
        <v>5219.26</v>
      </c>
      <c r="J489" s="136">
        <f t="shared" si="143"/>
        <v>0</v>
      </c>
      <c r="K489" s="104">
        <f t="shared" si="143"/>
        <v>0</v>
      </c>
      <c r="L489" s="180">
        <f t="shared" si="143"/>
        <v>0</v>
      </c>
      <c r="M489" s="137">
        <f t="shared" si="143"/>
        <v>0</v>
      </c>
      <c r="N489" s="136">
        <f t="shared" si="143"/>
        <v>0</v>
      </c>
      <c r="O489" s="136">
        <f t="shared" si="143"/>
        <v>0</v>
      </c>
      <c r="P489" s="136">
        <f t="shared" si="143"/>
        <v>0</v>
      </c>
      <c r="Q489" s="136">
        <f t="shared" si="143"/>
        <v>0</v>
      </c>
    </row>
    <row r="490" spans="1:17" ht="12.75">
      <c r="A490" s="26" t="s">
        <v>271</v>
      </c>
      <c r="B490" s="88"/>
      <c r="C490" s="136"/>
      <c r="D490" s="104">
        <f>517.57</f>
        <v>517.57</v>
      </c>
      <c r="E490" s="236"/>
      <c r="F490" s="274">
        <f t="shared" si="130"/>
        <v>517.57</v>
      </c>
      <c r="G490" s="287">
        <f>-200+91.69</f>
        <v>-108.31</v>
      </c>
      <c r="H490" s="235"/>
      <c r="I490" s="256">
        <f>F490+G490+H490</f>
        <v>409.26000000000005</v>
      </c>
      <c r="J490" s="21"/>
      <c r="K490" s="7"/>
      <c r="L490" s="65"/>
      <c r="M490" s="127"/>
      <c r="N490" s="7"/>
      <c r="O490" s="18"/>
      <c r="P490" s="72"/>
      <c r="Q490" s="70"/>
    </row>
    <row r="491" spans="1:17" ht="12.75">
      <c r="A491" s="29" t="s">
        <v>305</v>
      </c>
      <c r="B491" s="91"/>
      <c r="C491" s="164">
        <v>10</v>
      </c>
      <c r="D491" s="112">
        <f>5000</f>
        <v>5000</v>
      </c>
      <c r="E491" s="267"/>
      <c r="F491" s="279">
        <f t="shared" si="130"/>
        <v>5010</v>
      </c>
      <c r="G491" s="312">
        <f>-200</f>
        <v>-200</v>
      </c>
      <c r="H491" s="235"/>
      <c r="I491" s="262">
        <f>F491+G491+H491</f>
        <v>4810</v>
      </c>
      <c r="J491" s="21"/>
      <c r="K491" s="7"/>
      <c r="L491" s="65"/>
      <c r="M491" s="127"/>
      <c r="N491" s="7"/>
      <c r="O491" s="18"/>
      <c r="P491" s="72"/>
      <c r="Q491" s="70"/>
    </row>
    <row r="492" spans="1:17" ht="13.5" thickBot="1">
      <c r="A492" s="40" t="s">
        <v>139</v>
      </c>
      <c r="B492" s="92"/>
      <c r="C492" s="130">
        <v>6618.08</v>
      </c>
      <c r="D492" s="107">
        <f>225.34+287.92</f>
        <v>513.26</v>
      </c>
      <c r="E492" s="238"/>
      <c r="F492" s="275">
        <f t="shared" si="130"/>
        <v>7131.34</v>
      </c>
      <c r="G492" s="289"/>
      <c r="H492" s="239"/>
      <c r="I492" s="258">
        <f>SUM(F492:H492)</f>
        <v>7131.34</v>
      </c>
      <c r="J492" s="198"/>
      <c r="K492" s="8"/>
      <c r="L492" s="203">
        <f>SUM(I492:K492)</f>
        <v>7131.34</v>
      </c>
      <c r="M492" s="213"/>
      <c r="N492" s="8"/>
      <c r="O492" s="19">
        <f>SUM(L492:N492)</f>
        <v>7131.34</v>
      </c>
      <c r="P492" s="73"/>
      <c r="Q492" s="22">
        <f>O492+P492</f>
        <v>7131.34</v>
      </c>
    </row>
    <row r="493" spans="1:17" ht="15.75" thickBot="1">
      <c r="A493" s="41" t="s">
        <v>140</v>
      </c>
      <c r="B493" s="95"/>
      <c r="C493" s="140">
        <f aca="true" t="shared" si="144" ref="C493:Q493">+C91+C111+C121+C139+C151+C177+C223+C242+C258+C276+C352+C379+C401+C408+C438+C442+C492+C415+C298</f>
        <v>4165163.4299999997</v>
      </c>
      <c r="D493" s="117">
        <f t="shared" si="144"/>
        <v>9632866.57</v>
      </c>
      <c r="E493" s="141">
        <f t="shared" si="144"/>
        <v>61319.539999999986</v>
      </c>
      <c r="F493" s="218">
        <f t="shared" si="144"/>
        <v>13859349.540000003</v>
      </c>
      <c r="G493" s="297">
        <f t="shared" si="144"/>
        <v>767416.51</v>
      </c>
      <c r="H493" s="140">
        <f t="shared" si="144"/>
        <v>0</v>
      </c>
      <c r="I493" s="225">
        <f t="shared" si="144"/>
        <v>14626766.050000004</v>
      </c>
      <c r="J493" s="140">
        <f t="shared" si="144"/>
        <v>0</v>
      </c>
      <c r="K493" s="140">
        <f t="shared" si="144"/>
        <v>0</v>
      </c>
      <c r="L493" s="218">
        <f t="shared" si="144"/>
        <v>10657229.32</v>
      </c>
      <c r="M493" s="141">
        <f t="shared" si="144"/>
        <v>0</v>
      </c>
      <c r="N493" s="140">
        <f t="shared" si="144"/>
        <v>0</v>
      </c>
      <c r="O493" s="140">
        <f t="shared" si="144"/>
        <v>10657229.32</v>
      </c>
      <c r="P493" s="140">
        <f t="shared" si="144"/>
        <v>0</v>
      </c>
      <c r="Q493" s="140">
        <f t="shared" si="144"/>
        <v>10657229.32</v>
      </c>
    </row>
    <row r="494" spans="1:17" ht="13.5" thickBot="1">
      <c r="A494" s="42" t="s">
        <v>141</v>
      </c>
      <c r="B494" s="95"/>
      <c r="C494" s="169">
        <v>-6618.08</v>
      </c>
      <c r="D494" s="118">
        <f>-225.34-287.92</f>
        <v>-513.26</v>
      </c>
      <c r="E494" s="190"/>
      <c r="F494" s="204">
        <f t="shared" si="130"/>
        <v>-7131.34</v>
      </c>
      <c r="G494" s="298"/>
      <c r="H494" s="169"/>
      <c r="I494" s="258">
        <f>F494+G494+H494</f>
        <v>-7131.34</v>
      </c>
      <c r="J494" s="169"/>
      <c r="K494" s="169"/>
      <c r="L494" s="219"/>
      <c r="M494" s="190"/>
      <c r="N494" s="169"/>
      <c r="O494" s="169"/>
      <c r="P494" s="169"/>
      <c r="Q494" s="169"/>
    </row>
    <row r="495" spans="1:17" ht="16.5" thickBot="1">
      <c r="A495" s="43" t="s">
        <v>142</v>
      </c>
      <c r="B495" s="95"/>
      <c r="C495" s="170">
        <f aca="true" t="shared" si="145" ref="C495:Q495">C493+C494</f>
        <v>4158545.3499999996</v>
      </c>
      <c r="D495" s="119">
        <f t="shared" si="145"/>
        <v>9632353.31</v>
      </c>
      <c r="E495" s="191">
        <f t="shared" si="145"/>
        <v>61319.539999999986</v>
      </c>
      <c r="F495" s="220">
        <f t="shared" si="145"/>
        <v>13852218.200000003</v>
      </c>
      <c r="G495" s="299">
        <f t="shared" si="145"/>
        <v>767416.51</v>
      </c>
      <c r="H495" s="170">
        <f t="shared" si="145"/>
        <v>0</v>
      </c>
      <c r="I495" s="226">
        <f t="shared" si="145"/>
        <v>14619634.710000005</v>
      </c>
      <c r="J495" s="170">
        <f t="shared" si="145"/>
        <v>0</v>
      </c>
      <c r="K495" s="170">
        <f t="shared" si="145"/>
        <v>0</v>
      </c>
      <c r="L495" s="220">
        <f t="shared" si="145"/>
        <v>10657229.32</v>
      </c>
      <c r="M495" s="191">
        <f t="shared" si="145"/>
        <v>0</v>
      </c>
      <c r="N495" s="170">
        <f t="shared" si="145"/>
        <v>0</v>
      </c>
      <c r="O495" s="170">
        <f t="shared" si="145"/>
        <v>10657229.32</v>
      </c>
      <c r="P495" s="170">
        <f t="shared" si="145"/>
        <v>0</v>
      </c>
      <c r="Q495" s="170">
        <f t="shared" si="145"/>
        <v>10657229.32</v>
      </c>
    </row>
    <row r="496" spans="1:17" ht="15.75">
      <c r="A496" s="44" t="s">
        <v>27</v>
      </c>
      <c r="B496" s="96"/>
      <c r="C496" s="171"/>
      <c r="D496" s="120"/>
      <c r="E496" s="192"/>
      <c r="F496" s="221"/>
      <c r="G496" s="300"/>
      <c r="H496" s="171"/>
      <c r="I496" s="227"/>
      <c r="J496" s="171"/>
      <c r="K496" s="171"/>
      <c r="L496" s="221"/>
      <c r="M496" s="192"/>
      <c r="N496" s="171"/>
      <c r="O496" s="171"/>
      <c r="P496" s="171"/>
      <c r="Q496" s="171"/>
    </row>
    <row r="497" spans="1:17" ht="15.75">
      <c r="A497" s="45" t="s">
        <v>255</v>
      </c>
      <c r="B497" s="97"/>
      <c r="C497" s="172">
        <f aca="true" t="shared" si="146" ref="C497:Q497">+C92+C112+C122+C140+C152+C178+C224+C243+C259+C277+C353+C380+C402+C409+C439+C444+C492+C494+C416+C299</f>
        <v>3319817.7499999995</v>
      </c>
      <c r="D497" s="121">
        <f t="shared" si="146"/>
        <v>7432859.159999997</v>
      </c>
      <c r="E497" s="193">
        <f t="shared" si="146"/>
        <v>3565.07</v>
      </c>
      <c r="F497" s="222">
        <f t="shared" si="146"/>
        <v>10756241.979999999</v>
      </c>
      <c r="G497" s="301">
        <f t="shared" si="146"/>
        <v>273634.91</v>
      </c>
      <c r="H497" s="172">
        <f t="shared" si="146"/>
        <v>0</v>
      </c>
      <c r="I497" s="228">
        <f t="shared" si="146"/>
        <v>11029876.889999999</v>
      </c>
      <c r="J497" s="172">
        <f t="shared" si="146"/>
        <v>0</v>
      </c>
      <c r="K497" s="172">
        <f t="shared" si="146"/>
        <v>0</v>
      </c>
      <c r="L497" s="222">
        <f t="shared" si="146"/>
        <v>9677901.899999999</v>
      </c>
      <c r="M497" s="193">
        <f t="shared" si="146"/>
        <v>0</v>
      </c>
      <c r="N497" s="172">
        <f t="shared" si="146"/>
        <v>0</v>
      </c>
      <c r="O497" s="172">
        <f t="shared" si="146"/>
        <v>9677901.899999999</v>
      </c>
      <c r="P497" s="172">
        <f t="shared" si="146"/>
        <v>0</v>
      </c>
      <c r="Q497" s="172">
        <f t="shared" si="146"/>
        <v>9677901.899999999</v>
      </c>
    </row>
    <row r="498" spans="1:17" ht="16.5" thickBot="1">
      <c r="A498" s="31" t="s">
        <v>256</v>
      </c>
      <c r="B498" s="98"/>
      <c r="C498" s="173">
        <f aca="true" t="shared" si="147" ref="C498:Q498">+C101+C118+C134+C145+C169+C215+C235+C252+C271+C294+C374+C392+C405+C445+C430+C324</f>
        <v>838727.6000000001</v>
      </c>
      <c r="D498" s="122">
        <f t="shared" si="147"/>
        <v>2199494.1500000004</v>
      </c>
      <c r="E498" s="194">
        <f t="shared" si="147"/>
        <v>57754.469999999994</v>
      </c>
      <c r="F498" s="223">
        <f t="shared" si="147"/>
        <v>3095976.2199999997</v>
      </c>
      <c r="G498" s="302">
        <f t="shared" si="147"/>
        <v>493781.6</v>
      </c>
      <c r="H498" s="173">
        <f t="shared" si="147"/>
        <v>0</v>
      </c>
      <c r="I498" s="229">
        <f t="shared" si="147"/>
        <v>3589757.8200000003</v>
      </c>
      <c r="J498" s="173">
        <f t="shared" si="147"/>
        <v>0</v>
      </c>
      <c r="K498" s="173">
        <f t="shared" si="147"/>
        <v>0</v>
      </c>
      <c r="L498" s="223">
        <f t="shared" si="147"/>
        <v>979327.42</v>
      </c>
      <c r="M498" s="194">
        <f t="shared" si="147"/>
        <v>0</v>
      </c>
      <c r="N498" s="173">
        <f t="shared" si="147"/>
        <v>0</v>
      </c>
      <c r="O498" s="173">
        <f t="shared" si="147"/>
        <v>979327.42</v>
      </c>
      <c r="P498" s="173">
        <f t="shared" si="147"/>
        <v>0</v>
      </c>
      <c r="Q498" s="173">
        <f t="shared" si="147"/>
        <v>979327.42</v>
      </c>
    </row>
    <row r="499" spans="1:17" ht="16.5" thickBot="1">
      <c r="A499" s="45" t="s">
        <v>249</v>
      </c>
      <c r="B499" s="97"/>
      <c r="C499" s="140">
        <f aca="true" t="shared" si="148" ref="C499:Q499">C89-C495</f>
        <v>162173.7000000002</v>
      </c>
      <c r="D499" s="117">
        <f t="shared" si="148"/>
        <v>-2435095.41</v>
      </c>
      <c r="E499" s="246">
        <f t="shared" si="148"/>
        <v>-61319.539999999986</v>
      </c>
      <c r="F499" s="218">
        <f t="shared" si="148"/>
        <v>-2334241.250000002</v>
      </c>
      <c r="G499" s="297">
        <f t="shared" si="148"/>
        <v>-1484.8200000000652</v>
      </c>
      <c r="H499" s="246">
        <f t="shared" si="148"/>
        <v>0</v>
      </c>
      <c r="I499" s="225">
        <f t="shared" si="148"/>
        <v>-2335726.070000004</v>
      </c>
      <c r="J499" s="140">
        <f t="shared" si="148"/>
        <v>0</v>
      </c>
      <c r="K499" s="117">
        <f t="shared" si="148"/>
        <v>0</v>
      </c>
      <c r="L499" s="186">
        <f t="shared" si="148"/>
        <v>-2581455.1099999994</v>
      </c>
      <c r="M499" s="141">
        <f t="shared" si="148"/>
        <v>0</v>
      </c>
      <c r="N499" s="140">
        <f t="shared" si="148"/>
        <v>0</v>
      </c>
      <c r="O499" s="140">
        <f t="shared" si="148"/>
        <v>-2581455.1099999994</v>
      </c>
      <c r="P499" s="140">
        <f t="shared" si="148"/>
        <v>0</v>
      </c>
      <c r="Q499" s="140">
        <f t="shared" si="148"/>
        <v>-2581455.1099999994</v>
      </c>
    </row>
    <row r="500" spans="1:17" ht="15.75">
      <c r="A500" s="44" t="s">
        <v>257</v>
      </c>
      <c r="B500" s="96"/>
      <c r="C500" s="174">
        <f>SUM(C502:C505)</f>
        <v>-162173.7</v>
      </c>
      <c r="D500" s="123">
        <f aca="true" t="shared" si="149" ref="D500:Q500">SUM(D502:D505)</f>
        <v>2435095.41</v>
      </c>
      <c r="E500" s="247">
        <f t="shared" si="149"/>
        <v>61319.54</v>
      </c>
      <c r="F500" s="282">
        <f t="shared" si="149"/>
        <v>2334241.25</v>
      </c>
      <c r="G500" s="303">
        <f t="shared" si="149"/>
        <v>1484.8200000000002</v>
      </c>
      <c r="H500" s="247">
        <f t="shared" si="149"/>
        <v>0</v>
      </c>
      <c r="I500" s="265">
        <f t="shared" si="149"/>
        <v>2335726.07</v>
      </c>
      <c r="J500" s="174">
        <f t="shared" si="149"/>
        <v>0</v>
      </c>
      <c r="K500" s="123">
        <f t="shared" si="149"/>
        <v>0</v>
      </c>
      <c r="L500" s="187">
        <f t="shared" si="149"/>
        <v>2335726.07</v>
      </c>
      <c r="M500" s="157">
        <f t="shared" si="149"/>
        <v>0</v>
      </c>
      <c r="N500" s="129">
        <f t="shared" si="149"/>
        <v>0</v>
      </c>
      <c r="O500" s="129">
        <f t="shared" si="149"/>
        <v>2335726.07</v>
      </c>
      <c r="P500" s="129">
        <f t="shared" si="149"/>
        <v>0</v>
      </c>
      <c r="Q500" s="129">
        <f t="shared" si="149"/>
        <v>2335726.07</v>
      </c>
    </row>
    <row r="501" spans="1:17" ht="12.75" customHeight="1">
      <c r="A501" s="46" t="s">
        <v>27</v>
      </c>
      <c r="B501" s="99"/>
      <c r="C501" s="175"/>
      <c r="D501" s="124"/>
      <c r="E501" s="271"/>
      <c r="F501" s="283"/>
      <c r="G501" s="304"/>
      <c r="H501" s="248"/>
      <c r="I501" s="266"/>
      <c r="J501" s="200"/>
      <c r="K501" s="11"/>
      <c r="L501" s="188"/>
      <c r="M501" s="216"/>
      <c r="N501" s="11"/>
      <c r="O501" s="54"/>
      <c r="P501" s="72"/>
      <c r="Q501" s="70"/>
    </row>
    <row r="502" spans="1:17" ht="15">
      <c r="A502" s="46" t="s">
        <v>143</v>
      </c>
      <c r="B502" s="99"/>
      <c r="C502" s="176"/>
      <c r="D502" s="148"/>
      <c r="E502" s="272"/>
      <c r="F502" s="284">
        <f>SUM(C502:E502)</f>
        <v>0</v>
      </c>
      <c r="G502" s="305"/>
      <c r="H502" s="249"/>
      <c r="I502" s="313">
        <f>SUM(F502:H502)</f>
        <v>0</v>
      </c>
      <c r="J502" s="201"/>
      <c r="K502" s="12"/>
      <c r="L502" s="188">
        <f>SUM(I502:K502)</f>
        <v>0</v>
      </c>
      <c r="M502" s="217"/>
      <c r="N502" s="12"/>
      <c r="O502" s="54">
        <f>SUM(L502:N502)</f>
        <v>0</v>
      </c>
      <c r="P502" s="72"/>
      <c r="Q502" s="70">
        <f t="shared" si="136"/>
        <v>0</v>
      </c>
    </row>
    <row r="503" spans="1:17" ht="15">
      <c r="A503" s="47" t="s">
        <v>151</v>
      </c>
      <c r="B503" s="99"/>
      <c r="C503" s="176">
        <v>-162173.7</v>
      </c>
      <c r="D503" s="148"/>
      <c r="E503" s="272"/>
      <c r="F503" s="284">
        <f>SUM(C503:E503)</f>
        <v>-162173.7</v>
      </c>
      <c r="G503" s="305"/>
      <c r="H503" s="249"/>
      <c r="I503" s="313">
        <f>SUM(F503:H503)</f>
        <v>-162173.7</v>
      </c>
      <c r="J503" s="201"/>
      <c r="K503" s="12"/>
      <c r="L503" s="188">
        <f>SUM(I503:K503)</f>
        <v>-162173.7</v>
      </c>
      <c r="M503" s="217"/>
      <c r="N503" s="12"/>
      <c r="O503" s="54">
        <f>SUM(L503:N503)</f>
        <v>-162173.7</v>
      </c>
      <c r="P503" s="72"/>
      <c r="Q503" s="70">
        <f t="shared" si="136"/>
        <v>-162173.7</v>
      </c>
    </row>
    <row r="504" spans="1:17" ht="15.75" thickBot="1">
      <c r="A504" s="59" t="s">
        <v>144</v>
      </c>
      <c r="B504" s="100"/>
      <c r="C504" s="177"/>
      <c r="D504" s="149">
        <f>7643.45+12546.26+20155.5+1200+25000+37641.68+374655.72+1098941.75+5000+748.61+32.5+500+4400+18957.44+3802.86+1285.67+4925.8+10196.03+2236+2311.1+13.32+134430.47+1452.22+315.76+36714.98+400+9223.46+178862.17+24692.41+1857.7+346.05+14435.28+3548.57+27404.54+35420.36+326517.4+7280.35</f>
        <v>2435095.41</v>
      </c>
      <c r="E504" s="273">
        <v>61319.54</v>
      </c>
      <c r="F504" s="285">
        <f>SUM(C504:E504)</f>
        <v>2496414.95</v>
      </c>
      <c r="G504" s="285">
        <f>1390.13+3+91.69</f>
        <v>1484.8200000000002</v>
      </c>
      <c r="H504" s="250"/>
      <c r="I504" s="311">
        <f>SUM(F504:H504)</f>
        <v>2497899.77</v>
      </c>
      <c r="J504" s="202"/>
      <c r="K504" s="13"/>
      <c r="L504" s="189">
        <f>SUM(I504:K504)</f>
        <v>2497899.77</v>
      </c>
      <c r="M504" s="224"/>
      <c r="N504" s="13"/>
      <c r="O504" s="56">
        <f>SUM(L504:N504)</f>
        <v>2497899.77</v>
      </c>
      <c r="P504" s="74"/>
      <c r="Q504" s="71">
        <f t="shared" si="136"/>
        <v>2497899.77</v>
      </c>
    </row>
    <row r="505" spans="1:17" ht="15.75" hidden="1" thickBot="1">
      <c r="A505" s="59" t="s">
        <v>164</v>
      </c>
      <c r="B505" s="100"/>
      <c r="C505" s="178"/>
      <c r="D505" s="149" t="s">
        <v>224</v>
      </c>
      <c r="E505" s="273"/>
      <c r="F505" s="285">
        <f>SUM(C505:E505)</f>
        <v>0</v>
      </c>
      <c r="G505" s="306"/>
      <c r="H505" s="250"/>
      <c r="I505" s="311">
        <f>SUM(F505:H505)</f>
        <v>0</v>
      </c>
      <c r="J505" s="202">
        <v>0</v>
      </c>
      <c r="K505" s="13">
        <v>0</v>
      </c>
      <c r="L505" s="189">
        <f>SUM(I505:K505)</f>
        <v>0</v>
      </c>
      <c r="M505" s="58"/>
      <c r="N505" s="13"/>
      <c r="O505" s="56">
        <f>SUM(L505:N505)</f>
        <v>0</v>
      </c>
      <c r="P505" s="74"/>
      <c r="Q505" s="71">
        <f t="shared" si="136"/>
        <v>0</v>
      </c>
    </row>
    <row r="506" spans="2:17" ht="12.75" hidden="1">
      <c r="B506" s="101"/>
      <c r="C506" s="116">
        <f aca="true" t="shared" si="150" ref="C506:Q506">C89+C500-C495</f>
        <v>0</v>
      </c>
      <c r="D506" s="116">
        <f t="shared" si="150"/>
        <v>0</v>
      </c>
      <c r="E506" s="116">
        <f t="shared" si="150"/>
        <v>0</v>
      </c>
      <c r="F506" s="116">
        <f t="shared" si="150"/>
        <v>0</v>
      </c>
      <c r="G506" s="139">
        <f t="shared" si="150"/>
        <v>0</v>
      </c>
      <c r="H506" s="57">
        <f t="shared" si="150"/>
        <v>0</v>
      </c>
      <c r="I506" s="139">
        <f t="shared" si="150"/>
        <v>0</v>
      </c>
      <c r="J506" s="57">
        <f t="shared" si="150"/>
        <v>0</v>
      </c>
      <c r="K506" s="57">
        <f t="shared" si="150"/>
        <v>0</v>
      </c>
      <c r="L506" s="57">
        <f t="shared" si="150"/>
        <v>-245729.0399999991</v>
      </c>
      <c r="M506" s="57">
        <f t="shared" si="150"/>
        <v>0</v>
      </c>
      <c r="N506" s="57">
        <f t="shared" si="150"/>
        <v>0</v>
      </c>
      <c r="O506" s="57">
        <f t="shared" si="150"/>
        <v>-245729.0399999991</v>
      </c>
      <c r="P506" s="57">
        <f t="shared" si="150"/>
        <v>0</v>
      </c>
      <c r="Q506" s="57">
        <f t="shared" si="150"/>
        <v>-245729.0399999991</v>
      </c>
    </row>
    <row r="507" spans="2:16" ht="12.75">
      <c r="B507" s="101"/>
      <c r="P507" s="57"/>
    </row>
    <row r="508" spans="2:16" ht="12.75">
      <c r="B508" s="101"/>
      <c r="D508" s="139"/>
      <c r="P508" s="57"/>
    </row>
    <row r="509" spans="2:16" ht="12.75">
      <c r="B509" s="101"/>
      <c r="P509" s="57"/>
    </row>
    <row r="510" spans="2:16" ht="12.75">
      <c r="B510" s="101"/>
      <c r="P510" s="57"/>
    </row>
    <row r="511" spans="2:16" ht="12.75">
      <c r="B511" s="101"/>
      <c r="P511" s="57"/>
    </row>
    <row r="512" spans="2:16" ht="12.75">
      <c r="B512" s="101"/>
      <c r="P512" s="57"/>
    </row>
    <row r="513" spans="2:16" ht="12.75">
      <c r="B513" s="101"/>
      <c r="P513" s="57"/>
    </row>
    <row r="514" spans="2:16" ht="12.75">
      <c r="B514" s="101"/>
      <c r="P514" s="57"/>
    </row>
    <row r="515" spans="2:16" ht="12.75">
      <c r="B515" s="101"/>
      <c r="P515" s="57"/>
    </row>
    <row r="516" spans="2:16" ht="12.75">
      <c r="B516" s="101"/>
      <c r="P516" s="57"/>
    </row>
    <row r="517" spans="2:16" ht="12.75">
      <c r="B517" s="101"/>
      <c r="P517" s="57"/>
    </row>
    <row r="518" spans="2:16" ht="12.75">
      <c r="B518" s="101"/>
      <c r="P518" s="57"/>
    </row>
    <row r="519" spans="2:16" ht="12.75">
      <c r="B519" s="101"/>
      <c r="P519" s="57"/>
    </row>
    <row r="520" spans="2:16" ht="12.75">
      <c r="B520" s="101"/>
      <c r="P520" s="57"/>
    </row>
    <row r="521" spans="2:16" ht="12.75">
      <c r="B521" s="101"/>
      <c r="P521" s="57"/>
    </row>
    <row r="522" spans="2:16" ht="12.75">
      <c r="B522" s="101"/>
      <c r="P522" s="57"/>
    </row>
    <row r="523" spans="2:16" ht="12.75">
      <c r="B523" s="101"/>
      <c r="P523" s="57"/>
    </row>
    <row r="524" spans="2:16" ht="12.75">
      <c r="B524" s="101"/>
      <c r="P524" s="57"/>
    </row>
    <row r="525" spans="2:16" ht="12.75">
      <c r="B525" s="101"/>
      <c r="P525" s="57"/>
    </row>
    <row r="526" ht="12.75">
      <c r="P526" s="57"/>
    </row>
    <row r="527" ht="12.75">
      <c r="P527" s="57"/>
    </row>
    <row r="528" ht="12.75">
      <c r="P528" s="57"/>
    </row>
    <row r="529" ht="12.75">
      <c r="P529" s="57"/>
    </row>
    <row r="530" ht="12.75">
      <c r="P530" s="57"/>
    </row>
    <row r="531" ht="12.75">
      <c r="P531" s="57"/>
    </row>
    <row r="532" ht="12.75">
      <c r="P532" s="57"/>
    </row>
    <row r="533" ht="12.75">
      <c r="P533" s="57"/>
    </row>
    <row r="534" ht="12.75">
      <c r="P534" s="57"/>
    </row>
    <row r="535" ht="12.75">
      <c r="P535" s="57"/>
    </row>
    <row r="536" ht="12.75">
      <c r="P536" s="57"/>
    </row>
    <row r="537" ht="12.75">
      <c r="P537" s="57"/>
    </row>
    <row r="538" ht="12.75">
      <c r="P538" s="57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5748031496062992" right="0.15748031496062992" top="0.7480314960629921" bottom="0.7086614173228347" header="0.31496062992125984" footer="0.35433070866141736"/>
  <pageSetup horizontalDpi="600" verticalDpi="600" orientation="portrait" paperSize="9" scale="90" r:id="rId1"/>
  <headerFooter alignWithMargins="0">
    <oddFooter>&amp;CStránka &amp;P</oddFooter>
  </headerFooter>
  <rowBreaks count="6" manualBreakCount="6">
    <brk id="96" max="8" man="1"/>
    <brk id="175" max="8" man="1"/>
    <brk id="263" max="8" man="1"/>
    <brk id="351" max="8" man="1"/>
    <brk id="435" max="8" man="1"/>
    <brk id="50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38"/>
  <sheetViews>
    <sheetView tabSelected="1" zoomScaleSheetLayoutView="69" zoomScalePageLayoutView="0" workbookViewId="0" topLeftCell="A1">
      <pane xSplit="1" ySplit="9" topLeftCell="B4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241" sqref="H241"/>
    </sheetView>
  </sheetViews>
  <sheetFormatPr defaultColWidth="9.00390625" defaultRowHeight="12.75"/>
  <cols>
    <col min="1" max="1" width="46.75390625" style="0" customWidth="1"/>
    <col min="2" max="2" width="10.00390625" style="0" hidden="1" customWidth="1"/>
    <col min="3" max="3" width="15.625" style="0" customWidth="1"/>
    <col min="4" max="4" width="15.125" style="0" hidden="1" customWidth="1"/>
    <col min="5" max="5" width="12.25390625" style="0" hidden="1" customWidth="1"/>
    <col min="6" max="6" width="16.25390625" style="0" customWidth="1"/>
    <col min="7" max="7" width="12.625" style="0" customWidth="1"/>
    <col min="8" max="8" width="11.75390625" style="0" customWidth="1"/>
    <col min="9" max="9" width="15.87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 t="s">
        <v>148</v>
      </c>
      <c r="L1" s="2"/>
      <c r="O1" s="2"/>
      <c r="Q1" s="2" t="s">
        <v>148</v>
      </c>
    </row>
    <row r="2" spans="3:6" ht="9.75" customHeight="1">
      <c r="C2" s="1"/>
      <c r="D2" s="1"/>
      <c r="E2" s="1"/>
      <c r="F2" s="2"/>
    </row>
    <row r="3" spans="1:17" ht="15.75">
      <c r="A3" s="341" t="s">
        <v>284</v>
      </c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5.75">
      <c r="A4" s="343" t="s">
        <v>285</v>
      </c>
      <c r="B4" s="343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15">
      <c r="A5" s="344" t="s">
        <v>0</v>
      </c>
      <c r="B5" s="344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>
      <c r="A6" s="345" t="s">
        <v>1</v>
      </c>
      <c r="B6" s="345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3" ht="18" customHeight="1" thickBot="1">
      <c r="A7" s="3"/>
      <c r="B7" s="3"/>
      <c r="C7" s="4"/>
      <c r="D7" s="131"/>
      <c r="E7" s="4"/>
      <c r="F7" s="4"/>
      <c r="G7" s="55"/>
      <c r="J7" s="62"/>
      <c r="M7" s="55"/>
    </row>
    <row r="8" spans="1:17" ht="12.75">
      <c r="A8" s="346" t="s">
        <v>2</v>
      </c>
      <c r="B8" s="78" t="s">
        <v>262</v>
      </c>
      <c r="C8" s="159" t="s">
        <v>3</v>
      </c>
      <c r="D8" s="15" t="s">
        <v>4</v>
      </c>
      <c r="E8" s="230" t="s">
        <v>5</v>
      </c>
      <c r="F8" s="251" t="s">
        <v>6</v>
      </c>
      <c r="G8" s="159" t="s">
        <v>7</v>
      </c>
      <c r="H8" s="338" t="s">
        <v>5</v>
      </c>
      <c r="I8" s="251" t="s">
        <v>6</v>
      </c>
      <c r="J8" s="159" t="s">
        <v>8</v>
      </c>
      <c r="K8" s="15" t="s">
        <v>5</v>
      </c>
      <c r="L8" s="66" t="s">
        <v>6</v>
      </c>
      <c r="M8" s="208" t="s">
        <v>9</v>
      </c>
      <c r="N8" s="15" t="s">
        <v>5</v>
      </c>
      <c r="O8" s="16" t="s">
        <v>6</v>
      </c>
      <c r="P8" s="14" t="s">
        <v>174</v>
      </c>
      <c r="Q8" s="66" t="s">
        <v>6</v>
      </c>
    </row>
    <row r="9" spans="1:17" ht="13.5" thickBot="1">
      <c r="A9" s="347"/>
      <c r="B9" s="146" t="s">
        <v>197</v>
      </c>
      <c r="C9" s="160" t="s">
        <v>10</v>
      </c>
      <c r="D9" s="52" t="s">
        <v>11</v>
      </c>
      <c r="E9" s="231" t="s">
        <v>12</v>
      </c>
      <c r="F9" s="252" t="s">
        <v>13</v>
      </c>
      <c r="G9" s="160" t="s">
        <v>11</v>
      </c>
      <c r="H9" s="53" t="s">
        <v>12</v>
      </c>
      <c r="I9" s="252" t="s">
        <v>14</v>
      </c>
      <c r="J9" s="160" t="s">
        <v>11</v>
      </c>
      <c r="K9" s="52" t="s">
        <v>12</v>
      </c>
      <c r="L9" s="67" t="s">
        <v>15</v>
      </c>
      <c r="M9" s="209" t="s">
        <v>11</v>
      </c>
      <c r="N9" s="52" t="s">
        <v>12</v>
      </c>
      <c r="O9" s="53" t="s">
        <v>16</v>
      </c>
      <c r="P9" s="51" t="s">
        <v>11</v>
      </c>
      <c r="Q9" s="67" t="s">
        <v>175</v>
      </c>
    </row>
    <row r="10" spans="1:17" ht="15.75" customHeight="1">
      <c r="A10" s="49" t="s">
        <v>17</v>
      </c>
      <c r="B10" s="79"/>
      <c r="C10" s="161"/>
      <c r="D10" s="5"/>
      <c r="E10" s="232"/>
      <c r="F10" s="253"/>
      <c r="G10" s="161"/>
      <c r="H10" s="50"/>
      <c r="I10" s="253"/>
      <c r="J10" s="161"/>
      <c r="K10" s="5"/>
      <c r="L10" s="179"/>
      <c r="M10" s="210"/>
      <c r="N10" s="5"/>
      <c r="O10" s="50"/>
      <c r="P10" s="68"/>
      <c r="Q10" s="69"/>
    </row>
    <row r="11" spans="1:17" ht="12.75">
      <c r="A11" s="23" t="s">
        <v>251</v>
      </c>
      <c r="B11" s="80"/>
      <c r="C11" s="143">
        <f>C13+C14+C15</f>
        <v>4012390</v>
      </c>
      <c r="D11" s="103">
        <f>D13+D14+D15</f>
        <v>19085.93</v>
      </c>
      <c r="E11" s="233">
        <f>E13+E14+E15</f>
        <v>0</v>
      </c>
      <c r="F11" s="254">
        <f aca="true" t="shared" si="0" ref="F11:Q11">F13+F14+F15</f>
        <v>4031475.93</v>
      </c>
      <c r="G11" s="286">
        <f t="shared" si="0"/>
        <v>148823.4</v>
      </c>
      <c r="H11" s="319">
        <f t="shared" si="0"/>
        <v>1020</v>
      </c>
      <c r="I11" s="257">
        <f t="shared" si="0"/>
        <v>4181319.33</v>
      </c>
      <c r="J11" s="143">
        <f t="shared" si="0"/>
        <v>0</v>
      </c>
      <c r="K11" s="103">
        <f t="shared" si="0"/>
        <v>0</v>
      </c>
      <c r="L11" s="158">
        <f t="shared" si="0"/>
        <v>19085.93</v>
      </c>
      <c r="M11" s="144">
        <f t="shared" si="0"/>
        <v>0</v>
      </c>
      <c r="N11" s="144">
        <f t="shared" si="0"/>
        <v>0</v>
      </c>
      <c r="O11" s="144">
        <f t="shared" si="0"/>
        <v>19085.93</v>
      </c>
      <c r="P11" s="144">
        <f t="shared" si="0"/>
        <v>0</v>
      </c>
      <c r="Q11" s="144">
        <f t="shared" si="0"/>
        <v>19085.93</v>
      </c>
    </row>
    <row r="12" spans="1:17" ht="12.75">
      <c r="A12" s="24" t="s">
        <v>18</v>
      </c>
      <c r="B12" s="81"/>
      <c r="C12" s="143"/>
      <c r="D12" s="103"/>
      <c r="E12" s="233"/>
      <c r="F12" s="254"/>
      <c r="G12" s="286"/>
      <c r="H12" s="319"/>
      <c r="I12" s="255"/>
      <c r="J12" s="196"/>
      <c r="K12" s="6"/>
      <c r="L12" s="61"/>
      <c r="M12" s="211"/>
      <c r="N12" s="6"/>
      <c r="O12" s="17"/>
      <c r="P12" s="72"/>
      <c r="Q12" s="70"/>
    </row>
    <row r="13" spans="1:17" ht="12.75">
      <c r="A13" s="89" t="s">
        <v>258</v>
      </c>
      <c r="B13" s="81"/>
      <c r="C13" s="136">
        <v>4010000</v>
      </c>
      <c r="D13" s="104"/>
      <c r="E13" s="233"/>
      <c r="F13" s="274">
        <f>C13+D13+E13</f>
        <v>4010000</v>
      </c>
      <c r="G13" s="287">
        <f>56000+2700+10000+3000+2000+2287.4+620+5000+40000+27216</f>
        <v>148823.4</v>
      </c>
      <c r="H13" s="320">
        <f>1020</f>
        <v>1020</v>
      </c>
      <c r="I13" s="256">
        <f>F13+G13+H13</f>
        <v>4159843.4</v>
      </c>
      <c r="J13" s="196"/>
      <c r="K13" s="6"/>
      <c r="L13" s="61"/>
      <c r="M13" s="211"/>
      <c r="N13" s="6"/>
      <c r="O13" s="17"/>
      <c r="P13" s="72"/>
      <c r="Q13" s="70"/>
    </row>
    <row r="14" spans="1:17" ht="12.75">
      <c r="A14" s="25" t="s">
        <v>19</v>
      </c>
      <c r="B14" s="82"/>
      <c r="C14" s="136"/>
      <c r="D14" s="115">
        <f>19085.93</f>
        <v>19085.93</v>
      </c>
      <c r="E14" s="236"/>
      <c r="F14" s="274">
        <f>C14+D14+E14</f>
        <v>19085.93</v>
      </c>
      <c r="G14" s="287"/>
      <c r="H14" s="319"/>
      <c r="I14" s="256">
        <f>F14+G14+H14</f>
        <v>19085.93</v>
      </c>
      <c r="J14" s="21"/>
      <c r="K14" s="6"/>
      <c r="L14" s="65">
        <f>I14+J14+K14</f>
        <v>19085.93</v>
      </c>
      <c r="M14" s="127"/>
      <c r="N14" s="6"/>
      <c r="O14" s="18">
        <f>L14+M14+N14</f>
        <v>19085.93</v>
      </c>
      <c r="P14" s="72"/>
      <c r="Q14" s="70">
        <f aca="true" t="shared" si="1" ref="Q14:Q78">O14+P14</f>
        <v>19085.93</v>
      </c>
    </row>
    <row r="15" spans="1:17" ht="12.75">
      <c r="A15" s="89" t="s">
        <v>259</v>
      </c>
      <c r="B15" s="82"/>
      <c r="C15" s="136">
        <v>2390</v>
      </c>
      <c r="D15" s="115"/>
      <c r="E15" s="236"/>
      <c r="F15" s="274">
        <f>C15+D15+E15</f>
        <v>2390</v>
      </c>
      <c r="G15" s="287"/>
      <c r="H15" s="319"/>
      <c r="I15" s="256">
        <f>F15+G15+H15</f>
        <v>2390</v>
      </c>
      <c r="J15" s="21"/>
      <c r="K15" s="6"/>
      <c r="L15" s="65"/>
      <c r="M15" s="127"/>
      <c r="N15" s="6"/>
      <c r="O15" s="18"/>
      <c r="P15" s="142"/>
      <c r="Q15" s="70"/>
    </row>
    <row r="16" spans="1:17" ht="12.75">
      <c r="A16" s="23" t="s">
        <v>252</v>
      </c>
      <c r="B16" s="80"/>
      <c r="C16" s="143">
        <f aca="true" t="shared" si="2" ref="C16:Q16">SUM(C18:C24)+C31</f>
        <v>207606.75</v>
      </c>
      <c r="D16" s="103">
        <f t="shared" si="2"/>
        <v>12131.49</v>
      </c>
      <c r="E16" s="233">
        <f t="shared" si="2"/>
        <v>0</v>
      </c>
      <c r="F16" s="254">
        <f t="shared" si="2"/>
        <v>219738.24000000002</v>
      </c>
      <c r="G16" s="286">
        <f t="shared" si="2"/>
        <v>31216.44</v>
      </c>
      <c r="H16" s="319">
        <f t="shared" si="2"/>
        <v>26521.2</v>
      </c>
      <c r="I16" s="257">
        <f t="shared" si="2"/>
        <v>277475.88</v>
      </c>
      <c r="J16" s="143">
        <f t="shared" si="2"/>
        <v>0</v>
      </c>
      <c r="K16" s="103">
        <f t="shared" si="2"/>
        <v>0</v>
      </c>
      <c r="L16" s="158">
        <f t="shared" si="2"/>
        <v>217709.35</v>
      </c>
      <c r="M16" s="128">
        <f t="shared" si="2"/>
        <v>0</v>
      </c>
      <c r="N16" s="102">
        <f t="shared" si="2"/>
        <v>0</v>
      </c>
      <c r="O16" s="102">
        <f t="shared" si="2"/>
        <v>217709.35</v>
      </c>
      <c r="P16" s="102">
        <f t="shared" si="2"/>
        <v>0</v>
      </c>
      <c r="Q16" s="102">
        <f t="shared" si="2"/>
        <v>217709.35</v>
      </c>
    </row>
    <row r="17" spans="1:17" ht="10.5" customHeight="1">
      <c r="A17" s="24" t="s">
        <v>20</v>
      </c>
      <c r="B17" s="81"/>
      <c r="C17" s="143"/>
      <c r="D17" s="103"/>
      <c r="E17" s="233"/>
      <c r="F17" s="254"/>
      <c r="G17" s="286"/>
      <c r="H17" s="319"/>
      <c r="I17" s="257"/>
      <c r="J17" s="196"/>
      <c r="K17" s="6"/>
      <c r="L17" s="61"/>
      <c r="M17" s="211"/>
      <c r="N17" s="6"/>
      <c r="O17" s="17"/>
      <c r="P17" s="72"/>
      <c r="Q17" s="70"/>
    </row>
    <row r="18" spans="1:17" ht="12.75">
      <c r="A18" s="25" t="s">
        <v>21</v>
      </c>
      <c r="B18" s="82"/>
      <c r="C18" s="136">
        <v>200</v>
      </c>
      <c r="D18" s="104"/>
      <c r="E18" s="236"/>
      <c r="F18" s="274">
        <f>C18+D18+E18</f>
        <v>200</v>
      </c>
      <c r="G18" s="287"/>
      <c r="H18" s="320"/>
      <c r="I18" s="256">
        <f aca="true" t="shared" si="3" ref="I18:I23">F18+G18+H18</f>
        <v>200</v>
      </c>
      <c r="J18" s="21"/>
      <c r="K18" s="7"/>
      <c r="L18" s="65">
        <f>I18+J18+K18</f>
        <v>200</v>
      </c>
      <c r="M18" s="127"/>
      <c r="N18" s="7"/>
      <c r="O18" s="18">
        <f>L18+M18+N18</f>
        <v>200</v>
      </c>
      <c r="P18" s="72"/>
      <c r="Q18" s="70">
        <f t="shared" si="1"/>
        <v>200</v>
      </c>
    </row>
    <row r="19" spans="1:17" ht="12.75">
      <c r="A19" s="89" t="s">
        <v>313</v>
      </c>
      <c r="B19" s="82"/>
      <c r="C19" s="136"/>
      <c r="D19" s="104">
        <f>0.98</f>
        <v>0.98</v>
      </c>
      <c r="E19" s="236"/>
      <c r="F19" s="274">
        <f aca="true" t="shared" si="4" ref="F19:F31">C19+D19+E19</f>
        <v>0.98</v>
      </c>
      <c r="G19" s="287">
        <f>1075.48+2843.17</f>
        <v>3918.65</v>
      </c>
      <c r="H19" s="320"/>
      <c r="I19" s="256">
        <f t="shared" si="3"/>
        <v>3919.63</v>
      </c>
      <c r="J19" s="21"/>
      <c r="K19" s="7"/>
      <c r="L19" s="65">
        <f>I19+J19+K19</f>
        <v>3919.63</v>
      </c>
      <c r="M19" s="127"/>
      <c r="N19" s="7"/>
      <c r="O19" s="18">
        <f>L19+M19+N19</f>
        <v>3919.63</v>
      </c>
      <c r="P19" s="72"/>
      <c r="Q19" s="70">
        <f t="shared" si="1"/>
        <v>3919.63</v>
      </c>
    </row>
    <row r="20" spans="1:17" ht="12.75">
      <c r="A20" s="89" t="s">
        <v>319</v>
      </c>
      <c r="B20" s="82"/>
      <c r="C20" s="136">
        <v>30000</v>
      </c>
      <c r="D20" s="104"/>
      <c r="E20" s="236"/>
      <c r="F20" s="274">
        <f t="shared" si="4"/>
        <v>30000</v>
      </c>
      <c r="G20" s="287"/>
      <c r="H20" s="320"/>
      <c r="I20" s="256">
        <f t="shared" si="3"/>
        <v>30000</v>
      </c>
      <c r="J20" s="21"/>
      <c r="K20" s="7"/>
      <c r="L20" s="65">
        <f>I20+J20+K20</f>
        <v>30000</v>
      </c>
      <c r="M20" s="127"/>
      <c r="N20" s="7"/>
      <c r="O20" s="18">
        <f>L20+M20+N20</f>
        <v>30000</v>
      </c>
      <c r="P20" s="72"/>
      <c r="Q20" s="70">
        <f t="shared" si="1"/>
        <v>30000</v>
      </c>
    </row>
    <row r="21" spans="1:17" ht="12.75">
      <c r="A21" s="26" t="s">
        <v>314</v>
      </c>
      <c r="B21" s="83"/>
      <c r="C21" s="136">
        <v>79816.15</v>
      </c>
      <c r="D21" s="104"/>
      <c r="E21" s="236"/>
      <c r="F21" s="274">
        <f t="shared" si="4"/>
        <v>79816.15</v>
      </c>
      <c r="G21" s="287"/>
      <c r="H21" s="320"/>
      <c r="I21" s="256">
        <f t="shared" si="3"/>
        <v>79816.15</v>
      </c>
      <c r="J21" s="21"/>
      <c r="K21" s="7"/>
      <c r="L21" s="65">
        <f>I21+J21+K21</f>
        <v>79816.15</v>
      </c>
      <c r="M21" s="127"/>
      <c r="N21" s="7"/>
      <c r="O21" s="18">
        <f>L21+M21+N21</f>
        <v>79816.15</v>
      </c>
      <c r="P21" s="72"/>
      <c r="Q21" s="70">
        <f t="shared" si="1"/>
        <v>79816.15</v>
      </c>
    </row>
    <row r="22" spans="1:17" ht="12.75">
      <c r="A22" s="26" t="s">
        <v>315</v>
      </c>
      <c r="B22" s="83"/>
      <c r="C22" s="136"/>
      <c r="D22" s="104"/>
      <c r="E22" s="236"/>
      <c r="F22" s="274">
        <f t="shared" si="4"/>
        <v>0</v>
      </c>
      <c r="G22" s="287"/>
      <c r="H22" s="320">
        <f>25500</f>
        <v>25500</v>
      </c>
      <c r="I22" s="256">
        <f t="shared" si="3"/>
        <v>25500</v>
      </c>
      <c r="J22" s="21"/>
      <c r="K22" s="7"/>
      <c r="L22" s="65"/>
      <c r="M22" s="127"/>
      <c r="N22" s="7"/>
      <c r="O22" s="18"/>
      <c r="P22" s="72"/>
      <c r="Q22" s="70"/>
    </row>
    <row r="23" spans="1:17" ht="12.75">
      <c r="A23" s="26" t="s">
        <v>316</v>
      </c>
      <c r="B23" s="83"/>
      <c r="C23" s="136"/>
      <c r="D23" s="104">
        <f>6.53+868.75+15.34+81.93+43.31+388.98+120</f>
        <v>1524.84</v>
      </c>
      <c r="E23" s="236"/>
      <c r="F23" s="274">
        <f t="shared" si="4"/>
        <v>1524.84</v>
      </c>
      <c r="G23" s="287">
        <f>2.45+2+6+4.15+267+62.15+161.43+90+95.88+435+220+10.2+628.14+1638.07+19.26</f>
        <v>3641.7300000000005</v>
      </c>
      <c r="H23" s="320"/>
      <c r="I23" s="256">
        <f t="shared" si="3"/>
        <v>5166.570000000001</v>
      </c>
      <c r="J23" s="21"/>
      <c r="K23" s="7"/>
      <c r="L23" s="65">
        <f>I23+J23+K23</f>
        <v>5166.570000000001</v>
      </c>
      <c r="M23" s="212"/>
      <c r="N23" s="7"/>
      <c r="O23" s="18">
        <f>L23+M23+N23</f>
        <v>5166.570000000001</v>
      </c>
      <c r="P23" s="72"/>
      <c r="Q23" s="70">
        <f t="shared" si="1"/>
        <v>5166.570000000001</v>
      </c>
    </row>
    <row r="24" spans="1:17" ht="12.75">
      <c r="A24" s="25" t="s">
        <v>22</v>
      </c>
      <c r="B24" s="82"/>
      <c r="C24" s="136">
        <f>SUM(C25:C30)</f>
        <v>97590.6</v>
      </c>
      <c r="D24" s="104">
        <f aca="true" t="shared" si="5" ref="D24:Q24">SUM(D25:D30)</f>
        <v>1348.51</v>
      </c>
      <c r="E24" s="236">
        <f t="shared" si="5"/>
        <v>0</v>
      </c>
      <c r="F24" s="274">
        <f t="shared" si="5"/>
        <v>98939.11000000002</v>
      </c>
      <c r="G24" s="287">
        <f t="shared" si="5"/>
        <v>-332.11</v>
      </c>
      <c r="H24" s="320">
        <f t="shared" si="5"/>
        <v>0</v>
      </c>
      <c r="I24" s="256">
        <f t="shared" si="5"/>
        <v>98607</v>
      </c>
      <c r="J24" s="136">
        <f t="shared" si="5"/>
        <v>0</v>
      </c>
      <c r="K24" s="104">
        <f t="shared" si="5"/>
        <v>0</v>
      </c>
      <c r="L24" s="180">
        <f t="shared" si="5"/>
        <v>98607</v>
      </c>
      <c r="M24" s="151">
        <f t="shared" si="5"/>
        <v>0</v>
      </c>
      <c r="N24" s="105">
        <f t="shared" si="5"/>
        <v>0</v>
      </c>
      <c r="O24" s="105">
        <f t="shared" si="5"/>
        <v>98607</v>
      </c>
      <c r="P24" s="105">
        <f t="shared" si="5"/>
        <v>0</v>
      </c>
      <c r="Q24" s="105">
        <f t="shared" si="5"/>
        <v>98607</v>
      </c>
    </row>
    <row r="25" spans="1:17" ht="12.75">
      <c r="A25" s="25" t="s">
        <v>23</v>
      </c>
      <c r="B25" s="82"/>
      <c r="C25" s="136">
        <v>38857.2</v>
      </c>
      <c r="D25" s="104">
        <f>1348.51</f>
        <v>1348.51</v>
      </c>
      <c r="E25" s="236"/>
      <c r="F25" s="274">
        <f t="shared" si="4"/>
        <v>40205.71</v>
      </c>
      <c r="G25" s="287">
        <f>35.94</f>
        <v>35.94</v>
      </c>
      <c r="H25" s="320"/>
      <c r="I25" s="256">
        <f aca="true" t="shared" si="6" ref="I25:I31">F25+G25+H25</f>
        <v>40241.65</v>
      </c>
      <c r="J25" s="21"/>
      <c r="K25" s="7"/>
      <c r="L25" s="65">
        <f aca="true" t="shared" si="7" ref="L25:L30">I25+J25+K25</f>
        <v>40241.65</v>
      </c>
      <c r="M25" s="127"/>
      <c r="N25" s="7"/>
      <c r="O25" s="18">
        <f aca="true" t="shared" si="8" ref="O25:O30">L25+M25+N25</f>
        <v>40241.65</v>
      </c>
      <c r="P25" s="72"/>
      <c r="Q25" s="70">
        <f t="shared" si="1"/>
        <v>40241.65</v>
      </c>
    </row>
    <row r="26" spans="1:17" ht="12.75">
      <c r="A26" s="26" t="s">
        <v>161</v>
      </c>
      <c r="B26" s="83"/>
      <c r="C26" s="136">
        <v>1004.6</v>
      </c>
      <c r="D26" s="104"/>
      <c r="E26" s="236"/>
      <c r="F26" s="274">
        <f t="shared" si="4"/>
        <v>1004.6</v>
      </c>
      <c r="G26" s="287">
        <f>-894.45</f>
        <v>-894.45</v>
      </c>
      <c r="H26" s="320"/>
      <c r="I26" s="256">
        <f t="shared" si="6"/>
        <v>110.14999999999998</v>
      </c>
      <c r="J26" s="21"/>
      <c r="K26" s="7"/>
      <c r="L26" s="65">
        <f t="shared" si="7"/>
        <v>110.14999999999998</v>
      </c>
      <c r="M26" s="127"/>
      <c r="N26" s="7"/>
      <c r="O26" s="18">
        <f t="shared" si="8"/>
        <v>110.14999999999998</v>
      </c>
      <c r="P26" s="72"/>
      <c r="Q26" s="70">
        <f t="shared" si="1"/>
        <v>110.14999999999998</v>
      </c>
    </row>
    <row r="27" spans="1:17" ht="12.75">
      <c r="A27" s="25" t="s">
        <v>24</v>
      </c>
      <c r="B27" s="82"/>
      <c r="C27" s="136">
        <v>18468</v>
      </c>
      <c r="D27" s="104"/>
      <c r="E27" s="236"/>
      <c r="F27" s="274">
        <f t="shared" si="4"/>
        <v>18468</v>
      </c>
      <c r="G27" s="287"/>
      <c r="H27" s="320"/>
      <c r="I27" s="256">
        <f t="shared" si="6"/>
        <v>18468</v>
      </c>
      <c r="J27" s="21"/>
      <c r="K27" s="7"/>
      <c r="L27" s="65">
        <f t="shared" si="7"/>
        <v>18468</v>
      </c>
      <c r="M27" s="127"/>
      <c r="N27" s="7"/>
      <c r="O27" s="18">
        <f t="shared" si="8"/>
        <v>18468</v>
      </c>
      <c r="P27" s="72"/>
      <c r="Q27" s="70">
        <f t="shared" si="1"/>
        <v>18468</v>
      </c>
    </row>
    <row r="28" spans="1:17" ht="12.75">
      <c r="A28" s="26" t="s">
        <v>162</v>
      </c>
      <c r="B28" s="83"/>
      <c r="C28" s="136">
        <v>9053.1</v>
      </c>
      <c r="D28" s="104"/>
      <c r="E28" s="236"/>
      <c r="F28" s="274">
        <f t="shared" si="4"/>
        <v>9053.1</v>
      </c>
      <c r="G28" s="287">
        <f>526.4</f>
        <v>526.4</v>
      </c>
      <c r="H28" s="320"/>
      <c r="I28" s="256">
        <f t="shared" si="6"/>
        <v>9579.5</v>
      </c>
      <c r="J28" s="21"/>
      <c r="K28" s="7"/>
      <c r="L28" s="65">
        <f t="shared" si="7"/>
        <v>9579.5</v>
      </c>
      <c r="M28" s="127"/>
      <c r="N28" s="7"/>
      <c r="O28" s="18">
        <f t="shared" si="8"/>
        <v>9579.5</v>
      </c>
      <c r="P28" s="72"/>
      <c r="Q28" s="70">
        <f t="shared" si="1"/>
        <v>9579.5</v>
      </c>
    </row>
    <row r="29" spans="1:17" ht="12.75">
      <c r="A29" s="26" t="s">
        <v>286</v>
      </c>
      <c r="B29" s="83"/>
      <c r="C29" s="136">
        <v>268.8</v>
      </c>
      <c r="D29" s="104"/>
      <c r="E29" s="236"/>
      <c r="F29" s="274">
        <f t="shared" si="4"/>
        <v>268.8</v>
      </c>
      <c r="G29" s="287"/>
      <c r="H29" s="320"/>
      <c r="I29" s="256">
        <f t="shared" si="6"/>
        <v>268.8</v>
      </c>
      <c r="J29" s="21"/>
      <c r="K29" s="7"/>
      <c r="L29" s="65">
        <f t="shared" si="7"/>
        <v>268.8</v>
      </c>
      <c r="M29" s="127"/>
      <c r="N29" s="7"/>
      <c r="O29" s="18">
        <f t="shared" si="8"/>
        <v>268.8</v>
      </c>
      <c r="P29" s="72"/>
      <c r="Q29" s="70">
        <f t="shared" si="1"/>
        <v>268.8</v>
      </c>
    </row>
    <row r="30" spans="1:17" ht="12.75">
      <c r="A30" s="26" t="s">
        <v>163</v>
      </c>
      <c r="B30" s="83"/>
      <c r="C30" s="136">
        <v>29938.9</v>
      </c>
      <c r="D30" s="104"/>
      <c r="E30" s="236"/>
      <c r="F30" s="274">
        <f t="shared" si="4"/>
        <v>29938.9</v>
      </c>
      <c r="G30" s="287"/>
      <c r="H30" s="320"/>
      <c r="I30" s="256">
        <f t="shared" si="6"/>
        <v>29938.9</v>
      </c>
      <c r="J30" s="21"/>
      <c r="K30" s="7"/>
      <c r="L30" s="65">
        <f t="shared" si="7"/>
        <v>29938.9</v>
      </c>
      <c r="M30" s="127"/>
      <c r="N30" s="7"/>
      <c r="O30" s="18">
        <f t="shared" si="8"/>
        <v>29938.9</v>
      </c>
      <c r="P30" s="72"/>
      <c r="Q30" s="70">
        <f>O30+P30</f>
        <v>29938.9</v>
      </c>
    </row>
    <row r="31" spans="1:12" ht="12.75">
      <c r="A31" s="26" t="s">
        <v>216</v>
      </c>
      <c r="B31" s="83"/>
      <c r="C31" s="136"/>
      <c r="D31" s="132">
        <f>1009+39.86+1108+67.75+837.8+5686.34+508.41</f>
        <v>9257.16</v>
      </c>
      <c r="E31" s="236"/>
      <c r="F31" s="274">
        <f t="shared" si="4"/>
        <v>9257.16</v>
      </c>
      <c r="G31" s="288">
        <f>805.17+307+17525+5000+351</f>
        <v>23988.17</v>
      </c>
      <c r="H31" s="321">
        <f>614.71+406.49</f>
        <v>1021.2</v>
      </c>
      <c r="I31" s="256">
        <f t="shared" si="6"/>
        <v>34266.53</v>
      </c>
      <c r="J31" s="83"/>
      <c r="K31" s="195"/>
      <c r="L31" s="69"/>
    </row>
    <row r="32" spans="1:17" ht="12.75">
      <c r="A32" s="27" t="s">
        <v>253</v>
      </c>
      <c r="B32" s="84"/>
      <c r="C32" s="130">
        <f>SUM(C34:C38)</f>
        <v>16790</v>
      </c>
      <c r="D32" s="107">
        <f aca="true" t="shared" si="9" ref="D32:Q32">SUM(D34:D38)</f>
        <v>0</v>
      </c>
      <c r="E32" s="238">
        <f t="shared" si="9"/>
        <v>0</v>
      </c>
      <c r="F32" s="275">
        <f t="shared" si="9"/>
        <v>16790</v>
      </c>
      <c r="G32" s="289">
        <f t="shared" si="9"/>
        <v>0</v>
      </c>
      <c r="H32" s="322">
        <f t="shared" si="9"/>
        <v>0</v>
      </c>
      <c r="I32" s="258">
        <f t="shared" si="9"/>
        <v>16790</v>
      </c>
      <c r="J32" s="130">
        <f t="shared" si="9"/>
        <v>0</v>
      </c>
      <c r="K32" s="107">
        <f t="shared" si="9"/>
        <v>0</v>
      </c>
      <c r="L32" s="181">
        <f t="shared" si="9"/>
        <v>15000</v>
      </c>
      <c r="M32" s="152">
        <f t="shared" si="9"/>
        <v>0</v>
      </c>
      <c r="N32" s="106">
        <f t="shared" si="9"/>
        <v>0</v>
      </c>
      <c r="O32" s="106">
        <f t="shared" si="9"/>
        <v>15000</v>
      </c>
      <c r="P32" s="106">
        <f t="shared" si="9"/>
        <v>0</v>
      </c>
      <c r="Q32" s="106">
        <f t="shared" si="9"/>
        <v>15000</v>
      </c>
    </row>
    <row r="33" spans="1:17" ht="11.25" customHeight="1">
      <c r="A33" s="24" t="s">
        <v>20</v>
      </c>
      <c r="B33" s="81"/>
      <c r="C33" s="136"/>
      <c r="D33" s="104"/>
      <c r="E33" s="236"/>
      <c r="F33" s="274"/>
      <c r="G33" s="287"/>
      <c r="H33" s="320"/>
      <c r="I33" s="256"/>
      <c r="J33" s="21"/>
      <c r="K33" s="7"/>
      <c r="L33" s="65"/>
      <c r="M33" s="127"/>
      <c r="N33" s="7"/>
      <c r="O33" s="18"/>
      <c r="P33" s="72"/>
      <c r="Q33" s="70"/>
    </row>
    <row r="34" spans="1:17" ht="12.75" hidden="1">
      <c r="A34" s="89" t="s">
        <v>123</v>
      </c>
      <c r="B34" s="82"/>
      <c r="C34" s="136"/>
      <c r="D34" s="104"/>
      <c r="E34" s="236"/>
      <c r="F34" s="274">
        <f>C34+D34+E34</f>
        <v>0</v>
      </c>
      <c r="G34" s="287"/>
      <c r="H34" s="320"/>
      <c r="I34" s="256">
        <f>F34+G34+H34</f>
        <v>0</v>
      </c>
      <c r="J34" s="21"/>
      <c r="K34" s="7"/>
      <c r="L34" s="65">
        <f>I34+J34+K34</f>
        <v>0</v>
      </c>
      <c r="M34" s="127"/>
      <c r="N34" s="7"/>
      <c r="O34" s="18">
        <f>L34+M34+N34</f>
        <v>0</v>
      </c>
      <c r="P34" s="72"/>
      <c r="Q34" s="70">
        <f t="shared" si="1"/>
        <v>0</v>
      </c>
    </row>
    <row r="35" spans="1:17" ht="12.75" hidden="1">
      <c r="A35" s="26" t="s">
        <v>118</v>
      </c>
      <c r="B35" s="83"/>
      <c r="C35" s="136"/>
      <c r="D35" s="104"/>
      <c r="E35" s="236"/>
      <c r="F35" s="274">
        <f>C35+D35+E35</f>
        <v>0</v>
      </c>
      <c r="G35" s="287"/>
      <c r="H35" s="320"/>
      <c r="I35" s="256">
        <f>F35+G35+H35</f>
        <v>0</v>
      </c>
      <c r="J35" s="197"/>
      <c r="K35" s="7"/>
      <c r="L35" s="65">
        <f>I35+J35+K35</f>
        <v>0</v>
      </c>
      <c r="M35" s="212"/>
      <c r="N35" s="7"/>
      <c r="O35" s="18">
        <f>L35+M35+N35</f>
        <v>0</v>
      </c>
      <c r="P35" s="72"/>
      <c r="Q35" s="70">
        <f t="shared" si="1"/>
        <v>0</v>
      </c>
    </row>
    <row r="36" spans="1:17" ht="12.75">
      <c r="A36" s="26" t="s">
        <v>121</v>
      </c>
      <c r="B36" s="83"/>
      <c r="C36" s="136">
        <v>1790</v>
      </c>
      <c r="D36" s="104"/>
      <c r="E36" s="236"/>
      <c r="F36" s="274">
        <f>C36+D36+E36</f>
        <v>1790</v>
      </c>
      <c r="G36" s="287"/>
      <c r="H36" s="320"/>
      <c r="I36" s="256">
        <f>F36+G36+H36</f>
        <v>1790</v>
      </c>
      <c r="J36" s="197"/>
      <c r="K36" s="7"/>
      <c r="L36" s="65"/>
      <c r="M36" s="212"/>
      <c r="N36" s="7"/>
      <c r="O36" s="18"/>
      <c r="P36" s="72"/>
      <c r="Q36" s="70"/>
    </row>
    <row r="37" spans="1:17" ht="12.75" hidden="1">
      <c r="A37" s="26" t="s">
        <v>128</v>
      </c>
      <c r="B37" s="83"/>
      <c r="C37" s="136"/>
      <c r="D37" s="104"/>
      <c r="E37" s="236"/>
      <c r="F37" s="274">
        <f>C37+D37+E37</f>
        <v>0</v>
      </c>
      <c r="G37" s="287"/>
      <c r="H37" s="320"/>
      <c r="I37" s="256">
        <f>F37+G37+H37</f>
        <v>0</v>
      </c>
      <c r="J37" s="197"/>
      <c r="K37" s="7"/>
      <c r="L37" s="65">
        <f>I37+J37+K37</f>
        <v>0</v>
      </c>
      <c r="M37" s="212"/>
      <c r="N37" s="7"/>
      <c r="O37" s="18">
        <f>L37+M37+N37</f>
        <v>0</v>
      </c>
      <c r="P37" s="72"/>
      <c r="Q37" s="70">
        <f t="shared" si="1"/>
        <v>0</v>
      </c>
    </row>
    <row r="38" spans="1:17" ht="12.75">
      <c r="A38" s="89" t="s">
        <v>287</v>
      </c>
      <c r="B38" s="82"/>
      <c r="C38" s="136">
        <v>15000</v>
      </c>
      <c r="D38" s="104"/>
      <c r="E38" s="236"/>
      <c r="F38" s="274">
        <f>C38+D38+E38</f>
        <v>15000</v>
      </c>
      <c r="G38" s="287"/>
      <c r="H38" s="320"/>
      <c r="I38" s="256">
        <f>F38+G38+H38</f>
        <v>15000</v>
      </c>
      <c r="J38" s="21"/>
      <c r="K38" s="7"/>
      <c r="L38" s="65">
        <f>I38+J38+K38</f>
        <v>15000</v>
      </c>
      <c r="M38" s="127"/>
      <c r="N38" s="7"/>
      <c r="O38" s="18">
        <f>L38+M38+N38</f>
        <v>15000</v>
      </c>
      <c r="P38" s="72"/>
      <c r="Q38" s="70">
        <f t="shared" si="1"/>
        <v>15000</v>
      </c>
    </row>
    <row r="39" spans="1:17" ht="12.75">
      <c r="A39" s="27" t="s">
        <v>254</v>
      </c>
      <c r="B39" s="82"/>
      <c r="C39" s="136"/>
      <c r="D39" s="104"/>
      <c r="E39" s="236"/>
      <c r="F39" s="274"/>
      <c r="G39" s="287"/>
      <c r="H39" s="320"/>
      <c r="I39" s="256"/>
      <c r="J39" s="21"/>
      <c r="K39" s="7"/>
      <c r="L39" s="65"/>
      <c r="M39" s="127"/>
      <c r="N39" s="7"/>
      <c r="O39" s="18"/>
      <c r="P39" s="72"/>
      <c r="Q39" s="70"/>
    </row>
    <row r="40" spans="1:17" ht="12.75">
      <c r="A40" s="23" t="s">
        <v>26</v>
      </c>
      <c r="B40" s="80"/>
      <c r="C40" s="143">
        <f>SUM(C42:C61)</f>
        <v>83932.3</v>
      </c>
      <c r="D40" s="103">
        <f aca="true" t="shared" si="10" ref="D40:Q40">SUM(D42:D61)</f>
        <v>7069317.0600000005</v>
      </c>
      <c r="E40" s="233">
        <f t="shared" si="10"/>
        <v>0</v>
      </c>
      <c r="F40" s="254">
        <f t="shared" si="10"/>
        <v>7153249.360000001</v>
      </c>
      <c r="G40" s="286">
        <f t="shared" si="10"/>
        <v>192456.34</v>
      </c>
      <c r="H40" s="319">
        <f t="shared" si="10"/>
        <v>0</v>
      </c>
      <c r="I40" s="257">
        <f t="shared" si="10"/>
        <v>7345705.7</v>
      </c>
      <c r="J40" s="143">
        <f t="shared" si="10"/>
        <v>0</v>
      </c>
      <c r="K40" s="103">
        <f t="shared" si="10"/>
        <v>0</v>
      </c>
      <c r="L40" s="158">
        <f t="shared" si="10"/>
        <v>7342306.19</v>
      </c>
      <c r="M40" s="128">
        <f t="shared" si="10"/>
        <v>0</v>
      </c>
      <c r="N40" s="102">
        <f t="shared" si="10"/>
        <v>0</v>
      </c>
      <c r="O40" s="102">
        <f t="shared" si="10"/>
        <v>7342306.19</v>
      </c>
      <c r="P40" s="102">
        <f t="shared" si="10"/>
        <v>0</v>
      </c>
      <c r="Q40" s="102">
        <f t="shared" si="10"/>
        <v>7342306.19</v>
      </c>
    </row>
    <row r="41" spans="1:17" ht="10.5" customHeight="1">
      <c r="A41" s="28" t="s">
        <v>27</v>
      </c>
      <c r="B41" s="85"/>
      <c r="C41" s="136"/>
      <c r="D41" s="104"/>
      <c r="E41" s="236"/>
      <c r="F41" s="274"/>
      <c r="G41" s="287"/>
      <c r="H41" s="320"/>
      <c r="I41" s="256"/>
      <c r="J41" s="21"/>
      <c r="K41" s="7"/>
      <c r="L41" s="65"/>
      <c r="M41" s="127"/>
      <c r="N41" s="7"/>
      <c r="O41" s="18"/>
      <c r="P41" s="72"/>
      <c r="Q41" s="70"/>
    </row>
    <row r="42" spans="1:17" ht="12.75">
      <c r="A42" s="26" t="s">
        <v>28</v>
      </c>
      <c r="B42" s="83"/>
      <c r="C42" s="136">
        <v>83682.3</v>
      </c>
      <c r="D42" s="104"/>
      <c r="E42" s="236"/>
      <c r="F42" s="274">
        <f aca="true" t="shared" si="11" ref="F42:F61">C42+D42+E42</f>
        <v>83682.3</v>
      </c>
      <c r="G42" s="287"/>
      <c r="H42" s="320"/>
      <c r="I42" s="256">
        <f>F42+G42+H42</f>
        <v>83682.3</v>
      </c>
      <c r="J42" s="21"/>
      <c r="K42" s="7"/>
      <c r="L42" s="65">
        <f>I42+J42+K42</f>
        <v>83682.3</v>
      </c>
      <c r="M42" s="127"/>
      <c r="N42" s="7"/>
      <c r="O42" s="18">
        <f>L42+M42+N42</f>
        <v>83682.3</v>
      </c>
      <c r="P42" s="72"/>
      <c r="Q42" s="70">
        <f t="shared" si="1"/>
        <v>83682.3</v>
      </c>
    </row>
    <row r="43" spans="1:17" ht="12.75">
      <c r="A43" s="26" t="s">
        <v>29</v>
      </c>
      <c r="B43" s="83"/>
      <c r="C43" s="136"/>
      <c r="D43" s="104">
        <f>200+30+150+15.68</f>
        <v>395.68</v>
      </c>
      <c r="E43" s="236"/>
      <c r="F43" s="274">
        <f t="shared" si="11"/>
        <v>395.68</v>
      </c>
      <c r="G43" s="287">
        <f>21.42+29.3</f>
        <v>50.72</v>
      </c>
      <c r="H43" s="320"/>
      <c r="I43" s="256">
        <f aca="true" t="shared" si="12" ref="I43:I61">F43+G43+H43</f>
        <v>446.4</v>
      </c>
      <c r="J43" s="21"/>
      <c r="K43" s="7"/>
      <c r="L43" s="65">
        <f aca="true" t="shared" si="13" ref="L43:L61">I43+J43+K43</f>
        <v>446.4</v>
      </c>
      <c r="M43" s="127"/>
      <c r="N43" s="7"/>
      <c r="O43" s="18">
        <f aca="true" t="shared" si="14" ref="O43:O61">L43+M43+N43</f>
        <v>446.4</v>
      </c>
      <c r="P43" s="72"/>
      <c r="Q43" s="70">
        <f t="shared" si="1"/>
        <v>446.4</v>
      </c>
    </row>
    <row r="44" spans="1:17" ht="12.75">
      <c r="A44" s="26" t="s">
        <v>30</v>
      </c>
      <c r="B44" s="83"/>
      <c r="C44" s="136"/>
      <c r="D44" s="104">
        <f>1373+71282.48+5806196.47+612.5+5782.93+2043.37+5938+10259.23+482.38+3261.32+9128.57+206.42</f>
        <v>5916566.670000001</v>
      </c>
      <c r="E44" s="236"/>
      <c r="F44" s="274">
        <f t="shared" si="11"/>
        <v>5916566.670000001</v>
      </c>
      <c r="G44" s="287">
        <f>135.06+1476.68+720.53+1659.16+520+160.14+271.7+546.71+361.27+680.95+211.52+1396.04+422.23+72228.5+3280.86+5224.6+765.24+5659.95+1500-60.39-54.14+2855.25</f>
        <v>99961.86000000002</v>
      </c>
      <c r="H44" s="320"/>
      <c r="I44" s="256">
        <f t="shared" si="12"/>
        <v>6016528.530000001</v>
      </c>
      <c r="J44" s="21"/>
      <c r="K44" s="7"/>
      <c r="L44" s="65">
        <f t="shared" si="13"/>
        <v>6016528.530000001</v>
      </c>
      <c r="M44" s="127"/>
      <c r="N44" s="7"/>
      <c r="O44" s="18">
        <f t="shared" si="14"/>
        <v>6016528.530000001</v>
      </c>
      <c r="P44" s="72"/>
      <c r="Q44" s="70">
        <f t="shared" si="1"/>
        <v>6016528.530000001</v>
      </c>
    </row>
    <row r="45" spans="1:17" ht="12.75">
      <c r="A45" s="26" t="s">
        <v>31</v>
      </c>
      <c r="B45" s="83"/>
      <c r="C45" s="136"/>
      <c r="D45" s="104">
        <f>782123.8+57358.39+7000+566.83+29847.76</f>
        <v>876896.78</v>
      </c>
      <c r="E45" s="236"/>
      <c r="F45" s="274">
        <f t="shared" si="11"/>
        <v>876896.78</v>
      </c>
      <c r="G45" s="287">
        <f>643.52+2510.76+2343.04+570+1249.89+4287.51+631.78+585.81</f>
        <v>12822.310000000001</v>
      </c>
      <c r="H45" s="320"/>
      <c r="I45" s="256">
        <f t="shared" si="12"/>
        <v>889719.0900000001</v>
      </c>
      <c r="J45" s="21"/>
      <c r="K45" s="7"/>
      <c r="L45" s="65">
        <f t="shared" si="13"/>
        <v>889719.0900000001</v>
      </c>
      <c r="M45" s="127"/>
      <c r="N45" s="7"/>
      <c r="O45" s="18">
        <f t="shared" si="14"/>
        <v>889719.0900000001</v>
      </c>
      <c r="P45" s="72"/>
      <c r="Q45" s="70">
        <f t="shared" si="1"/>
        <v>889719.0900000001</v>
      </c>
    </row>
    <row r="46" spans="1:17" ht="12.75">
      <c r="A46" s="26" t="s">
        <v>32</v>
      </c>
      <c r="B46" s="83"/>
      <c r="C46" s="136"/>
      <c r="D46" s="104">
        <f>55.91</f>
        <v>55.91</v>
      </c>
      <c r="E46" s="236"/>
      <c r="F46" s="274">
        <f t="shared" si="11"/>
        <v>55.91</v>
      </c>
      <c r="G46" s="287">
        <f>141.99+36.6+73.26+39.76+18.3+846.6+21.98+110.15+13.17</f>
        <v>1301.8100000000002</v>
      </c>
      <c r="H46" s="320"/>
      <c r="I46" s="256">
        <f t="shared" si="12"/>
        <v>1357.7200000000003</v>
      </c>
      <c r="J46" s="21"/>
      <c r="K46" s="7"/>
      <c r="L46" s="65">
        <f t="shared" si="13"/>
        <v>1357.7200000000003</v>
      </c>
      <c r="M46" s="127"/>
      <c r="N46" s="7"/>
      <c r="O46" s="18">
        <f t="shared" si="14"/>
        <v>1357.7200000000003</v>
      </c>
      <c r="P46" s="72"/>
      <c r="Q46" s="70">
        <f t="shared" si="1"/>
        <v>1357.7200000000003</v>
      </c>
    </row>
    <row r="47" spans="1:17" ht="12.75">
      <c r="A47" s="26" t="s">
        <v>33</v>
      </c>
      <c r="B47" s="83"/>
      <c r="C47" s="136"/>
      <c r="D47" s="104"/>
      <c r="E47" s="236"/>
      <c r="F47" s="274">
        <f t="shared" si="11"/>
        <v>0</v>
      </c>
      <c r="G47" s="287">
        <f>320+150+340+88</f>
        <v>898</v>
      </c>
      <c r="H47" s="320"/>
      <c r="I47" s="256">
        <f t="shared" si="12"/>
        <v>898</v>
      </c>
      <c r="J47" s="21"/>
      <c r="K47" s="7"/>
      <c r="L47" s="65">
        <f t="shared" si="13"/>
        <v>898</v>
      </c>
      <c r="M47" s="127"/>
      <c r="N47" s="7"/>
      <c r="O47" s="18">
        <f t="shared" si="14"/>
        <v>898</v>
      </c>
      <c r="P47" s="72"/>
      <c r="Q47" s="70">
        <f t="shared" si="1"/>
        <v>898</v>
      </c>
    </row>
    <row r="48" spans="1:17" ht="12.75">
      <c r="A48" s="26" t="s">
        <v>338</v>
      </c>
      <c r="B48" s="83"/>
      <c r="C48" s="136"/>
      <c r="D48" s="104"/>
      <c r="E48" s="236"/>
      <c r="F48" s="274">
        <f t="shared" si="11"/>
        <v>0</v>
      </c>
      <c r="G48" s="287">
        <f>2000+170</f>
        <v>2170</v>
      </c>
      <c r="H48" s="320"/>
      <c r="I48" s="256">
        <f t="shared" si="12"/>
        <v>2170</v>
      </c>
      <c r="J48" s="21"/>
      <c r="K48" s="7"/>
      <c r="L48" s="65">
        <f t="shared" si="13"/>
        <v>2170</v>
      </c>
      <c r="M48" s="127"/>
      <c r="N48" s="7"/>
      <c r="O48" s="18">
        <f t="shared" si="14"/>
        <v>2170</v>
      </c>
      <c r="P48" s="72"/>
      <c r="Q48" s="70">
        <f t="shared" si="1"/>
        <v>2170</v>
      </c>
    </row>
    <row r="49" spans="1:17" ht="12.75" hidden="1">
      <c r="A49" s="26" t="s">
        <v>34</v>
      </c>
      <c r="B49" s="83"/>
      <c r="C49" s="136"/>
      <c r="D49" s="104"/>
      <c r="E49" s="236"/>
      <c r="F49" s="274">
        <f t="shared" si="11"/>
        <v>0</v>
      </c>
      <c r="G49" s="287"/>
      <c r="H49" s="320"/>
      <c r="I49" s="256">
        <f t="shared" si="12"/>
        <v>0</v>
      </c>
      <c r="J49" s="21"/>
      <c r="K49" s="7"/>
      <c r="L49" s="65">
        <f t="shared" si="13"/>
        <v>0</v>
      </c>
      <c r="M49" s="127"/>
      <c r="N49" s="7"/>
      <c r="O49" s="18">
        <f t="shared" si="14"/>
        <v>0</v>
      </c>
      <c r="P49" s="72"/>
      <c r="Q49" s="70">
        <f t="shared" si="1"/>
        <v>0</v>
      </c>
    </row>
    <row r="50" spans="1:17" ht="12.75">
      <c r="A50" s="26" t="s">
        <v>154</v>
      </c>
      <c r="B50" s="83"/>
      <c r="C50" s="136"/>
      <c r="D50" s="104">
        <f>270393.45</f>
        <v>270393.45</v>
      </c>
      <c r="E50" s="236"/>
      <c r="F50" s="274">
        <f t="shared" si="11"/>
        <v>270393.45</v>
      </c>
      <c r="G50" s="287"/>
      <c r="H50" s="320"/>
      <c r="I50" s="256">
        <f t="shared" si="12"/>
        <v>270393.45</v>
      </c>
      <c r="J50" s="21"/>
      <c r="K50" s="7"/>
      <c r="L50" s="65">
        <f t="shared" si="13"/>
        <v>270393.45</v>
      </c>
      <c r="M50" s="127"/>
      <c r="N50" s="7"/>
      <c r="O50" s="18">
        <f t="shared" si="14"/>
        <v>270393.45</v>
      </c>
      <c r="P50" s="72"/>
      <c r="Q50" s="70">
        <f t="shared" si="1"/>
        <v>270393.45</v>
      </c>
    </row>
    <row r="51" spans="1:17" ht="12.75">
      <c r="A51" s="26" t="s">
        <v>166</v>
      </c>
      <c r="B51" s="83"/>
      <c r="C51" s="136"/>
      <c r="D51" s="104">
        <f>3399.51</f>
        <v>3399.51</v>
      </c>
      <c r="E51" s="236"/>
      <c r="F51" s="274">
        <f t="shared" si="11"/>
        <v>3399.51</v>
      </c>
      <c r="G51" s="287"/>
      <c r="H51" s="320"/>
      <c r="I51" s="256">
        <f t="shared" si="12"/>
        <v>3399.51</v>
      </c>
      <c r="J51" s="21"/>
      <c r="K51" s="7"/>
      <c r="L51" s="65"/>
      <c r="M51" s="127"/>
      <c r="N51" s="7"/>
      <c r="O51" s="18">
        <f t="shared" si="14"/>
        <v>0</v>
      </c>
      <c r="P51" s="72"/>
      <c r="Q51" s="70">
        <f t="shared" si="1"/>
        <v>0</v>
      </c>
    </row>
    <row r="52" spans="1:17" ht="12.75">
      <c r="A52" s="26" t="s">
        <v>35</v>
      </c>
      <c r="B52" s="83"/>
      <c r="C52" s="136"/>
      <c r="D52" s="104">
        <f>1609.06</f>
        <v>1609.06</v>
      </c>
      <c r="E52" s="236"/>
      <c r="F52" s="274">
        <f t="shared" si="11"/>
        <v>1609.06</v>
      </c>
      <c r="G52" s="287"/>
      <c r="H52" s="320"/>
      <c r="I52" s="256">
        <f t="shared" si="12"/>
        <v>1609.06</v>
      </c>
      <c r="J52" s="21"/>
      <c r="K52" s="7"/>
      <c r="L52" s="65">
        <f t="shared" si="13"/>
        <v>1609.06</v>
      </c>
      <c r="M52" s="127"/>
      <c r="N52" s="7"/>
      <c r="O52" s="18">
        <f t="shared" si="14"/>
        <v>1609.06</v>
      </c>
      <c r="P52" s="77"/>
      <c r="Q52" s="70">
        <f t="shared" si="1"/>
        <v>1609.06</v>
      </c>
    </row>
    <row r="53" spans="1:17" ht="12.75">
      <c r="A53" s="26" t="s">
        <v>36</v>
      </c>
      <c r="B53" s="83"/>
      <c r="C53" s="136"/>
      <c r="D53" s="104"/>
      <c r="E53" s="236"/>
      <c r="F53" s="274">
        <f t="shared" si="11"/>
        <v>0</v>
      </c>
      <c r="G53" s="287">
        <f>88+250</f>
        <v>338</v>
      </c>
      <c r="H53" s="320"/>
      <c r="I53" s="256">
        <f t="shared" si="12"/>
        <v>338</v>
      </c>
      <c r="J53" s="197"/>
      <c r="K53" s="7"/>
      <c r="L53" s="65">
        <f t="shared" si="13"/>
        <v>338</v>
      </c>
      <c r="M53" s="127"/>
      <c r="N53" s="7"/>
      <c r="O53" s="18">
        <f t="shared" si="14"/>
        <v>338</v>
      </c>
      <c r="P53" s="72"/>
      <c r="Q53" s="70">
        <f t="shared" si="1"/>
        <v>338</v>
      </c>
    </row>
    <row r="54" spans="1:17" ht="12.75" hidden="1">
      <c r="A54" s="26" t="s">
        <v>225</v>
      </c>
      <c r="B54" s="83"/>
      <c r="C54" s="136"/>
      <c r="D54" s="104"/>
      <c r="E54" s="236"/>
      <c r="F54" s="274">
        <f t="shared" si="11"/>
        <v>0</v>
      </c>
      <c r="G54" s="287"/>
      <c r="H54" s="320"/>
      <c r="I54" s="256">
        <f t="shared" si="12"/>
        <v>0</v>
      </c>
      <c r="J54" s="197"/>
      <c r="K54" s="7"/>
      <c r="L54" s="65"/>
      <c r="M54" s="127"/>
      <c r="N54" s="7"/>
      <c r="O54" s="18"/>
      <c r="P54" s="72"/>
      <c r="Q54" s="70"/>
    </row>
    <row r="55" spans="1:17" ht="12.75" hidden="1">
      <c r="A55" s="26" t="s">
        <v>167</v>
      </c>
      <c r="B55" s="83"/>
      <c r="C55" s="136"/>
      <c r="D55" s="104"/>
      <c r="E55" s="236"/>
      <c r="F55" s="274">
        <f t="shared" si="11"/>
        <v>0</v>
      </c>
      <c r="G55" s="287"/>
      <c r="H55" s="320"/>
      <c r="I55" s="256">
        <f t="shared" si="12"/>
        <v>0</v>
      </c>
      <c r="J55" s="197"/>
      <c r="K55" s="7"/>
      <c r="L55" s="65"/>
      <c r="M55" s="127"/>
      <c r="N55" s="7"/>
      <c r="O55" s="18">
        <f t="shared" si="14"/>
        <v>0</v>
      </c>
      <c r="P55" s="72"/>
      <c r="Q55" s="70">
        <f t="shared" si="1"/>
        <v>0</v>
      </c>
    </row>
    <row r="56" spans="1:17" ht="12.75" hidden="1">
      <c r="A56" s="26" t="s">
        <v>37</v>
      </c>
      <c r="B56" s="83"/>
      <c r="C56" s="136"/>
      <c r="D56" s="104"/>
      <c r="E56" s="236"/>
      <c r="F56" s="274">
        <f t="shared" si="11"/>
        <v>0</v>
      </c>
      <c r="G56" s="287"/>
      <c r="H56" s="320"/>
      <c r="I56" s="256">
        <f t="shared" si="12"/>
        <v>0</v>
      </c>
      <c r="J56" s="21"/>
      <c r="K56" s="7"/>
      <c r="L56" s="65">
        <f t="shared" si="13"/>
        <v>0</v>
      </c>
      <c r="M56" s="127"/>
      <c r="N56" s="7"/>
      <c r="O56" s="18">
        <f t="shared" si="14"/>
        <v>0</v>
      </c>
      <c r="P56" s="72"/>
      <c r="Q56" s="70">
        <f t="shared" si="1"/>
        <v>0</v>
      </c>
    </row>
    <row r="57" spans="1:17" ht="12.75" hidden="1">
      <c r="A57" s="26" t="s">
        <v>48</v>
      </c>
      <c r="B57" s="83"/>
      <c r="C57" s="136"/>
      <c r="D57" s="104"/>
      <c r="E57" s="236"/>
      <c r="F57" s="274">
        <f t="shared" si="11"/>
        <v>0</v>
      </c>
      <c r="G57" s="287"/>
      <c r="H57" s="320"/>
      <c r="I57" s="256">
        <f t="shared" si="12"/>
        <v>0</v>
      </c>
      <c r="J57" s="21"/>
      <c r="K57" s="7"/>
      <c r="L57" s="65">
        <f t="shared" si="13"/>
        <v>0</v>
      </c>
      <c r="M57" s="127"/>
      <c r="N57" s="7"/>
      <c r="O57" s="18">
        <f t="shared" si="14"/>
        <v>0</v>
      </c>
      <c r="P57" s="72"/>
      <c r="Q57" s="70">
        <f t="shared" si="1"/>
        <v>0</v>
      </c>
    </row>
    <row r="58" spans="1:17" ht="12.75">
      <c r="A58" s="26" t="s">
        <v>38</v>
      </c>
      <c r="B58" s="83"/>
      <c r="C58" s="136"/>
      <c r="D58" s="104"/>
      <c r="E58" s="236"/>
      <c r="F58" s="274">
        <f t="shared" si="11"/>
        <v>0</v>
      </c>
      <c r="G58" s="287">
        <f>69355</f>
        <v>69355</v>
      </c>
      <c r="H58" s="320"/>
      <c r="I58" s="256">
        <f t="shared" si="12"/>
        <v>69355</v>
      </c>
      <c r="J58" s="21"/>
      <c r="K58" s="7"/>
      <c r="L58" s="65">
        <f t="shared" si="13"/>
        <v>69355</v>
      </c>
      <c r="M58" s="127"/>
      <c r="N58" s="7"/>
      <c r="O58" s="18">
        <f t="shared" si="14"/>
        <v>69355</v>
      </c>
      <c r="P58" s="72"/>
      <c r="Q58" s="70">
        <f t="shared" si="1"/>
        <v>69355</v>
      </c>
    </row>
    <row r="59" spans="1:17" ht="12.75">
      <c r="A59" s="26" t="s">
        <v>39</v>
      </c>
      <c r="B59" s="83"/>
      <c r="C59" s="136"/>
      <c r="D59" s="104"/>
      <c r="E59" s="236"/>
      <c r="F59" s="274">
        <f t="shared" si="11"/>
        <v>0</v>
      </c>
      <c r="G59" s="287">
        <f>1245.41+2413.78+223.9</f>
        <v>3883.0900000000006</v>
      </c>
      <c r="H59" s="320"/>
      <c r="I59" s="256">
        <f t="shared" si="12"/>
        <v>3883.0900000000006</v>
      </c>
      <c r="J59" s="21"/>
      <c r="K59" s="7"/>
      <c r="L59" s="65">
        <f t="shared" si="13"/>
        <v>3883.0900000000006</v>
      </c>
      <c r="M59" s="127"/>
      <c r="N59" s="7"/>
      <c r="O59" s="18">
        <f t="shared" si="14"/>
        <v>3883.0900000000006</v>
      </c>
      <c r="P59" s="72"/>
      <c r="Q59" s="70">
        <f t="shared" si="1"/>
        <v>3883.0900000000006</v>
      </c>
    </row>
    <row r="60" spans="1:17" ht="12.75">
      <c r="A60" s="26" t="s">
        <v>40</v>
      </c>
      <c r="B60" s="83"/>
      <c r="C60" s="136">
        <v>250</v>
      </c>
      <c r="D60" s="104"/>
      <c r="E60" s="236"/>
      <c r="F60" s="274">
        <f t="shared" si="11"/>
        <v>250</v>
      </c>
      <c r="G60" s="287">
        <f>1675.55</f>
        <v>1675.55</v>
      </c>
      <c r="H60" s="320"/>
      <c r="I60" s="256">
        <f t="shared" si="12"/>
        <v>1925.55</v>
      </c>
      <c r="J60" s="21"/>
      <c r="K60" s="7"/>
      <c r="L60" s="65">
        <f t="shared" si="13"/>
        <v>1925.55</v>
      </c>
      <c r="M60" s="127"/>
      <c r="N60" s="7"/>
      <c r="O60" s="18">
        <f t="shared" si="14"/>
        <v>1925.55</v>
      </c>
      <c r="P60" s="72"/>
      <c r="Q60" s="70">
        <f t="shared" si="1"/>
        <v>1925.55</v>
      </c>
    </row>
    <row r="61" spans="1:17" ht="12.75" hidden="1">
      <c r="A61" s="26" t="s">
        <v>172</v>
      </c>
      <c r="B61" s="83"/>
      <c r="C61" s="136"/>
      <c r="D61" s="104"/>
      <c r="E61" s="236"/>
      <c r="F61" s="274">
        <f t="shared" si="11"/>
        <v>0</v>
      </c>
      <c r="G61" s="287"/>
      <c r="H61" s="320"/>
      <c r="I61" s="256">
        <f t="shared" si="12"/>
        <v>0</v>
      </c>
      <c r="J61" s="21"/>
      <c r="K61" s="7"/>
      <c r="L61" s="65">
        <f t="shared" si="13"/>
        <v>0</v>
      </c>
      <c r="M61" s="127"/>
      <c r="N61" s="7"/>
      <c r="O61" s="18">
        <f t="shared" si="14"/>
        <v>0</v>
      </c>
      <c r="P61" s="72"/>
      <c r="Q61" s="70">
        <f t="shared" si="1"/>
        <v>0</v>
      </c>
    </row>
    <row r="62" spans="1:17" ht="12.75" hidden="1">
      <c r="A62" s="27" t="s">
        <v>41</v>
      </c>
      <c r="B62" s="84"/>
      <c r="C62" s="130">
        <f>SUM(C64:C66)</f>
        <v>0</v>
      </c>
      <c r="D62" s="107">
        <f>SUM(D64:D66)</f>
        <v>0</v>
      </c>
      <c r="E62" s="238">
        <f>SUM(E64:E66)</f>
        <v>0</v>
      </c>
      <c r="F62" s="275">
        <f>SUM(F64:F66)</f>
        <v>0</v>
      </c>
      <c r="G62" s="289"/>
      <c r="H62" s="322"/>
      <c r="I62" s="258">
        <f>SUM(I64:I66)</f>
        <v>0</v>
      </c>
      <c r="J62" s="198"/>
      <c r="K62" s="8"/>
      <c r="L62" s="22">
        <f>SUM(L64:L66)</f>
        <v>0</v>
      </c>
      <c r="M62" s="213"/>
      <c r="N62" s="8"/>
      <c r="O62" s="19">
        <f>SUM(O64:O66)</f>
        <v>0</v>
      </c>
      <c r="P62" s="73"/>
      <c r="Q62" s="22">
        <f>SUM(Q64:Q66)</f>
        <v>0</v>
      </c>
    </row>
    <row r="63" spans="1:17" ht="12.75" hidden="1">
      <c r="A63" s="24" t="s">
        <v>27</v>
      </c>
      <c r="B63" s="81"/>
      <c r="C63" s="136"/>
      <c r="D63" s="104"/>
      <c r="E63" s="236"/>
      <c r="F63" s="274"/>
      <c r="G63" s="287"/>
      <c r="H63" s="320"/>
      <c r="I63" s="256"/>
      <c r="J63" s="21"/>
      <c r="K63" s="7"/>
      <c r="L63" s="65"/>
      <c r="M63" s="127"/>
      <c r="N63" s="7"/>
      <c r="O63" s="18">
        <f>L63+M63+N63</f>
        <v>0</v>
      </c>
      <c r="P63" s="72"/>
      <c r="Q63" s="70"/>
    </row>
    <row r="64" spans="1:17" ht="12.75" hidden="1">
      <c r="A64" s="26" t="s">
        <v>42</v>
      </c>
      <c r="B64" s="83"/>
      <c r="C64" s="136"/>
      <c r="D64" s="104"/>
      <c r="E64" s="236"/>
      <c r="F64" s="274">
        <f>C64+D64+E64</f>
        <v>0</v>
      </c>
      <c r="G64" s="287"/>
      <c r="H64" s="320"/>
      <c r="I64" s="256">
        <f>F64+G64+H64</f>
        <v>0</v>
      </c>
      <c r="J64" s="21"/>
      <c r="K64" s="7"/>
      <c r="L64" s="65">
        <f>I64+J64+K64</f>
        <v>0</v>
      </c>
      <c r="M64" s="127"/>
      <c r="N64" s="7"/>
      <c r="O64" s="18">
        <f>L64+M64+N64</f>
        <v>0</v>
      </c>
      <c r="P64" s="72"/>
      <c r="Q64" s="70">
        <f t="shared" si="1"/>
        <v>0</v>
      </c>
    </row>
    <row r="65" spans="1:17" ht="12.75" hidden="1">
      <c r="A65" s="26" t="s">
        <v>43</v>
      </c>
      <c r="B65" s="83"/>
      <c r="C65" s="136"/>
      <c r="D65" s="104"/>
      <c r="E65" s="236"/>
      <c r="F65" s="274">
        <f>C65+D65+E65</f>
        <v>0</v>
      </c>
      <c r="G65" s="287"/>
      <c r="H65" s="320"/>
      <c r="I65" s="256">
        <f>F65+G65+H65</f>
        <v>0</v>
      </c>
      <c r="J65" s="21"/>
      <c r="K65" s="7"/>
      <c r="L65" s="65">
        <f>I65+J65+K65</f>
        <v>0</v>
      </c>
      <c r="M65" s="127"/>
      <c r="N65" s="7"/>
      <c r="O65" s="18">
        <f>L65+M65+N65</f>
        <v>0</v>
      </c>
      <c r="P65" s="72"/>
      <c r="Q65" s="70">
        <f t="shared" si="1"/>
        <v>0</v>
      </c>
    </row>
    <row r="66" spans="1:17" ht="12.75" hidden="1">
      <c r="A66" s="26" t="s">
        <v>44</v>
      </c>
      <c r="B66" s="83"/>
      <c r="C66" s="136"/>
      <c r="D66" s="104"/>
      <c r="E66" s="236"/>
      <c r="F66" s="274">
        <f>C66+D66+E66</f>
        <v>0</v>
      </c>
      <c r="G66" s="287"/>
      <c r="H66" s="320"/>
      <c r="I66" s="256">
        <f>F66+G66+H66</f>
        <v>0</v>
      </c>
      <c r="J66" s="21"/>
      <c r="K66" s="7"/>
      <c r="L66" s="65">
        <f>I66+J66+K66</f>
        <v>0</v>
      </c>
      <c r="M66" s="127"/>
      <c r="N66" s="7"/>
      <c r="O66" s="18">
        <f>L66+M66+N66</f>
        <v>0</v>
      </c>
      <c r="P66" s="72"/>
      <c r="Q66" s="70">
        <f t="shared" si="1"/>
        <v>0</v>
      </c>
    </row>
    <row r="67" spans="1:17" ht="12.75">
      <c r="A67" s="23" t="s">
        <v>45</v>
      </c>
      <c r="B67" s="80"/>
      <c r="C67" s="143">
        <f>SUM(C69:C83)</f>
        <v>0</v>
      </c>
      <c r="D67" s="103">
        <f aca="true" t="shared" si="15" ref="D67:Q67">SUM(D69:D83)</f>
        <v>96723.42000000001</v>
      </c>
      <c r="E67" s="233">
        <f t="shared" si="15"/>
        <v>0</v>
      </c>
      <c r="F67" s="254">
        <f t="shared" si="15"/>
        <v>96723.42000000001</v>
      </c>
      <c r="G67" s="286">
        <f t="shared" si="15"/>
        <v>393435.51</v>
      </c>
      <c r="H67" s="319">
        <f t="shared" si="15"/>
        <v>0</v>
      </c>
      <c r="I67" s="257">
        <f t="shared" si="15"/>
        <v>490158.93000000005</v>
      </c>
      <c r="J67" s="143">
        <f t="shared" si="15"/>
        <v>0</v>
      </c>
      <c r="K67" s="103">
        <f t="shared" si="15"/>
        <v>0</v>
      </c>
      <c r="L67" s="158">
        <f t="shared" si="15"/>
        <v>481672.74000000005</v>
      </c>
      <c r="M67" s="128">
        <f t="shared" si="15"/>
        <v>0</v>
      </c>
      <c r="N67" s="102">
        <f t="shared" si="15"/>
        <v>0</v>
      </c>
      <c r="O67" s="102">
        <f t="shared" si="15"/>
        <v>481672.74000000005</v>
      </c>
      <c r="P67" s="102">
        <f t="shared" si="15"/>
        <v>0</v>
      </c>
      <c r="Q67" s="102">
        <f t="shared" si="15"/>
        <v>481672.74000000005</v>
      </c>
    </row>
    <row r="68" spans="1:17" ht="12.75">
      <c r="A68" s="28" t="s">
        <v>27</v>
      </c>
      <c r="B68" s="85"/>
      <c r="C68" s="136"/>
      <c r="D68" s="104"/>
      <c r="E68" s="236"/>
      <c r="F68" s="274"/>
      <c r="G68" s="287"/>
      <c r="H68" s="320"/>
      <c r="I68" s="256"/>
      <c r="J68" s="21"/>
      <c r="K68" s="7"/>
      <c r="L68" s="65"/>
      <c r="M68" s="127"/>
      <c r="N68" s="7"/>
      <c r="O68" s="18"/>
      <c r="P68" s="72"/>
      <c r="Q68" s="70"/>
    </row>
    <row r="69" spans="1:17" ht="12.75" hidden="1">
      <c r="A69" s="26" t="s">
        <v>30</v>
      </c>
      <c r="B69" s="83"/>
      <c r="C69" s="136"/>
      <c r="D69" s="104"/>
      <c r="E69" s="236"/>
      <c r="F69" s="274">
        <f aca="true" t="shared" si="16" ref="F69:F83">C69+D69+E69</f>
        <v>0</v>
      </c>
      <c r="G69" s="287"/>
      <c r="H69" s="320"/>
      <c r="I69" s="256">
        <f>F69+G69+H69</f>
        <v>0</v>
      </c>
      <c r="J69" s="21"/>
      <c r="K69" s="7"/>
      <c r="L69" s="65">
        <f>I69+J69+K69</f>
        <v>0</v>
      </c>
      <c r="M69" s="127"/>
      <c r="N69" s="7"/>
      <c r="O69" s="18">
        <f>L69+M69+N69</f>
        <v>0</v>
      </c>
      <c r="P69" s="72"/>
      <c r="Q69" s="70">
        <f t="shared" si="1"/>
        <v>0</v>
      </c>
    </row>
    <row r="70" spans="1:17" ht="12.75" hidden="1">
      <c r="A70" s="30" t="s">
        <v>31</v>
      </c>
      <c r="B70" s="86"/>
      <c r="C70" s="136"/>
      <c r="D70" s="104"/>
      <c r="E70" s="236"/>
      <c r="F70" s="274">
        <f t="shared" si="16"/>
        <v>0</v>
      </c>
      <c r="G70" s="287"/>
      <c r="H70" s="320"/>
      <c r="I70" s="256">
        <f aca="true" t="shared" si="17" ref="I70:I83">F70+G70+H70</f>
        <v>0</v>
      </c>
      <c r="J70" s="21"/>
      <c r="K70" s="7"/>
      <c r="L70" s="65">
        <f aca="true" t="shared" si="18" ref="L70:L83">I70+J70+K70</f>
        <v>0</v>
      </c>
      <c r="M70" s="127"/>
      <c r="N70" s="7"/>
      <c r="O70" s="18">
        <f aca="true" t="shared" si="19" ref="O70:O83">L70+M70+N70</f>
        <v>0</v>
      </c>
      <c r="P70" s="72"/>
      <c r="Q70" s="70">
        <f t="shared" si="1"/>
        <v>0</v>
      </c>
    </row>
    <row r="71" spans="1:17" ht="12.75" hidden="1">
      <c r="A71" s="30" t="s">
        <v>29</v>
      </c>
      <c r="B71" s="86"/>
      <c r="C71" s="136"/>
      <c r="D71" s="104"/>
      <c r="E71" s="236"/>
      <c r="F71" s="274">
        <f t="shared" si="16"/>
        <v>0</v>
      </c>
      <c r="G71" s="287"/>
      <c r="H71" s="320"/>
      <c r="I71" s="256">
        <f t="shared" si="17"/>
        <v>0</v>
      </c>
      <c r="J71" s="21"/>
      <c r="K71" s="7"/>
      <c r="L71" s="65">
        <f t="shared" si="18"/>
        <v>0</v>
      </c>
      <c r="M71" s="127"/>
      <c r="N71" s="7"/>
      <c r="O71" s="18">
        <f t="shared" si="19"/>
        <v>0</v>
      </c>
      <c r="P71" s="72"/>
      <c r="Q71" s="70">
        <f t="shared" si="1"/>
        <v>0</v>
      </c>
    </row>
    <row r="72" spans="1:17" ht="12.75" hidden="1">
      <c r="A72" s="30" t="s">
        <v>46</v>
      </c>
      <c r="B72" s="86"/>
      <c r="C72" s="136"/>
      <c r="D72" s="104"/>
      <c r="E72" s="236"/>
      <c r="F72" s="274">
        <f t="shared" si="16"/>
        <v>0</v>
      </c>
      <c r="G72" s="287"/>
      <c r="H72" s="320"/>
      <c r="I72" s="256">
        <f t="shared" si="17"/>
        <v>0</v>
      </c>
      <c r="J72" s="21"/>
      <c r="K72" s="7"/>
      <c r="L72" s="65">
        <f t="shared" si="18"/>
        <v>0</v>
      </c>
      <c r="M72" s="127"/>
      <c r="N72" s="7"/>
      <c r="O72" s="18">
        <f t="shared" si="19"/>
        <v>0</v>
      </c>
      <c r="P72" s="72"/>
      <c r="Q72" s="70">
        <f t="shared" si="1"/>
        <v>0</v>
      </c>
    </row>
    <row r="73" spans="1:17" ht="12.75">
      <c r="A73" s="26" t="s">
        <v>32</v>
      </c>
      <c r="B73" s="83"/>
      <c r="C73" s="136"/>
      <c r="D73" s="104">
        <f>4.05</f>
        <v>4.05</v>
      </c>
      <c r="E73" s="236"/>
      <c r="F73" s="274">
        <f t="shared" si="16"/>
        <v>4.05</v>
      </c>
      <c r="G73" s="287">
        <f>499.19+12284.06+17096.88+3934.39+236.73+2099.25+22828.25+23167.89+5862.49+23024.59+297.65</f>
        <v>111331.37000000001</v>
      </c>
      <c r="H73" s="320"/>
      <c r="I73" s="256">
        <f t="shared" si="17"/>
        <v>111335.42000000001</v>
      </c>
      <c r="J73" s="21"/>
      <c r="K73" s="7"/>
      <c r="L73" s="65">
        <f t="shared" si="18"/>
        <v>111335.42000000001</v>
      </c>
      <c r="M73" s="127"/>
      <c r="N73" s="7"/>
      <c r="O73" s="18">
        <f t="shared" si="19"/>
        <v>111335.42000000001</v>
      </c>
      <c r="P73" s="72"/>
      <c r="Q73" s="70">
        <f t="shared" si="1"/>
        <v>111335.42000000001</v>
      </c>
    </row>
    <row r="74" spans="1:17" ht="12.75" hidden="1">
      <c r="A74" s="26" t="s">
        <v>338</v>
      </c>
      <c r="B74" s="83"/>
      <c r="C74" s="136"/>
      <c r="D74" s="104"/>
      <c r="E74" s="236"/>
      <c r="F74" s="274">
        <f t="shared" si="16"/>
        <v>0</v>
      </c>
      <c r="G74" s="287"/>
      <c r="H74" s="320"/>
      <c r="I74" s="256">
        <f t="shared" si="17"/>
        <v>0</v>
      </c>
      <c r="J74" s="21"/>
      <c r="K74" s="7"/>
      <c r="L74" s="65"/>
      <c r="M74" s="127"/>
      <c r="N74" s="7"/>
      <c r="O74" s="18"/>
      <c r="P74" s="72"/>
      <c r="Q74" s="70"/>
    </row>
    <row r="75" spans="1:17" ht="12.75" hidden="1">
      <c r="A75" s="26" t="s">
        <v>245</v>
      </c>
      <c r="B75" s="83"/>
      <c r="C75" s="136"/>
      <c r="D75" s="104"/>
      <c r="E75" s="236"/>
      <c r="F75" s="274">
        <f t="shared" si="16"/>
        <v>0</v>
      </c>
      <c r="G75" s="287"/>
      <c r="H75" s="320"/>
      <c r="I75" s="256">
        <f t="shared" si="17"/>
        <v>0</v>
      </c>
      <c r="J75" s="21"/>
      <c r="K75" s="7"/>
      <c r="L75" s="65"/>
      <c r="M75" s="127"/>
      <c r="N75" s="7"/>
      <c r="O75" s="18"/>
      <c r="P75" s="72"/>
      <c r="Q75" s="70"/>
    </row>
    <row r="76" spans="1:17" ht="12.75">
      <c r="A76" s="26" t="s">
        <v>166</v>
      </c>
      <c r="B76" s="83"/>
      <c r="C76" s="136"/>
      <c r="D76" s="104">
        <f>96650.49</f>
        <v>96650.49</v>
      </c>
      <c r="E76" s="236"/>
      <c r="F76" s="274">
        <f t="shared" si="16"/>
        <v>96650.49</v>
      </c>
      <c r="G76" s="287"/>
      <c r="H76" s="320"/>
      <c r="I76" s="256">
        <f t="shared" si="17"/>
        <v>96650.49</v>
      </c>
      <c r="J76" s="21"/>
      <c r="K76" s="7"/>
      <c r="L76" s="65">
        <f t="shared" si="18"/>
        <v>96650.49</v>
      </c>
      <c r="M76" s="127"/>
      <c r="N76" s="7"/>
      <c r="O76" s="18">
        <f t="shared" si="19"/>
        <v>96650.49</v>
      </c>
      <c r="P76" s="72"/>
      <c r="Q76" s="70">
        <f t="shared" si="1"/>
        <v>96650.49</v>
      </c>
    </row>
    <row r="77" spans="1:17" ht="12.75" hidden="1">
      <c r="A77" s="26" t="s">
        <v>167</v>
      </c>
      <c r="B77" s="83"/>
      <c r="C77" s="136"/>
      <c r="D77" s="104"/>
      <c r="E77" s="236"/>
      <c r="F77" s="274">
        <f t="shared" si="16"/>
        <v>0</v>
      </c>
      <c r="G77" s="287"/>
      <c r="H77" s="320"/>
      <c r="I77" s="256">
        <f t="shared" si="17"/>
        <v>0</v>
      </c>
      <c r="J77" s="21"/>
      <c r="K77" s="7"/>
      <c r="L77" s="65">
        <f t="shared" si="18"/>
        <v>0</v>
      </c>
      <c r="M77" s="127"/>
      <c r="N77" s="7"/>
      <c r="O77" s="18">
        <f t="shared" si="19"/>
        <v>0</v>
      </c>
      <c r="P77" s="72"/>
      <c r="Q77" s="70">
        <f t="shared" si="1"/>
        <v>0</v>
      </c>
    </row>
    <row r="78" spans="1:17" ht="12.75">
      <c r="A78" s="26" t="s">
        <v>47</v>
      </c>
      <c r="B78" s="83"/>
      <c r="C78" s="136"/>
      <c r="D78" s="104"/>
      <c r="E78" s="236"/>
      <c r="F78" s="274">
        <f t="shared" si="16"/>
        <v>0</v>
      </c>
      <c r="G78" s="287">
        <f>83617.95+190000</f>
        <v>273617.95</v>
      </c>
      <c r="H78" s="320"/>
      <c r="I78" s="256">
        <f t="shared" si="17"/>
        <v>273617.95</v>
      </c>
      <c r="J78" s="21"/>
      <c r="K78" s="7"/>
      <c r="L78" s="65">
        <f t="shared" si="18"/>
        <v>273617.95</v>
      </c>
      <c r="M78" s="127"/>
      <c r="N78" s="7"/>
      <c r="O78" s="18">
        <f t="shared" si="19"/>
        <v>273617.95</v>
      </c>
      <c r="P78" s="72"/>
      <c r="Q78" s="70">
        <f t="shared" si="1"/>
        <v>273617.95</v>
      </c>
    </row>
    <row r="79" spans="1:17" ht="12.75" hidden="1">
      <c r="A79" s="26" t="s">
        <v>48</v>
      </c>
      <c r="B79" s="83"/>
      <c r="C79" s="136"/>
      <c r="D79" s="104"/>
      <c r="E79" s="236"/>
      <c r="F79" s="274">
        <f t="shared" si="16"/>
        <v>0</v>
      </c>
      <c r="G79" s="287"/>
      <c r="H79" s="320"/>
      <c r="I79" s="256">
        <f t="shared" si="17"/>
        <v>0</v>
      </c>
      <c r="J79" s="21"/>
      <c r="K79" s="7"/>
      <c r="L79" s="65">
        <f t="shared" si="18"/>
        <v>0</v>
      </c>
      <c r="M79" s="127"/>
      <c r="N79" s="7"/>
      <c r="O79" s="18">
        <f t="shared" si="19"/>
        <v>0</v>
      </c>
      <c r="P79" s="72"/>
      <c r="Q79" s="70">
        <f aca="true" t="shared" si="20" ref="Q79:Q143">O79+P79</f>
        <v>0</v>
      </c>
    </row>
    <row r="80" spans="1:17" ht="12.75" hidden="1">
      <c r="A80" s="26" t="s">
        <v>49</v>
      </c>
      <c r="B80" s="83"/>
      <c r="C80" s="136"/>
      <c r="D80" s="104"/>
      <c r="E80" s="236"/>
      <c r="F80" s="274">
        <f t="shared" si="16"/>
        <v>0</v>
      </c>
      <c r="G80" s="287"/>
      <c r="H80" s="320"/>
      <c r="I80" s="256">
        <f t="shared" si="17"/>
        <v>0</v>
      </c>
      <c r="J80" s="21"/>
      <c r="K80" s="7"/>
      <c r="L80" s="65">
        <f t="shared" si="18"/>
        <v>0</v>
      </c>
      <c r="M80" s="127"/>
      <c r="N80" s="7"/>
      <c r="O80" s="18">
        <f t="shared" si="19"/>
        <v>0</v>
      </c>
      <c r="P80" s="72"/>
      <c r="Q80" s="70">
        <f t="shared" si="20"/>
        <v>0</v>
      </c>
    </row>
    <row r="81" spans="1:17" ht="12.75">
      <c r="A81" s="26" t="s">
        <v>35</v>
      </c>
      <c r="B81" s="83"/>
      <c r="C81" s="136"/>
      <c r="D81" s="104">
        <f>68.88</f>
        <v>68.88</v>
      </c>
      <c r="E81" s="236"/>
      <c r="F81" s="274">
        <f t="shared" si="16"/>
        <v>68.88</v>
      </c>
      <c r="G81" s="287"/>
      <c r="H81" s="320"/>
      <c r="I81" s="256">
        <f t="shared" si="17"/>
        <v>68.88</v>
      </c>
      <c r="J81" s="21"/>
      <c r="K81" s="7"/>
      <c r="L81" s="65">
        <f t="shared" si="18"/>
        <v>68.88</v>
      </c>
      <c r="M81" s="127"/>
      <c r="N81" s="7"/>
      <c r="O81" s="18">
        <f t="shared" si="19"/>
        <v>68.88</v>
      </c>
      <c r="P81" s="77"/>
      <c r="Q81" s="70">
        <f t="shared" si="20"/>
        <v>68.88</v>
      </c>
    </row>
    <row r="82" spans="1:17" ht="12.75">
      <c r="A82" s="26" t="s">
        <v>39</v>
      </c>
      <c r="B82" s="83"/>
      <c r="C82" s="136"/>
      <c r="D82" s="104"/>
      <c r="E82" s="236"/>
      <c r="F82" s="274">
        <f t="shared" si="16"/>
        <v>0</v>
      </c>
      <c r="G82" s="287">
        <f>8486.19</f>
        <v>8486.19</v>
      </c>
      <c r="H82" s="320"/>
      <c r="I82" s="256">
        <f t="shared" si="17"/>
        <v>8486.19</v>
      </c>
      <c r="J82" s="21"/>
      <c r="K82" s="7"/>
      <c r="L82" s="65"/>
      <c r="M82" s="127"/>
      <c r="N82" s="7"/>
      <c r="O82" s="18"/>
      <c r="P82" s="77"/>
      <c r="Q82" s="70"/>
    </row>
    <row r="83" spans="1:17" ht="12.75" hidden="1">
      <c r="A83" s="26" t="s">
        <v>172</v>
      </c>
      <c r="B83" s="83"/>
      <c r="C83" s="136"/>
      <c r="D83" s="104"/>
      <c r="E83" s="236"/>
      <c r="F83" s="274">
        <f t="shared" si="16"/>
        <v>0</v>
      </c>
      <c r="G83" s="287"/>
      <c r="H83" s="320"/>
      <c r="I83" s="256">
        <f t="shared" si="17"/>
        <v>0</v>
      </c>
      <c r="J83" s="21"/>
      <c r="K83" s="7"/>
      <c r="L83" s="65">
        <f t="shared" si="18"/>
        <v>0</v>
      </c>
      <c r="M83" s="127"/>
      <c r="N83" s="7"/>
      <c r="O83" s="18">
        <f t="shared" si="19"/>
        <v>0</v>
      </c>
      <c r="P83" s="72"/>
      <c r="Q83" s="70">
        <f t="shared" si="20"/>
        <v>0</v>
      </c>
    </row>
    <row r="84" spans="1:17" ht="15" customHeight="1" hidden="1">
      <c r="A84" s="27" t="s">
        <v>50</v>
      </c>
      <c r="B84" s="84"/>
      <c r="C84" s="130">
        <f>SUM(C86:C88)</f>
        <v>0</v>
      </c>
      <c r="D84" s="107">
        <f>SUM(D86:D88)</f>
        <v>0</v>
      </c>
      <c r="E84" s="238">
        <f>SUM(E86:E88)</f>
        <v>0</v>
      </c>
      <c r="F84" s="275">
        <f>SUM(F86:F88)</f>
        <v>0</v>
      </c>
      <c r="G84" s="289"/>
      <c r="H84" s="322"/>
      <c r="I84" s="258">
        <f>SUM(I86:I88)</f>
        <v>0</v>
      </c>
      <c r="J84" s="198"/>
      <c r="K84" s="8"/>
      <c r="L84" s="22">
        <f>SUM(L86:L88)</f>
        <v>0</v>
      </c>
      <c r="M84" s="213"/>
      <c r="N84" s="8"/>
      <c r="O84" s="19">
        <f>SUM(O86:O88)</f>
        <v>0</v>
      </c>
      <c r="P84" s="73"/>
      <c r="Q84" s="22">
        <f>SUM(Q86:Q88)</f>
        <v>0</v>
      </c>
    </row>
    <row r="85" spans="1:17" ht="12.75" hidden="1">
      <c r="A85" s="24" t="s">
        <v>27</v>
      </c>
      <c r="B85" s="81"/>
      <c r="C85" s="136"/>
      <c r="D85" s="104"/>
      <c r="E85" s="236"/>
      <c r="F85" s="274"/>
      <c r="G85" s="287"/>
      <c r="H85" s="320"/>
      <c r="I85" s="256"/>
      <c r="J85" s="21"/>
      <c r="K85" s="7"/>
      <c r="L85" s="65"/>
      <c r="M85" s="127"/>
      <c r="N85" s="7"/>
      <c r="O85" s="18"/>
      <c r="P85" s="72"/>
      <c r="Q85" s="70"/>
    </row>
    <row r="86" spans="1:17" ht="12.75" hidden="1">
      <c r="A86" s="26" t="s">
        <v>51</v>
      </c>
      <c r="B86" s="83"/>
      <c r="C86" s="136"/>
      <c r="D86" s="104"/>
      <c r="E86" s="236"/>
      <c r="F86" s="274">
        <f>C86+D86+E86</f>
        <v>0</v>
      </c>
      <c r="G86" s="287"/>
      <c r="H86" s="320"/>
      <c r="I86" s="256">
        <f>F86+G86+H86</f>
        <v>0</v>
      </c>
      <c r="J86" s="21"/>
      <c r="K86" s="7"/>
      <c r="L86" s="65">
        <f>I86+J86+K86</f>
        <v>0</v>
      </c>
      <c r="M86" s="127"/>
      <c r="N86" s="7"/>
      <c r="O86" s="18">
        <f>L86+M86+N86</f>
        <v>0</v>
      </c>
      <c r="P86" s="72"/>
      <c r="Q86" s="70">
        <f t="shared" si="20"/>
        <v>0</v>
      </c>
    </row>
    <row r="87" spans="1:17" ht="12.75" hidden="1">
      <c r="A87" s="26" t="s">
        <v>25</v>
      </c>
      <c r="B87" s="83"/>
      <c r="C87" s="136"/>
      <c r="D87" s="104"/>
      <c r="E87" s="236"/>
      <c r="F87" s="274">
        <f>C87+D87+E87</f>
        <v>0</v>
      </c>
      <c r="G87" s="287"/>
      <c r="H87" s="320"/>
      <c r="I87" s="256">
        <f>F87+G87+H87</f>
        <v>0</v>
      </c>
      <c r="J87" s="21"/>
      <c r="K87" s="7"/>
      <c r="L87" s="65">
        <f>I87+J87+K87</f>
        <v>0</v>
      </c>
      <c r="M87" s="127"/>
      <c r="N87" s="7"/>
      <c r="O87" s="18">
        <f>L87+M87+N87</f>
        <v>0</v>
      </c>
      <c r="P87" s="72"/>
      <c r="Q87" s="70">
        <f t="shared" si="20"/>
        <v>0</v>
      </c>
    </row>
    <row r="88" spans="1:17" ht="12.75" hidden="1">
      <c r="A88" s="26" t="s">
        <v>43</v>
      </c>
      <c r="B88" s="83"/>
      <c r="C88" s="136"/>
      <c r="D88" s="104"/>
      <c r="E88" s="236"/>
      <c r="F88" s="274">
        <f>C88+D88+E88</f>
        <v>0</v>
      </c>
      <c r="G88" s="287"/>
      <c r="H88" s="320"/>
      <c r="I88" s="256">
        <f>F88+G88+H88</f>
        <v>0</v>
      </c>
      <c r="J88" s="21"/>
      <c r="K88" s="7"/>
      <c r="L88" s="65">
        <f>I88+J88+K88</f>
        <v>0</v>
      </c>
      <c r="M88" s="127"/>
      <c r="N88" s="7"/>
      <c r="O88" s="18">
        <f>L88+M88+N88</f>
        <v>0</v>
      </c>
      <c r="P88" s="72"/>
      <c r="Q88" s="70">
        <f t="shared" si="20"/>
        <v>0</v>
      </c>
    </row>
    <row r="89" spans="1:17" ht="16.5" thickBot="1">
      <c r="A89" s="31" t="s">
        <v>52</v>
      </c>
      <c r="B89" s="87"/>
      <c r="C89" s="162">
        <f aca="true" t="shared" si="21" ref="C89:Q89">C11+C16+C40+C67+C32+C84</f>
        <v>4320719.05</v>
      </c>
      <c r="D89" s="109">
        <f t="shared" si="21"/>
        <v>7197257.9</v>
      </c>
      <c r="E89" s="240">
        <f t="shared" si="21"/>
        <v>0</v>
      </c>
      <c r="F89" s="276">
        <f t="shared" si="21"/>
        <v>11517976.950000001</v>
      </c>
      <c r="G89" s="290">
        <f t="shared" si="21"/>
        <v>765931.69</v>
      </c>
      <c r="H89" s="323">
        <f t="shared" si="21"/>
        <v>27541.2</v>
      </c>
      <c r="I89" s="259">
        <f t="shared" si="21"/>
        <v>12311449.84</v>
      </c>
      <c r="J89" s="162">
        <f t="shared" si="21"/>
        <v>0</v>
      </c>
      <c r="K89" s="109">
        <f t="shared" si="21"/>
        <v>0</v>
      </c>
      <c r="L89" s="182">
        <f t="shared" si="21"/>
        <v>8075774.210000001</v>
      </c>
      <c r="M89" s="153">
        <f t="shared" si="21"/>
        <v>0</v>
      </c>
      <c r="N89" s="108">
        <f t="shared" si="21"/>
        <v>0</v>
      </c>
      <c r="O89" s="108">
        <f t="shared" si="21"/>
        <v>8075774.210000001</v>
      </c>
      <c r="P89" s="108">
        <f t="shared" si="21"/>
        <v>0</v>
      </c>
      <c r="Q89" s="108">
        <f t="shared" si="21"/>
        <v>8075774.210000001</v>
      </c>
    </row>
    <row r="90" spans="1:17" ht="12.75">
      <c r="A90" s="23" t="s">
        <v>53</v>
      </c>
      <c r="B90" s="80"/>
      <c r="C90" s="143"/>
      <c r="D90" s="104"/>
      <c r="E90" s="236"/>
      <c r="F90" s="274"/>
      <c r="G90" s="287"/>
      <c r="H90" s="320"/>
      <c r="I90" s="256"/>
      <c r="J90" s="21"/>
      <c r="K90" s="7"/>
      <c r="L90" s="65"/>
      <c r="M90" s="127"/>
      <c r="N90" s="7"/>
      <c r="O90" s="18"/>
      <c r="P90" s="72"/>
      <c r="Q90" s="70"/>
    </row>
    <row r="91" spans="1:17" ht="12.75">
      <c r="A91" s="23" t="s">
        <v>69</v>
      </c>
      <c r="B91" s="92"/>
      <c r="C91" s="143">
        <f>C92+C101</f>
        <v>95515</v>
      </c>
      <c r="D91" s="103">
        <f aca="true" t="shared" si="22" ref="D91:Q91">D92+D101</f>
        <v>72257.36</v>
      </c>
      <c r="E91" s="233">
        <f t="shared" si="22"/>
        <v>0</v>
      </c>
      <c r="F91" s="254">
        <f t="shared" si="22"/>
        <v>167772.36</v>
      </c>
      <c r="G91" s="286">
        <f t="shared" si="22"/>
        <v>10855.89</v>
      </c>
      <c r="H91" s="319">
        <f t="shared" si="22"/>
        <v>18478.440000000002</v>
      </c>
      <c r="I91" s="257">
        <f t="shared" si="22"/>
        <v>197106.69</v>
      </c>
      <c r="J91" s="143">
        <f t="shared" si="22"/>
        <v>0</v>
      </c>
      <c r="K91" s="103">
        <f t="shared" si="22"/>
        <v>0</v>
      </c>
      <c r="L91" s="158">
        <f t="shared" si="22"/>
        <v>119100.96999999999</v>
      </c>
      <c r="M91" s="128">
        <f t="shared" si="22"/>
        <v>0</v>
      </c>
      <c r="N91" s="102">
        <f t="shared" si="22"/>
        <v>0</v>
      </c>
      <c r="O91" s="102">
        <f t="shared" si="22"/>
        <v>119100.96999999999</v>
      </c>
      <c r="P91" s="102">
        <f t="shared" si="22"/>
        <v>0</v>
      </c>
      <c r="Q91" s="102">
        <f t="shared" si="22"/>
        <v>119100.96999999999</v>
      </c>
    </row>
    <row r="92" spans="1:17" ht="12.75">
      <c r="A92" s="32" t="s">
        <v>55</v>
      </c>
      <c r="B92" s="92"/>
      <c r="C92" s="163">
        <f>SUM(C94:C99)</f>
        <v>63515</v>
      </c>
      <c r="D92" s="111">
        <f aca="true" t="shared" si="23" ref="D92:Q92">SUM(D94:D99)</f>
        <v>7115.68</v>
      </c>
      <c r="E92" s="241">
        <f t="shared" si="23"/>
        <v>0</v>
      </c>
      <c r="F92" s="277">
        <f t="shared" si="23"/>
        <v>70630.68</v>
      </c>
      <c r="G92" s="291">
        <f t="shared" si="23"/>
        <v>50.72</v>
      </c>
      <c r="H92" s="324">
        <f t="shared" si="23"/>
        <v>0</v>
      </c>
      <c r="I92" s="260">
        <f t="shared" si="23"/>
        <v>70681.4</v>
      </c>
      <c r="J92" s="163">
        <f t="shared" si="23"/>
        <v>0</v>
      </c>
      <c r="K92" s="111">
        <f t="shared" si="23"/>
        <v>0</v>
      </c>
      <c r="L92" s="183">
        <f t="shared" si="23"/>
        <v>15081.4</v>
      </c>
      <c r="M92" s="154">
        <f t="shared" si="23"/>
        <v>0</v>
      </c>
      <c r="N92" s="110">
        <f t="shared" si="23"/>
        <v>0</v>
      </c>
      <c r="O92" s="110">
        <f t="shared" si="23"/>
        <v>15081.4</v>
      </c>
      <c r="P92" s="110">
        <f t="shared" si="23"/>
        <v>0</v>
      </c>
      <c r="Q92" s="110">
        <f t="shared" si="23"/>
        <v>15081.4</v>
      </c>
    </row>
    <row r="93" spans="1:17" ht="12.75">
      <c r="A93" s="28" t="s">
        <v>27</v>
      </c>
      <c r="B93" s="88"/>
      <c r="C93" s="136"/>
      <c r="D93" s="104"/>
      <c r="E93" s="236"/>
      <c r="F93" s="254"/>
      <c r="G93" s="287"/>
      <c r="H93" s="320"/>
      <c r="I93" s="257"/>
      <c r="J93" s="21"/>
      <c r="K93" s="7"/>
      <c r="L93" s="61"/>
      <c r="M93" s="127"/>
      <c r="N93" s="7"/>
      <c r="O93" s="17"/>
      <c r="P93" s="72"/>
      <c r="Q93" s="70"/>
    </row>
    <row r="94" spans="1:17" ht="12.75">
      <c r="A94" s="26" t="s">
        <v>57</v>
      </c>
      <c r="B94" s="88"/>
      <c r="C94" s="136">
        <v>12515</v>
      </c>
      <c r="D94" s="104"/>
      <c r="E94" s="236"/>
      <c r="F94" s="274">
        <v>12515</v>
      </c>
      <c r="G94" s="287"/>
      <c r="H94" s="320"/>
      <c r="I94" s="256">
        <f aca="true" t="shared" si="24" ref="I94:I100">F94+G94+H94</f>
        <v>12515</v>
      </c>
      <c r="J94" s="21"/>
      <c r="K94" s="7"/>
      <c r="L94" s="65">
        <f aca="true" t="shared" si="25" ref="L94:L100">I94+J94+K94</f>
        <v>12515</v>
      </c>
      <c r="M94" s="127"/>
      <c r="N94" s="7"/>
      <c r="O94" s="18">
        <f aca="true" t="shared" si="26" ref="O94:O100">L94+M94+N94</f>
        <v>12515</v>
      </c>
      <c r="P94" s="72"/>
      <c r="Q94" s="70">
        <f t="shared" si="20"/>
        <v>12515</v>
      </c>
    </row>
    <row r="95" spans="1:17" ht="12.75" hidden="1">
      <c r="A95" s="26" t="s">
        <v>71</v>
      </c>
      <c r="B95" s="88"/>
      <c r="C95" s="136"/>
      <c r="D95" s="104"/>
      <c r="E95" s="236"/>
      <c r="F95" s="274">
        <f aca="true" t="shared" si="27" ref="F95:F100">C95+D95+E95</f>
        <v>0</v>
      </c>
      <c r="G95" s="287"/>
      <c r="H95" s="320"/>
      <c r="I95" s="256">
        <f t="shared" si="24"/>
        <v>0</v>
      </c>
      <c r="J95" s="21"/>
      <c r="K95" s="7"/>
      <c r="L95" s="65">
        <f t="shared" si="25"/>
        <v>0</v>
      </c>
      <c r="M95" s="127"/>
      <c r="N95" s="7"/>
      <c r="O95" s="18">
        <f t="shared" si="26"/>
        <v>0</v>
      </c>
      <c r="P95" s="72"/>
      <c r="Q95" s="70">
        <f t="shared" si="20"/>
        <v>0</v>
      </c>
    </row>
    <row r="96" spans="1:17" ht="13.5" thickBot="1">
      <c r="A96" s="135" t="s">
        <v>232</v>
      </c>
      <c r="B96" s="133"/>
      <c r="C96" s="166">
        <v>51000</v>
      </c>
      <c r="D96" s="134">
        <f>4600</f>
        <v>4600</v>
      </c>
      <c r="E96" s="268"/>
      <c r="F96" s="280">
        <f t="shared" si="27"/>
        <v>55600</v>
      </c>
      <c r="G96" s="315"/>
      <c r="H96" s="325"/>
      <c r="I96" s="317">
        <f t="shared" si="24"/>
        <v>55600</v>
      </c>
      <c r="J96" s="21"/>
      <c r="K96" s="7"/>
      <c r="L96" s="65"/>
      <c r="M96" s="127"/>
      <c r="N96" s="7"/>
      <c r="O96" s="18"/>
      <c r="P96" s="72"/>
      <c r="Q96" s="70"/>
    </row>
    <row r="97" spans="1:17" ht="12.75">
      <c r="A97" s="26" t="s">
        <v>72</v>
      </c>
      <c r="B97" s="88">
        <v>98278</v>
      </c>
      <c r="C97" s="136"/>
      <c r="D97" s="104">
        <f>15.68</f>
        <v>15.68</v>
      </c>
      <c r="E97" s="236"/>
      <c r="F97" s="274">
        <f t="shared" si="27"/>
        <v>15.68</v>
      </c>
      <c r="G97" s="287">
        <f>21.42+29.3</f>
        <v>50.72</v>
      </c>
      <c r="H97" s="320"/>
      <c r="I97" s="256">
        <f t="shared" si="24"/>
        <v>66.4</v>
      </c>
      <c r="J97" s="21"/>
      <c r="K97" s="7"/>
      <c r="L97" s="65">
        <f t="shared" si="25"/>
        <v>66.4</v>
      </c>
      <c r="M97" s="127"/>
      <c r="N97" s="7"/>
      <c r="O97" s="18">
        <f t="shared" si="26"/>
        <v>66.4</v>
      </c>
      <c r="P97" s="72"/>
      <c r="Q97" s="70">
        <f t="shared" si="20"/>
        <v>66.4</v>
      </c>
    </row>
    <row r="98" spans="1:17" ht="12.75" hidden="1">
      <c r="A98" s="26" t="s">
        <v>86</v>
      </c>
      <c r="B98" s="88"/>
      <c r="C98" s="136"/>
      <c r="D98" s="104"/>
      <c r="E98" s="236"/>
      <c r="F98" s="274">
        <f t="shared" si="27"/>
        <v>0</v>
      </c>
      <c r="G98" s="287"/>
      <c r="H98" s="320"/>
      <c r="I98" s="256">
        <f t="shared" si="24"/>
        <v>0</v>
      </c>
      <c r="J98" s="21"/>
      <c r="K98" s="7"/>
      <c r="L98" s="65">
        <f t="shared" si="25"/>
        <v>0</v>
      </c>
      <c r="M98" s="127"/>
      <c r="N98" s="7"/>
      <c r="O98" s="18">
        <f t="shared" si="26"/>
        <v>0</v>
      </c>
      <c r="P98" s="72"/>
      <c r="Q98" s="70">
        <f t="shared" si="20"/>
        <v>0</v>
      </c>
    </row>
    <row r="99" spans="1:17" ht="12.75">
      <c r="A99" s="25" t="s">
        <v>73</v>
      </c>
      <c r="B99" s="88"/>
      <c r="C99" s="136"/>
      <c r="D99" s="104">
        <f>2500</f>
        <v>2500</v>
      </c>
      <c r="E99" s="236"/>
      <c r="F99" s="274">
        <f t="shared" si="27"/>
        <v>2500</v>
      </c>
      <c r="G99" s="287"/>
      <c r="H99" s="320"/>
      <c r="I99" s="256">
        <f t="shared" si="24"/>
        <v>2500</v>
      </c>
      <c r="J99" s="21"/>
      <c r="K99" s="7"/>
      <c r="L99" s="65">
        <f t="shared" si="25"/>
        <v>2500</v>
      </c>
      <c r="M99" s="127"/>
      <c r="N99" s="7"/>
      <c r="O99" s="18">
        <f t="shared" si="26"/>
        <v>2500</v>
      </c>
      <c r="P99" s="72"/>
      <c r="Q99" s="70">
        <f t="shared" si="20"/>
        <v>2500</v>
      </c>
    </row>
    <row r="100" spans="1:17" ht="12.75">
      <c r="A100" s="25" t="s">
        <v>74</v>
      </c>
      <c r="B100" s="88"/>
      <c r="C100" s="136"/>
      <c r="D100" s="104">
        <v>2500</v>
      </c>
      <c r="E100" s="236"/>
      <c r="F100" s="274">
        <f t="shared" si="27"/>
        <v>2500</v>
      </c>
      <c r="G100" s="287"/>
      <c r="H100" s="320"/>
      <c r="I100" s="256">
        <f t="shared" si="24"/>
        <v>2500</v>
      </c>
      <c r="J100" s="21"/>
      <c r="K100" s="7"/>
      <c r="L100" s="65">
        <f t="shared" si="25"/>
        <v>2500</v>
      </c>
      <c r="M100" s="127"/>
      <c r="N100" s="7"/>
      <c r="O100" s="18">
        <f t="shared" si="26"/>
        <v>2500</v>
      </c>
      <c r="P100" s="72"/>
      <c r="Q100" s="70">
        <f t="shared" si="20"/>
        <v>2500</v>
      </c>
    </row>
    <row r="101" spans="1:17" ht="12.75">
      <c r="A101" s="33" t="s">
        <v>60</v>
      </c>
      <c r="B101" s="92"/>
      <c r="C101" s="165">
        <f>SUM(C103:C109)</f>
        <v>32000</v>
      </c>
      <c r="D101" s="114">
        <f aca="true" t="shared" si="28" ref="D101:Q101">SUM(D103:D109)</f>
        <v>65141.68</v>
      </c>
      <c r="E101" s="242">
        <f t="shared" si="28"/>
        <v>0</v>
      </c>
      <c r="F101" s="278">
        <f t="shared" si="28"/>
        <v>97141.68</v>
      </c>
      <c r="G101" s="293">
        <f t="shared" si="28"/>
        <v>10805.17</v>
      </c>
      <c r="H101" s="326">
        <f t="shared" si="28"/>
        <v>18478.440000000002</v>
      </c>
      <c r="I101" s="261">
        <f t="shared" si="28"/>
        <v>126425.29</v>
      </c>
      <c r="J101" s="165">
        <f t="shared" si="28"/>
        <v>0</v>
      </c>
      <c r="K101" s="114">
        <f t="shared" si="28"/>
        <v>0</v>
      </c>
      <c r="L101" s="184">
        <f t="shared" si="28"/>
        <v>104019.56999999999</v>
      </c>
      <c r="M101" s="155">
        <f t="shared" si="28"/>
        <v>0</v>
      </c>
      <c r="N101" s="113">
        <f t="shared" si="28"/>
        <v>0</v>
      </c>
      <c r="O101" s="113">
        <f t="shared" si="28"/>
        <v>104019.56999999999</v>
      </c>
      <c r="P101" s="113">
        <f t="shared" si="28"/>
        <v>0</v>
      </c>
      <c r="Q101" s="113">
        <f t="shared" si="28"/>
        <v>104019.56999999999</v>
      </c>
    </row>
    <row r="102" spans="1:17" ht="12.75">
      <c r="A102" s="24" t="s">
        <v>27</v>
      </c>
      <c r="B102" s="88"/>
      <c r="C102" s="130"/>
      <c r="D102" s="107"/>
      <c r="E102" s="238"/>
      <c r="F102" s="275"/>
      <c r="G102" s="289"/>
      <c r="H102" s="322"/>
      <c r="I102" s="258"/>
      <c r="J102" s="198"/>
      <c r="K102" s="8"/>
      <c r="L102" s="22"/>
      <c r="M102" s="213"/>
      <c r="N102" s="8"/>
      <c r="O102" s="19"/>
      <c r="P102" s="72"/>
      <c r="Q102" s="70"/>
    </row>
    <row r="103" spans="1:17" ht="12.75">
      <c r="A103" s="25" t="s">
        <v>75</v>
      </c>
      <c r="B103" s="88"/>
      <c r="C103" s="136"/>
      <c r="D103" s="104">
        <f>15437.75+10000</f>
        <v>25437.75</v>
      </c>
      <c r="E103" s="236"/>
      <c r="F103" s="274">
        <f aca="true" t="shared" si="29" ref="F103:F110">C103+D103+E103</f>
        <v>25437.75</v>
      </c>
      <c r="G103" s="287">
        <f>805.17+10000</f>
        <v>10805.17</v>
      </c>
      <c r="H103" s="320"/>
      <c r="I103" s="256">
        <f>F103+G103+H103</f>
        <v>36242.92</v>
      </c>
      <c r="J103" s="21"/>
      <c r="K103" s="7"/>
      <c r="L103" s="65">
        <f>I103+J103+K103</f>
        <v>36242.92</v>
      </c>
      <c r="M103" s="127"/>
      <c r="N103" s="7"/>
      <c r="O103" s="18">
        <f>L103+M103+N103</f>
        <v>36242.92</v>
      </c>
      <c r="P103" s="72"/>
      <c r="Q103" s="70">
        <f t="shared" si="20"/>
        <v>36242.92</v>
      </c>
    </row>
    <row r="104" spans="1:17" ht="12.75">
      <c r="A104" s="30" t="s">
        <v>281</v>
      </c>
      <c r="B104" s="88"/>
      <c r="C104" s="136"/>
      <c r="D104" s="104">
        <f>20000</f>
        <v>20000</v>
      </c>
      <c r="E104" s="236"/>
      <c r="F104" s="274">
        <f t="shared" si="29"/>
        <v>20000</v>
      </c>
      <c r="G104" s="287"/>
      <c r="H104" s="320"/>
      <c r="I104" s="256">
        <f aca="true" t="shared" si="30" ref="I104:I109">F104+G104+H104</f>
        <v>20000</v>
      </c>
      <c r="J104" s="21"/>
      <c r="K104" s="7"/>
      <c r="L104" s="65"/>
      <c r="M104" s="127"/>
      <c r="N104" s="7"/>
      <c r="O104" s="18"/>
      <c r="P104" s="72"/>
      <c r="Q104" s="70"/>
    </row>
    <row r="105" spans="1:17" ht="12.75">
      <c r="A105" s="25" t="s">
        <v>61</v>
      </c>
      <c r="B105" s="88"/>
      <c r="C105" s="136"/>
      <c r="D105" s="104"/>
      <c r="E105" s="236"/>
      <c r="F105" s="274">
        <f t="shared" si="29"/>
        <v>0</v>
      </c>
      <c r="G105" s="287"/>
      <c r="H105" s="320">
        <f>405.72</f>
        <v>405.72</v>
      </c>
      <c r="I105" s="256">
        <f t="shared" si="30"/>
        <v>405.72</v>
      </c>
      <c r="J105" s="21"/>
      <c r="K105" s="7"/>
      <c r="L105" s="65"/>
      <c r="M105" s="127"/>
      <c r="N105" s="7"/>
      <c r="O105" s="18"/>
      <c r="P105" s="72"/>
      <c r="Q105" s="70"/>
    </row>
    <row r="106" spans="1:17" ht="12.75" hidden="1">
      <c r="A106" s="26" t="s">
        <v>230</v>
      </c>
      <c r="B106" s="88"/>
      <c r="C106" s="136"/>
      <c r="D106" s="104"/>
      <c r="E106" s="236"/>
      <c r="F106" s="274">
        <f t="shared" si="29"/>
        <v>0</v>
      </c>
      <c r="G106" s="287"/>
      <c r="H106" s="320"/>
      <c r="I106" s="256">
        <f t="shared" si="30"/>
        <v>0</v>
      </c>
      <c r="J106" s="21"/>
      <c r="K106" s="7"/>
      <c r="L106" s="65"/>
      <c r="M106" s="127"/>
      <c r="N106" s="7"/>
      <c r="O106" s="18"/>
      <c r="P106" s="72"/>
      <c r="Q106" s="70"/>
    </row>
    <row r="107" spans="1:17" ht="12.75" hidden="1">
      <c r="A107" s="26" t="s">
        <v>86</v>
      </c>
      <c r="B107" s="88"/>
      <c r="C107" s="136"/>
      <c r="D107" s="104"/>
      <c r="E107" s="236"/>
      <c r="F107" s="274">
        <f t="shared" si="29"/>
        <v>0</v>
      </c>
      <c r="G107" s="287"/>
      <c r="H107" s="320"/>
      <c r="I107" s="256">
        <f t="shared" si="30"/>
        <v>0</v>
      </c>
      <c r="J107" s="21"/>
      <c r="K107" s="7"/>
      <c r="L107" s="65">
        <f>I107+J107+K107</f>
        <v>0</v>
      </c>
      <c r="M107" s="127"/>
      <c r="N107" s="7"/>
      <c r="O107" s="18">
        <f>L107+M107+N107</f>
        <v>0</v>
      </c>
      <c r="P107" s="72"/>
      <c r="Q107" s="70">
        <f t="shared" si="20"/>
        <v>0</v>
      </c>
    </row>
    <row r="108" spans="1:17" ht="12.75">
      <c r="A108" s="26" t="s">
        <v>288</v>
      </c>
      <c r="B108" s="88"/>
      <c r="C108" s="136">
        <v>2000</v>
      </c>
      <c r="D108" s="104"/>
      <c r="E108" s="236"/>
      <c r="F108" s="274">
        <f t="shared" si="29"/>
        <v>2000</v>
      </c>
      <c r="G108" s="287"/>
      <c r="H108" s="320"/>
      <c r="I108" s="256">
        <f t="shared" si="30"/>
        <v>2000</v>
      </c>
      <c r="J108" s="21"/>
      <c r="K108" s="7"/>
      <c r="L108" s="65"/>
      <c r="M108" s="127"/>
      <c r="N108" s="7"/>
      <c r="O108" s="18"/>
      <c r="P108" s="72"/>
      <c r="Q108" s="70"/>
    </row>
    <row r="109" spans="1:17" ht="12.75">
      <c r="A109" s="25" t="s">
        <v>73</v>
      </c>
      <c r="B109" s="88"/>
      <c r="C109" s="136">
        <v>30000</v>
      </c>
      <c r="D109" s="104">
        <f>19388.73+315.2</f>
        <v>19703.93</v>
      </c>
      <c r="E109" s="236"/>
      <c r="F109" s="274">
        <f t="shared" si="29"/>
        <v>49703.93</v>
      </c>
      <c r="G109" s="287"/>
      <c r="H109" s="320">
        <f>18072.72</f>
        <v>18072.72</v>
      </c>
      <c r="I109" s="256">
        <f t="shared" si="30"/>
        <v>67776.65</v>
      </c>
      <c r="J109" s="21"/>
      <c r="K109" s="7"/>
      <c r="L109" s="65">
        <f>I109+J109+K109</f>
        <v>67776.65</v>
      </c>
      <c r="M109" s="127"/>
      <c r="N109" s="7"/>
      <c r="O109" s="18">
        <f>L109+M109+N109</f>
        <v>67776.65</v>
      </c>
      <c r="P109" s="72"/>
      <c r="Q109" s="70">
        <f t="shared" si="20"/>
        <v>67776.65</v>
      </c>
    </row>
    <row r="110" spans="1:17" ht="12.75">
      <c r="A110" s="34" t="s">
        <v>76</v>
      </c>
      <c r="B110" s="91"/>
      <c r="C110" s="164"/>
      <c r="D110" s="112">
        <f>19388.73+315.2</f>
        <v>19703.93</v>
      </c>
      <c r="E110" s="267"/>
      <c r="F110" s="279">
        <f t="shared" si="29"/>
        <v>19703.93</v>
      </c>
      <c r="G110" s="294">
        <f>12547.5</f>
        <v>12547.5</v>
      </c>
      <c r="H110" s="318">
        <f>3629</f>
        <v>3629</v>
      </c>
      <c r="I110" s="262">
        <f>F110+G110+H110</f>
        <v>35880.43</v>
      </c>
      <c r="J110" s="199"/>
      <c r="K110" s="10"/>
      <c r="L110" s="64">
        <f>I110+J110+K110</f>
        <v>35880.43</v>
      </c>
      <c r="M110" s="214"/>
      <c r="N110" s="10"/>
      <c r="O110" s="20">
        <f>L110+M110+N110</f>
        <v>35880.43</v>
      </c>
      <c r="P110" s="75"/>
      <c r="Q110" s="76">
        <f t="shared" si="20"/>
        <v>35880.43</v>
      </c>
    </row>
    <row r="111" spans="1:17" ht="12.75">
      <c r="A111" s="27" t="s">
        <v>77</v>
      </c>
      <c r="B111" s="92"/>
      <c r="C111" s="130">
        <f>C112+C118</f>
        <v>10484</v>
      </c>
      <c r="D111" s="107">
        <f aca="true" t="shared" si="31" ref="D111:Q111">D112+D118</f>
        <v>2843.67</v>
      </c>
      <c r="E111" s="238">
        <f t="shared" si="31"/>
        <v>0</v>
      </c>
      <c r="F111" s="275">
        <f t="shared" si="31"/>
        <v>13327.67</v>
      </c>
      <c r="G111" s="289">
        <f t="shared" si="31"/>
        <v>520</v>
      </c>
      <c r="H111" s="322">
        <f t="shared" si="31"/>
        <v>0</v>
      </c>
      <c r="I111" s="258">
        <f t="shared" si="31"/>
        <v>13847.67</v>
      </c>
      <c r="J111" s="130">
        <f t="shared" si="31"/>
        <v>0</v>
      </c>
      <c r="K111" s="107">
        <f t="shared" si="31"/>
        <v>0</v>
      </c>
      <c r="L111" s="181">
        <f t="shared" si="31"/>
        <v>13847.67</v>
      </c>
      <c r="M111" s="152">
        <f t="shared" si="31"/>
        <v>0</v>
      </c>
      <c r="N111" s="106">
        <f t="shared" si="31"/>
        <v>0</v>
      </c>
      <c r="O111" s="106">
        <f t="shared" si="31"/>
        <v>13847.67</v>
      </c>
      <c r="P111" s="106">
        <f t="shared" si="31"/>
        <v>0</v>
      </c>
      <c r="Q111" s="106">
        <f t="shared" si="31"/>
        <v>13847.67</v>
      </c>
    </row>
    <row r="112" spans="1:17" ht="12.75">
      <c r="A112" s="32" t="s">
        <v>55</v>
      </c>
      <c r="B112" s="92"/>
      <c r="C112" s="163">
        <f>SUM(C114:C117)</f>
        <v>10484</v>
      </c>
      <c r="D112" s="111">
        <f aca="true" t="shared" si="32" ref="D112:Q112">SUM(D114:D117)</f>
        <v>2843.67</v>
      </c>
      <c r="E112" s="241">
        <f t="shared" si="32"/>
        <v>0</v>
      </c>
      <c r="F112" s="277">
        <f t="shared" si="32"/>
        <v>13327.67</v>
      </c>
      <c r="G112" s="291">
        <f t="shared" si="32"/>
        <v>520</v>
      </c>
      <c r="H112" s="324">
        <f t="shared" si="32"/>
        <v>0</v>
      </c>
      <c r="I112" s="260">
        <f t="shared" si="32"/>
        <v>13847.67</v>
      </c>
      <c r="J112" s="163">
        <f t="shared" si="32"/>
        <v>0</v>
      </c>
      <c r="K112" s="111">
        <f t="shared" si="32"/>
        <v>0</v>
      </c>
      <c r="L112" s="183">
        <f t="shared" si="32"/>
        <v>13847.67</v>
      </c>
      <c r="M112" s="154">
        <f t="shared" si="32"/>
        <v>0</v>
      </c>
      <c r="N112" s="110">
        <f t="shared" si="32"/>
        <v>0</v>
      </c>
      <c r="O112" s="110">
        <f t="shared" si="32"/>
        <v>13847.67</v>
      </c>
      <c r="P112" s="110">
        <f t="shared" si="32"/>
        <v>0</v>
      </c>
      <c r="Q112" s="110">
        <f t="shared" si="32"/>
        <v>13847.67</v>
      </c>
    </row>
    <row r="113" spans="1:17" ht="12.75">
      <c r="A113" s="28" t="s">
        <v>27</v>
      </c>
      <c r="B113" s="88"/>
      <c r="C113" s="136"/>
      <c r="D113" s="104"/>
      <c r="E113" s="236"/>
      <c r="F113" s="254"/>
      <c r="G113" s="287"/>
      <c r="H113" s="320"/>
      <c r="I113" s="257"/>
      <c r="J113" s="21"/>
      <c r="K113" s="7"/>
      <c r="L113" s="61"/>
      <c r="M113" s="127"/>
      <c r="N113" s="7"/>
      <c r="O113" s="17"/>
      <c r="P113" s="72"/>
      <c r="Q113" s="70"/>
    </row>
    <row r="114" spans="1:17" ht="12.75">
      <c r="A114" s="26" t="s">
        <v>57</v>
      </c>
      <c r="B114" s="88"/>
      <c r="C114" s="136">
        <v>10484</v>
      </c>
      <c r="D114" s="104">
        <f>1285.67+185</f>
        <v>1470.67</v>
      </c>
      <c r="E114" s="236"/>
      <c r="F114" s="274">
        <f>C114+D114+E114</f>
        <v>11954.67</v>
      </c>
      <c r="G114" s="287"/>
      <c r="H114" s="320"/>
      <c r="I114" s="256">
        <f>SUM(F114:H114)</f>
        <v>11954.67</v>
      </c>
      <c r="J114" s="21"/>
      <c r="K114" s="7"/>
      <c r="L114" s="65">
        <f>I114+J114+K114</f>
        <v>11954.67</v>
      </c>
      <c r="M114" s="127"/>
      <c r="N114" s="7"/>
      <c r="O114" s="18">
        <f>L114+M114+N114</f>
        <v>11954.67</v>
      </c>
      <c r="P114" s="72"/>
      <c r="Q114" s="70">
        <f t="shared" si="20"/>
        <v>11954.67</v>
      </c>
    </row>
    <row r="115" spans="1:17" ht="12.75" hidden="1">
      <c r="A115" s="39" t="s">
        <v>328</v>
      </c>
      <c r="B115" s="88"/>
      <c r="C115" s="136"/>
      <c r="D115" s="104"/>
      <c r="E115" s="236"/>
      <c r="F115" s="274">
        <f>C115+D115+E115</f>
        <v>0</v>
      </c>
      <c r="G115" s="287"/>
      <c r="H115" s="320"/>
      <c r="I115" s="256"/>
      <c r="J115" s="21"/>
      <c r="K115" s="7"/>
      <c r="L115" s="65"/>
      <c r="M115" s="127"/>
      <c r="N115" s="7"/>
      <c r="O115" s="18"/>
      <c r="P115" s="72"/>
      <c r="Q115" s="70"/>
    </row>
    <row r="116" spans="1:17" ht="12.75">
      <c r="A116" s="37" t="s">
        <v>78</v>
      </c>
      <c r="B116" s="91">
        <v>33166</v>
      </c>
      <c r="C116" s="164"/>
      <c r="D116" s="112">
        <f>1373</f>
        <v>1373</v>
      </c>
      <c r="E116" s="267"/>
      <c r="F116" s="279">
        <f>C116+D116+E116</f>
        <v>1373</v>
      </c>
      <c r="G116" s="294">
        <f>520</f>
        <v>520</v>
      </c>
      <c r="H116" s="318"/>
      <c r="I116" s="262">
        <f>SUM(F116:H116)</f>
        <v>1893</v>
      </c>
      <c r="J116" s="21"/>
      <c r="K116" s="7"/>
      <c r="L116" s="65">
        <f>I116+J116+K116</f>
        <v>1893</v>
      </c>
      <c r="M116" s="127"/>
      <c r="N116" s="7"/>
      <c r="O116" s="18">
        <f>L116+M116+N116</f>
        <v>1893</v>
      </c>
      <c r="P116" s="72"/>
      <c r="Q116" s="70">
        <f t="shared" si="20"/>
        <v>1893</v>
      </c>
    </row>
    <row r="117" spans="1:17" ht="12.75" hidden="1">
      <c r="A117" s="30" t="s">
        <v>71</v>
      </c>
      <c r="B117" s="88"/>
      <c r="C117" s="136"/>
      <c r="D117" s="104"/>
      <c r="E117" s="236"/>
      <c r="F117" s="274">
        <f>C117+D117+E117</f>
        <v>0</v>
      </c>
      <c r="G117" s="287"/>
      <c r="H117" s="320"/>
      <c r="I117" s="256">
        <f>SUM(F117:H117)</f>
        <v>0</v>
      </c>
      <c r="J117" s="21"/>
      <c r="K117" s="7"/>
      <c r="L117" s="65">
        <f>I117+J117+K117</f>
        <v>0</v>
      </c>
      <c r="M117" s="127"/>
      <c r="N117" s="7"/>
      <c r="O117" s="18">
        <f>L117+M117+N117</f>
        <v>0</v>
      </c>
      <c r="P117" s="72"/>
      <c r="Q117" s="70">
        <f t="shared" si="20"/>
        <v>0</v>
      </c>
    </row>
    <row r="118" spans="1:17" ht="12.75" hidden="1">
      <c r="A118" s="32" t="s">
        <v>60</v>
      </c>
      <c r="B118" s="92"/>
      <c r="C118" s="163">
        <f>C120</f>
        <v>0</v>
      </c>
      <c r="D118" s="111">
        <f aca="true" t="shared" si="33" ref="D118:Q118">D120</f>
        <v>0</v>
      </c>
      <c r="E118" s="241">
        <f t="shared" si="33"/>
        <v>0</v>
      </c>
      <c r="F118" s="277">
        <f t="shared" si="33"/>
        <v>0</v>
      </c>
      <c r="G118" s="291">
        <f t="shared" si="33"/>
        <v>0</v>
      </c>
      <c r="H118" s="324">
        <f t="shared" si="33"/>
        <v>0</v>
      </c>
      <c r="I118" s="260">
        <f t="shared" si="33"/>
        <v>0</v>
      </c>
      <c r="J118" s="163">
        <f t="shared" si="33"/>
        <v>0</v>
      </c>
      <c r="K118" s="111">
        <f t="shared" si="33"/>
        <v>0</v>
      </c>
      <c r="L118" s="183">
        <f t="shared" si="33"/>
        <v>0</v>
      </c>
      <c r="M118" s="154">
        <f t="shared" si="33"/>
        <v>0</v>
      </c>
      <c r="N118" s="110">
        <f t="shared" si="33"/>
        <v>0</v>
      </c>
      <c r="O118" s="110">
        <f t="shared" si="33"/>
        <v>0</v>
      </c>
      <c r="P118" s="110">
        <f t="shared" si="33"/>
        <v>0</v>
      </c>
      <c r="Q118" s="110">
        <f t="shared" si="33"/>
        <v>0</v>
      </c>
    </row>
    <row r="119" spans="1:17" ht="12.75" hidden="1">
      <c r="A119" s="28" t="s">
        <v>27</v>
      </c>
      <c r="B119" s="88"/>
      <c r="C119" s="136"/>
      <c r="D119" s="104"/>
      <c r="E119" s="236"/>
      <c r="F119" s="254"/>
      <c r="G119" s="287"/>
      <c r="H119" s="320"/>
      <c r="I119" s="257"/>
      <c r="J119" s="21"/>
      <c r="K119" s="7"/>
      <c r="L119" s="61"/>
      <c r="M119" s="127"/>
      <c r="N119" s="7"/>
      <c r="O119" s="17"/>
      <c r="P119" s="72"/>
      <c r="Q119" s="70"/>
    </row>
    <row r="120" spans="1:17" ht="12.75" hidden="1">
      <c r="A120" s="29" t="s">
        <v>180</v>
      </c>
      <c r="B120" s="91"/>
      <c r="C120" s="164"/>
      <c r="D120" s="112"/>
      <c r="E120" s="267"/>
      <c r="F120" s="279">
        <f>C120+D120+E120</f>
        <v>0</v>
      </c>
      <c r="G120" s="294"/>
      <c r="H120" s="318"/>
      <c r="I120" s="263"/>
      <c r="J120" s="199"/>
      <c r="K120" s="10"/>
      <c r="L120" s="64">
        <f>I120+J120+K120</f>
        <v>0</v>
      </c>
      <c r="M120" s="214"/>
      <c r="N120" s="10"/>
      <c r="O120" s="20">
        <f>L120+M120+N120</f>
        <v>0</v>
      </c>
      <c r="P120" s="75"/>
      <c r="Q120" s="76">
        <f t="shared" si="20"/>
        <v>0</v>
      </c>
    </row>
    <row r="121" spans="1:17" ht="12.75">
      <c r="A121" s="23" t="s">
        <v>79</v>
      </c>
      <c r="B121" s="92"/>
      <c r="C121" s="143">
        <f>C122+C134</f>
        <v>1227223.9</v>
      </c>
      <c r="D121" s="103">
        <f aca="true" t="shared" si="34" ref="D121:Q121">D122+D134</f>
        <v>294323.48000000004</v>
      </c>
      <c r="E121" s="233">
        <f t="shared" si="34"/>
        <v>0</v>
      </c>
      <c r="F121" s="254">
        <f t="shared" si="34"/>
        <v>1521547.3800000001</v>
      </c>
      <c r="G121" s="286">
        <f t="shared" si="34"/>
        <v>68171.44</v>
      </c>
      <c r="H121" s="319">
        <f t="shared" si="34"/>
        <v>0</v>
      </c>
      <c r="I121" s="257">
        <f t="shared" si="34"/>
        <v>1589718.82</v>
      </c>
      <c r="J121" s="143">
        <f t="shared" si="34"/>
        <v>0</v>
      </c>
      <c r="K121" s="103">
        <f t="shared" si="34"/>
        <v>0</v>
      </c>
      <c r="L121" s="158">
        <f t="shared" si="34"/>
        <v>1589718.82</v>
      </c>
      <c r="M121" s="128">
        <f t="shared" si="34"/>
        <v>0</v>
      </c>
      <c r="N121" s="102">
        <f t="shared" si="34"/>
        <v>0</v>
      </c>
      <c r="O121" s="102">
        <f t="shared" si="34"/>
        <v>1589718.82</v>
      </c>
      <c r="P121" s="102">
        <f t="shared" si="34"/>
        <v>0</v>
      </c>
      <c r="Q121" s="102">
        <f t="shared" si="34"/>
        <v>1589718.82</v>
      </c>
    </row>
    <row r="122" spans="1:17" ht="12.75">
      <c r="A122" s="32" t="s">
        <v>55</v>
      </c>
      <c r="B122" s="92"/>
      <c r="C122" s="163">
        <f>SUM(C125:C133)</f>
        <v>1211223.9</v>
      </c>
      <c r="D122" s="111">
        <f aca="true" t="shared" si="35" ref="D122:Q122">SUM(D125:D133)</f>
        <v>290520.62000000005</v>
      </c>
      <c r="E122" s="241">
        <f t="shared" si="35"/>
        <v>0</v>
      </c>
      <c r="F122" s="277">
        <f t="shared" si="35"/>
        <v>1501744.52</v>
      </c>
      <c r="G122" s="291">
        <f t="shared" si="35"/>
        <v>76774.44</v>
      </c>
      <c r="H122" s="324">
        <f t="shared" si="35"/>
        <v>0</v>
      </c>
      <c r="I122" s="260">
        <f t="shared" si="35"/>
        <v>1578518.96</v>
      </c>
      <c r="J122" s="163">
        <f t="shared" si="35"/>
        <v>0</v>
      </c>
      <c r="K122" s="111">
        <f t="shared" si="35"/>
        <v>0</v>
      </c>
      <c r="L122" s="183">
        <f t="shared" si="35"/>
        <v>1578518.96</v>
      </c>
      <c r="M122" s="154">
        <f t="shared" si="35"/>
        <v>0</v>
      </c>
      <c r="N122" s="110">
        <f t="shared" si="35"/>
        <v>0</v>
      </c>
      <c r="O122" s="110">
        <f t="shared" si="35"/>
        <v>1578518.96</v>
      </c>
      <c r="P122" s="110">
        <f t="shared" si="35"/>
        <v>0</v>
      </c>
      <c r="Q122" s="110">
        <f t="shared" si="35"/>
        <v>1578518.96</v>
      </c>
    </row>
    <row r="123" spans="1:17" ht="12.75">
      <c r="A123" s="28" t="s">
        <v>27</v>
      </c>
      <c r="B123" s="88"/>
      <c r="C123" s="136"/>
      <c r="D123" s="104"/>
      <c r="E123" s="236"/>
      <c r="F123" s="254"/>
      <c r="G123" s="287"/>
      <c r="H123" s="320"/>
      <c r="I123" s="257"/>
      <c r="J123" s="21"/>
      <c r="K123" s="7"/>
      <c r="L123" s="61"/>
      <c r="M123" s="127"/>
      <c r="N123" s="7"/>
      <c r="O123" s="17"/>
      <c r="P123" s="72"/>
      <c r="Q123" s="70"/>
    </row>
    <row r="124" spans="1:17" ht="12.75">
      <c r="A124" s="30" t="s">
        <v>80</v>
      </c>
      <c r="B124" s="88"/>
      <c r="C124" s="136">
        <f>C125+C126</f>
        <v>734071</v>
      </c>
      <c r="D124" s="104">
        <f>D125+D126</f>
        <v>20111.829999999998</v>
      </c>
      <c r="E124" s="236">
        <f>E125+E126</f>
        <v>-595.71</v>
      </c>
      <c r="F124" s="274">
        <f>F125+F126</f>
        <v>753587.12</v>
      </c>
      <c r="G124" s="287"/>
      <c r="H124" s="320"/>
      <c r="I124" s="256">
        <f>I125+I126</f>
        <v>755901.01</v>
      </c>
      <c r="J124" s="21"/>
      <c r="K124" s="7"/>
      <c r="L124" s="65">
        <f>L125+L126</f>
        <v>755901.01</v>
      </c>
      <c r="M124" s="127"/>
      <c r="N124" s="7"/>
      <c r="O124" s="18">
        <f>O125+O126</f>
        <v>755901.01</v>
      </c>
      <c r="P124" s="72"/>
      <c r="Q124" s="70">
        <f t="shared" si="20"/>
        <v>755901.01</v>
      </c>
    </row>
    <row r="125" spans="1:17" ht="12.75">
      <c r="A125" s="30" t="s">
        <v>81</v>
      </c>
      <c r="B125" s="88"/>
      <c r="C125" s="136">
        <v>354000</v>
      </c>
      <c r="D125" s="104">
        <f>18957.44+39.86+1108+6.53</f>
        <v>20111.829999999998</v>
      </c>
      <c r="E125" s="236">
        <v>-595.71</v>
      </c>
      <c r="F125" s="274">
        <f aca="true" t="shared" si="36" ref="F125:F133">C125+D125+E125</f>
        <v>373516.12</v>
      </c>
      <c r="G125" s="287">
        <f>1685.75+628.14</f>
        <v>2313.89</v>
      </c>
      <c r="H125" s="327"/>
      <c r="I125" s="256">
        <f aca="true" t="shared" si="37" ref="I125:I133">F125+G125+H125</f>
        <v>375830.01</v>
      </c>
      <c r="J125" s="21"/>
      <c r="K125" s="7"/>
      <c r="L125" s="65">
        <f aca="true" t="shared" si="38" ref="L125:L133">I125+J125+K125</f>
        <v>375830.01</v>
      </c>
      <c r="M125" s="127"/>
      <c r="N125" s="7"/>
      <c r="O125" s="18">
        <f aca="true" t="shared" si="39" ref="O125:O133">L125+M125+N125</f>
        <v>375830.01</v>
      </c>
      <c r="P125" s="72"/>
      <c r="Q125" s="70">
        <f t="shared" si="20"/>
        <v>375830.01</v>
      </c>
    </row>
    <row r="126" spans="1:17" ht="12.75">
      <c r="A126" s="26" t="s">
        <v>82</v>
      </c>
      <c r="B126" s="88"/>
      <c r="C126" s="136">
        <v>380071</v>
      </c>
      <c r="D126" s="104"/>
      <c r="E126" s="236"/>
      <c r="F126" s="274">
        <f t="shared" si="36"/>
        <v>380071</v>
      </c>
      <c r="G126" s="295"/>
      <c r="H126" s="327"/>
      <c r="I126" s="256">
        <f t="shared" si="37"/>
        <v>380071</v>
      </c>
      <c r="J126" s="21"/>
      <c r="K126" s="7"/>
      <c r="L126" s="65">
        <f t="shared" si="38"/>
        <v>380071</v>
      </c>
      <c r="M126" s="127"/>
      <c r="N126" s="7"/>
      <c r="O126" s="18">
        <f t="shared" si="39"/>
        <v>380071</v>
      </c>
      <c r="P126" s="72"/>
      <c r="Q126" s="70">
        <f t="shared" si="20"/>
        <v>380071</v>
      </c>
    </row>
    <row r="127" spans="1:17" ht="12.75">
      <c r="A127" s="30" t="s">
        <v>83</v>
      </c>
      <c r="B127" s="88"/>
      <c r="C127" s="136">
        <v>21152.9</v>
      </c>
      <c r="D127" s="104"/>
      <c r="E127" s="236"/>
      <c r="F127" s="274">
        <f t="shared" si="36"/>
        <v>21152.9</v>
      </c>
      <c r="G127" s="287">
        <f>4147.1</f>
        <v>4147.1</v>
      </c>
      <c r="H127" s="320"/>
      <c r="I127" s="256">
        <f t="shared" si="37"/>
        <v>25300</v>
      </c>
      <c r="J127" s="21"/>
      <c r="K127" s="7"/>
      <c r="L127" s="65">
        <f t="shared" si="38"/>
        <v>25300</v>
      </c>
      <c r="M127" s="127"/>
      <c r="N127" s="7"/>
      <c r="O127" s="18">
        <f t="shared" si="39"/>
        <v>25300</v>
      </c>
      <c r="P127" s="72"/>
      <c r="Q127" s="70">
        <f t="shared" si="20"/>
        <v>25300</v>
      </c>
    </row>
    <row r="128" spans="1:17" ht="12.75">
      <c r="A128" s="26" t="s">
        <v>84</v>
      </c>
      <c r="B128" s="88"/>
      <c r="C128" s="136"/>
      <c r="D128" s="104"/>
      <c r="E128" s="236">
        <v>250</v>
      </c>
      <c r="F128" s="274">
        <f t="shared" si="36"/>
        <v>250</v>
      </c>
      <c r="G128" s="287"/>
      <c r="H128" s="320"/>
      <c r="I128" s="256">
        <f t="shared" si="37"/>
        <v>250</v>
      </c>
      <c r="J128" s="21"/>
      <c r="K128" s="7"/>
      <c r="L128" s="65">
        <f t="shared" si="38"/>
        <v>250</v>
      </c>
      <c r="M128" s="127"/>
      <c r="N128" s="7"/>
      <c r="O128" s="18">
        <f t="shared" si="39"/>
        <v>250</v>
      </c>
      <c r="P128" s="72"/>
      <c r="Q128" s="70">
        <f t="shared" si="20"/>
        <v>250</v>
      </c>
    </row>
    <row r="129" spans="1:17" ht="12.75">
      <c r="A129" s="26" t="s">
        <v>71</v>
      </c>
      <c r="B129" s="88"/>
      <c r="C129" s="136"/>
      <c r="D129" s="104"/>
      <c r="E129" s="236">
        <v>345.71</v>
      </c>
      <c r="F129" s="274">
        <f t="shared" si="36"/>
        <v>345.71</v>
      </c>
      <c r="G129" s="287"/>
      <c r="H129" s="320"/>
      <c r="I129" s="256">
        <f t="shared" si="37"/>
        <v>345.71</v>
      </c>
      <c r="J129" s="21"/>
      <c r="K129" s="7"/>
      <c r="L129" s="65">
        <f t="shared" si="38"/>
        <v>345.71</v>
      </c>
      <c r="M129" s="127"/>
      <c r="N129" s="7"/>
      <c r="O129" s="18">
        <f t="shared" si="39"/>
        <v>345.71</v>
      </c>
      <c r="P129" s="72"/>
      <c r="Q129" s="70">
        <f t="shared" si="20"/>
        <v>345.71</v>
      </c>
    </row>
    <row r="130" spans="1:17" ht="12.75">
      <c r="A130" s="26" t="s">
        <v>85</v>
      </c>
      <c r="B130" s="88">
        <v>91252</v>
      </c>
      <c r="C130" s="136"/>
      <c r="D130" s="104"/>
      <c r="E130" s="236"/>
      <c r="F130" s="274">
        <f t="shared" si="36"/>
        <v>0</v>
      </c>
      <c r="G130" s="287">
        <f>69355</f>
        <v>69355</v>
      </c>
      <c r="H130" s="320"/>
      <c r="I130" s="256">
        <f t="shared" si="37"/>
        <v>69355</v>
      </c>
      <c r="J130" s="21"/>
      <c r="K130" s="7"/>
      <c r="L130" s="65">
        <f t="shared" si="38"/>
        <v>69355</v>
      </c>
      <c r="M130" s="127"/>
      <c r="N130" s="7"/>
      <c r="O130" s="18">
        <f t="shared" si="39"/>
        <v>69355</v>
      </c>
      <c r="P130" s="72"/>
      <c r="Q130" s="70">
        <f t="shared" si="20"/>
        <v>69355</v>
      </c>
    </row>
    <row r="131" spans="1:17" ht="12.75">
      <c r="A131" s="26" t="s">
        <v>155</v>
      </c>
      <c r="B131" s="88">
        <v>27355</v>
      </c>
      <c r="C131" s="136"/>
      <c r="D131" s="104">
        <f>270393.45</f>
        <v>270393.45</v>
      </c>
      <c r="E131" s="236"/>
      <c r="F131" s="274">
        <f t="shared" si="36"/>
        <v>270393.45</v>
      </c>
      <c r="G131" s="287"/>
      <c r="H131" s="320"/>
      <c r="I131" s="256">
        <f t="shared" si="37"/>
        <v>270393.45</v>
      </c>
      <c r="J131" s="21"/>
      <c r="K131" s="7"/>
      <c r="L131" s="65">
        <f t="shared" si="38"/>
        <v>270393.45</v>
      </c>
      <c r="M131" s="127"/>
      <c r="N131" s="7"/>
      <c r="O131" s="18">
        <f t="shared" si="39"/>
        <v>270393.45</v>
      </c>
      <c r="P131" s="72"/>
      <c r="Q131" s="70">
        <f t="shared" si="20"/>
        <v>270393.45</v>
      </c>
    </row>
    <row r="132" spans="1:17" ht="12.75">
      <c r="A132" s="26" t="s">
        <v>57</v>
      </c>
      <c r="B132" s="88"/>
      <c r="C132" s="136">
        <v>456000</v>
      </c>
      <c r="D132" s="104">
        <f>15.34</f>
        <v>15.34</v>
      </c>
      <c r="E132" s="236"/>
      <c r="F132" s="274">
        <f t="shared" si="36"/>
        <v>456015.34</v>
      </c>
      <c r="G132" s="287">
        <f>958.45</f>
        <v>958.45</v>
      </c>
      <c r="H132" s="320"/>
      <c r="I132" s="256">
        <f t="shared" si="37"/>
        <v>456973.79000000004</v>
      </c>
      <c r="J132" s="21"/>
      <c r="K132" s="7"/>
      <c r="L132" s="65">
        <f t="shared" si="38"/>
        <v>456973.79000000004</v>
      </c>
      <c r="M132" s="127"/>
      <c r="N132" s="7"/>
      <c r="O132" s="18">
        <f t="shared" si="39"/>
        <v>456973.79000000004</v>
      </c>
      <c r="P132" s="72"/>
      <c r="Q132" s="70">
        <f t="shared" si="20"/>
        <v>456973.79000000004</v>
      </c>
    </row>
    <row r="133" spans="1:17" ht="12" customHeight="1" hidden="1">
      <c r="A133" s="26" t="s">
        <v>86</v>
      </c>
      <c r="B133" s="88"/>
      <c r="C133" s="136"/>
      <c r="D133" s="104"/>
      <c r="E133" s="236"/>
      <c r="F133" s="274">
        <f t="shared" si="36"/>
        <v>0</v>
      </c>
      <c r="G133" s="287"/>
      <c r="H133" s="320"/>
      <c r="I133" s="256">
        <f t="shared" si="37"/>
        <v>0</v>
      </c>
      <c r="J133" s="21"/>
      <c r="K133" s="7"/>
      <c r="L133" s="65">
        <f t="shared" si="38"/>
        <v>0</v>
      </c>
      <c r="M133" s="127"/>
      <c r="N133" s="7"/>
      <c r="O133" s="18">
        <f t="shared" si="39"/>
        <v>0</v>
      </c>
      <c r="P133" s="72"/>
      <c r="Q133" s="70">
        <f t="shared" si="20"/>
        <v>0</v>
      </c>
    </row>
    <row r="134" spans="1:17" ht="12.75">
      <c r="A134" s="33" t="s">
        <v>60</v>
      </c>
      <c r="B134" s="92"/>
      <c r="C134" s="165">
        <f>SUM(C136:C138)</f>
        <v>16000</v>
      </c>
      <c r="D134" s="114">
        <f aca="true" t="shared" si="40" ref="D134:Q134">SUM(D136:D138)</f>
        <v>3802.86</v>
      </c>
      <c r="E134" s="242">
        <f t="shared" si="40"/>
        <v>0</v>
      </c>
      <c r="F134" s="278">
        <f t="shared" si="40"/>
        <v>19802.86</v>
      </c>
      <c r="G134" s="293">
        <f t="shared" si="40"/>
        <v>-8603</v>
      </c>
      <c r="H134" s="326">
        <f t="shared" si="40"/>
        <v>0</v>
      </c>
      <c r="I134" s="261">
        <f t="shared" si="40"/>
        <v>11199.86</v>
      </c>
      <c r="J134" s="165">
        <f t="shared" si="40"/>
        <v>0</v>
      </c>
      <c r="K134" s="114">
        <f t="shared" si="40"/>
        <v>0</v>
      </c>
      <c r="L134" s="184">
        <f t="shared" si="40"/>
        <v>11199.86</v>
      </c>
      <c r="M134" s="155">
        <f t="shared" si="40"/>
        <v>0</v>
      </c>
      <c r="N134" s="113">
        <f t="shared" si="40"/>
        <v>0</v>
      </c>
      <c r="O134" s="113">
        <f t="shared" si="40"/>
        <v>11199.86</v>
      </c>
      <c r="P134" s="113">
        <f t="shared" si="40"/>
        <v>0</v>
      </c>
      <c r="Q134" s="113">
        <f t="shared" si="40"/>
        <v>11199.86</v>
      </c>
    </row>
    <row r="135" spans="1:17" ht="12.75">
      <c r="A135" s="24" t="s">
        <v>27</v>
      </c>
      <c r="B135" s="88"/>
      <c r="C135" s="130"/>
      <c r="D135" s="107"/>
      <c r="E135" s="238"/>
      <c r="F135" s="275"/>
      <c r="G135" s="289"/>
      <c r="H135" s="322"/>
      <c r="I135" s="258"/>
      <c r="J135" s="198"/>
      <c r="K135" s="8"/>
      <c r="L135" s="22"/>
      <c r="M135" s="213"/>
      <c r="N135" s="8"/>
      <c r="O135" s="19"/>
      <c r="P135" s="72"/>
      <c r="Q135" s="70"/>
    </row>
    <row r="136" spans="1:17" ht="12.75">
      <c r="A136" s="25" t="s">
        <v>61</v>
      </c>
      <c r="B136" s="88"/>
      <c r="C136" s="136">
        <v>10000</v>
      </c>
      <c r="D136" s="104">
        <f>3802.86</f>
        <v>3802.86</v>
      </c>
      <c r="E136" s="236"/>
      <c r="F136" s="274">
        <f>C136+D136+E136</f>
        <v>13802.86</v>
      </c>
      <c r="G136" s="287">
        <f>-2603</f>
        <v>-2603</v>
      </c>
      <c r="H136" s="320"/>
      <c r="I136" s="256">
        <f>F136+G136+H136</f>
        <v>11199.86</v>
      </c>
      <c r="J136" s="21"/>
      <c r="K136" s="7"/>
      <c r="L136" s="65">
        <f>I136+J136+K136</f>
        <v>11199.86</v>
      </c>
      <c r="M136" s="127"/>
      <c r="N136" s="7"/>
      <c r="O136" s="18">
        <f>L136+M136+N136</f>
        <v>11199.86</v>
      </c>
      <c r="P136" s="72"/>
      <c r="Q136" s="70">
        <f t="shared" si="20"/>
        <v>11199.86</v>
      </c>
    </row>
    <row r="137" spans="1:17" ht="12.75">
      <c r="A137" s="29" t="s">
        <v>99</v>
      </c>
      <c r="B137" s="91"/>
      <c r="C137" s="164">
        <v>6000</v>
      </c>
      <c r="D137" s="112"/>
      <c r="E137" s="267"/>
      <c r="F137" s="279">
        <f>C137+D137+E137</f>
        <v>6000</v>
      </c>
      <c r="G137" s="294">
        <f>-6000</f>
        <v>-6000</v>
      </c>
      <c r="H137" s="318"/>
      <c r="I137" s="262">
        <f>F137+G137+H137</f>
        <v>0</v>
      </c>
      <c r="J137" s="21"/>
      <c r="K137" s="7"/>
      <c r="L137" s="65">
        <f>I137+J137+K137</f>
        <v>0</v>
      </c>
      <c r="M137" s="127"/>
      <c r="N137" s="7"/>
      <c r="O137" s="18">
        <f>L137+M137+N137</f>
        <v>0</v>
      </c>
      <c r="P137" s="72"/>
      <c r="Q137" s="70">
        <f t="shared" si="20"/>
        <v>0</v>
      </c>
    </row>
    <row r="138" spans="1:17" ht="12.75" hidden="1">
      <c r="A138" s="29" t="s">
        <v>87</v>
      </c>
      <c r="B138" s="91"/>
      <c r="C138" s="164"/>
      <c r="D138" s="112"/>
      <c r="E138" s="267"/>
      <c r="F138" s="279">
        <f>C138+D138+E138</f>
        <v>0</v>
      </c>
      <c r="G138" s="294"/>
      <c r="H138" s="318"/>
      <c r="I138" s="262">
        <f>F138+G138+H138</f>
        <v>0</v>
      </c>
      <c r="J138" s="199"/>
      <c r="K138" s="10"/>
      <c r="L138" s="64">
        <f>I138+J138+K138</f>
        <v>0</v>
      </c>
      <c r="M138" s="214"/>
      <c r="N138" s="10"/>
      <c r="O138" s="20">
        <f>L138+M138+N138</f>
        <v>0</v>
      </c>
      <c r="P138" s="75"/>
      <c r="Q138" s="76">
        <f t="shared" si="20"/>
        <v>0</v>
      </c>
    </row>
    <row r="139" spans="1:17" ht="12.75">
      <c r="A139" s="27" t="s">
        <v>88</v>
      </c>
      <c r="B139" s="92"/>
      <c r="C139" s="130">
        <f>C140+C145</f>
        <v>34232.8</v>
      </c>
      <c r="D139" s="107">
        <f aca="true" t="shared" si="41" ref="D139:Q139">D140+D145</f>
        <v>2800</v>
      </c>
      <c r="E139" s="238">
        <f t="shared" si="41"/>
        <v>0</v>
      </c>
      <c r="F139" s="275">
        <f t="shared" si="41"/>
        <v>37032.8</v>
      </c>
      <c r="G139" s="289">
        <f t="shared" si="41"/>
        <v>0</v>
      </c>
      <c r="H139" s="322">
        <f t="shared" si="41"/>
        <v>0</v>
      </c>
      <c r="I139" s="258">
        <f t="shared" si="41"/>
        <v>37032.8</v>
      </c>
      <c r="J139" s="130">
        <f t="shared" si="41"/>
        <v>0</v>
      </c>
      <c r="K139" s="107">
        <f t="shared" si="41"/>
        <v>0</v>
      </c>
      <c r="L139" s="181">
        <f t="shared" si="41"/>
        <v>37032.8</v>
      </c>
      <c r="M139" s="152">
        <f t="shared" si="41"/>
        <v>0</v>
      </c>
      <c r="N139" s="106">
        <f t="shared" si="41"/>
        <v>0</v>
      </c>
      <c r="O139" s="106">
        <f t="shared" si="41"/>
        <v>37032.8</v>
      </c>
      <c r="P139" s="106">
        <f t="shared" si="41"/>
        <v>0</v>
      </c>
      <c r="Q139" s="106">
        <f t="shared" si="41"/>
        <v>37032.8</v>
      </c>
    </row>
    <row r="140" spans="1:17" ht="12.75">
      <c r="A140" s="32" t="s">
        <v>55</v>
      </c>
      <c r="B140" s="92"/>
      <c r="C140" s="163">
        <f>SUM(C142:C144)</f>
        <v>32232.8</v>
      </c>
      <c r="D140" s="111">
        <f aca="true" t="shared" si="42" ref="D140:Q140">SUM(D142:D144)</f>
        <v>1800</v>
      </c>
      <c r="E140" s="241">
        <f t="shared" si="42"/>
        <v>0</v>
      </c>
      <c r="F140" s="277">
        <f t="shared" si="42"/>
        <v>34032.8</v>
      </c>
      <c r="G140" s="291">
        <f t="shared" si="42"/>
        <v>0</v>
      </c>
      <c r="H140" s="324">
        <f t="shared" si="42"/>
        <v>0</v>
      </c>
      <c r="I140" s="260">
        <f t="shared" si="42"/>
        <v>34032.8</v>
      </c>
      <c r="J140" s="163">
        <f t="shared" si="42"/>
        <v>0</v>
      </c>
      <c r="K140" s="111">
        <f t="shared" si="42"/>
        <v>0</v>
      </c>
      <c r="L140" s="183">
        <f t="shared" si="42"/>
        <v>34032.8</v>
      </c>
      <c r="M140" s="154">
        <f t="shared" si="42"/>
        <v>0</v>
      </c>
      <c r="N140" s="110">
        <f t="shared" si="42"/>
        <v>0</v>
      </c>
      <c r="O140" s="110">
        <f t="shared" si="42"/>
        <v>34032.8</v>
      </c>
      <c r="P140" s="110">
        <f t="shared" si="42"/>
        <v>0</v>
      </c>
      <c r="Q140" s="110">
        <f t="shared" si="42"/>
        <v>34032.8</v>
      </c>
    </row>
    <row r="141" spans="1:17" ht="12.75">
      <c r="A141" s="28" t="s">
        <v>27</v>
      </c>
      <c r="B141" s="88"/>
      <c r="C141" s="136"/>
      <c r="D141" s="104"/>
      <c r="E141" s="236"/>
      <c r="F141" s="254"/>
      <c r="G141" s="287"/>
      <c r="H141" s="320"/>
      <c r="I141" s="257"/>
      <c r="J141" s="21"/>
      <c r="K141" s="7"/>
      <c r="L141" s="61"/>
      <c r="M141" s="127"/>
      <c r="N141" s="7"/>
      <c r="O141" s="17"/>
      <c r="P141" s="72"/>
      <c r="Q141" s="70"/>
    </row>
    <row r="142" spans="1:17" ht="12.75">
      <c r="A142" s="26" t="s">
        <v>57</v>
      </c>
      <c r="B142" s="88"/>
      <c r="C142" s="136">
        <v>8232.8</v>
      </c>
      <c r="D142" s="104">
        <f>500+1300</f>
        <v>1800</v>
      </c>
      <c r="E142" s="236"/>
      <c r="F142" s="274">
        <f>C142+D142+E142</f>
        <v>10032.8</v>
      </c>
      <c r="G142" s="287"/>
      <c r="H142" s="320"/>
      <c r="I142" s="256">
        <f>F142+G142+H142</f>
        <v>10032.8</v>
      </c>
      <c r="J142" s="21"/>
      <c r="K142" s="7"/>
      <c r="L142" s="65">
        <f>I142+J142+K142</f>
        <v>10032.8</v>
      </c>
      <c r="M142" s="127"/>
      <c r="N142" s="7"/>
      <c r="O142" s="18">
        <f>L142+M142+N142</f>
        <v>10032.8</v>
      </c>
      <c r="P142" s="72"/>
      <c r="Q142" s="70">
        <f t="shared" si="20"/>
        <v>10032.8</v>
      </c>
    </row>
    <row r="143" spans="1:17" ht="12.75" hidden="1">
      <c r="A143" s="26" t="s">
        <v>87</v>
      </c>
      <c r="B143" s="88"/>
      <c r="C143" s="136"/>
      <c r="D143" s="104"/>
      <c r="E143" s="236"/>
      <c r="F143" s="274">
        <f>C143+D143+E143</f>
        <v>0</v>
      </c>
      <c r="G143" s="287"/>
      <c r="H143" s="320"/>
      <c r="I143" s="256"/>
      <c r="J143" s="21"/>
      <c r="K143" s="7"/>
      <c r="L143" s="65"/>
      <c r="M143" s="127"/>
      <c r="N143" s="7"/>
      <c r="O143" s="18">
        <f>L143+M143+N143</f>
        <v>0</v>
      </c>
      <c r="P143" s="72"/>
      <c r="Q143" s="70">
        <f t="shared" si="20"/>
        <v>0</v>
      </c>
    </row>
    <row r="144" spans="1:17" ht="12.75">
      <c r="A144" s="26" t="s">
        <v>89</v>
      </c>
      <c r="B144" s="88"/>
      <c r="C144" s="136">
        <v>24000</v>
      </c>
      <c r="D144" s="104"/>
      <c r="E144" s="236"/>
      <c r="F144" s="274">
        <f>C144+D144+E144</f>
        <v>24000</v>
      </c>
      <c r="G144" s="287"/>
      <c r="H144" s="320"/>
      <c r="I144" s="256">
        <f>F144+G144+H144</f>
        <v>24000</v>
      </c>
      <c r="J144" s="21"/>
      <c r="K144" s="7"/>
      <c r="L144" s="65">
        <f>I144+J144+K144</f>
        <v>24000</v>
      </c>
      <c r="M144" s="127"/>
      <c r="N144" s="7"/>
      <c r="O144" s="18">
        <f>L144+M144+N144</f>
        <v>24000</v>
      </c>
      <c r="P144" s="72"/>
      <c r="Q144" s="70">
        <f>O144+P144</f>
        <v>24000</v>
      </c>
    </row>
    <row r="145" spans="1:17" ht="12.75">
      <c r="A145" s="33" t="s">
        <v>60</v>
      </c>
      <c r="B145" s="92"/>
      <c r="C145" s="165">
        <f>SUM(C147:C150)</f>
        <v>2000</v>
      </c>
      <c r="D145" s="114">
        <f aca="true" t="shared" si="43" ref="D145:Q145">SUM(D147:D150)</f>
        <v>1000</v>
      </c>
      <c r="E145" s="242">
        <f t="shared" si="43"/>
        <v>0</v>
      </c>
      <c r="F145" s="278">
        <f t="shared" si="43"/>
        <v>3000</v>
      </c>
      <c r="G145" s="293">
        <f t="shared" si="43"/>
        <v>0</v>
      </c>
      <c r="H145" s="326">
        <f t="shared" si="43"/>
        <v>0</v>
      </c>
      <c r="I145" s="261">
        <f t="shared" si="43"/>
        <v>3000</v>
      </c>
      <c r="J145" s="165">
        <f t="shared" si="43"/>
        <v>0</v>
      </c>
      <c r="K145" s="114">
        <f t="shared" si="43"/>
        <v>0</v>
      </c>
      <c r="L145" s="184">
        <f t="shared" si="43"/>
        <v>3000</v>
      </c>
      <c r="M145" s="155">
        <f t="shared" si="43"/>
        <v>0</v>
      </c>
      <c r="N145" s="113">
        <f t="shared" si="43"/>
        <v>0</v>
      </c>
      <c r="O145" s="113">
        <f t="shared" si="43"/>
        <v>3000</v>
      </c>
      <c r="P145" s="113">
        <f t="shared" si="43"/>
        <v>0</v>
      </c>
      <c r="Q145" s="113">
        <f t="shared" si="43"/>
        <v>3000</v>
      </c>
    </row>
    <row r="146" spans="1:17" ht="12.75">
      <c r="A146" s="24" t="s">
        <v>27</v>
      </c>
      <c r="B146" s="88"/>
      <c r="C146" s="130"/>
      <c r="D146" s="107"/>
      <c r="E146" s="238"/>
      <c r="F146" s="275"/>
      <c r="G146" s="289"/>
      <c r="H146" s="322"/>
      <c r="I146" s="258"/>
      <c r="J146" s="198"/>
      <c r="K146" s="8"/>
      <c r="L146" s="22"/>
      <c r="M146" s="213"/>
      <c r="N146" s="8"/>
      <c r="O146" s="19"/>
      <c r="P146" s="72"/>
      <c r="Q146" s="70"/>
    </row>
    <row r="147" spans="1:17" ht="12.75" hidden="1">
      <c r="A147" s="26" t="s">
        <v>176</v>
      </c>
      <c r="B147" s="88">
        <v>98861</v>
      </c>
      <c r="C147" s="136"/>
      <c r="D147" s="104"/>
      <c r="E147" s="236"/>
      <c r="F147" s="274">
        <f>C147+D147+E147</f>
        <v>0</v>
      </c>
      <c r="G147" s="289"/>
      <c r="H147" s="322"/>
      <c r="I147" s="256"/>
      <c r="J147" s="198"/>
      <c r="K147" s="8"/>
      <c r="L147" s="65"/>
      <c r="M147" s="213"/>
      <c r="N147" s="8"/>
      <c r="O147" s="18">
        <f>L147+M147+N147</f>
        <v>0</v>
      </c>
      <c r="P147" s="72"/>
      <c r="Q147" s="70">
        <f>O147+P147</f>
        <v>0</v>
      </c>
    </row>
    <row r="148" spans="1:17" ht="12.75" hidden="1">
      <c r="A148" s="26" t="s">
        <v>246</v>
      </c>
      <c r="B148" s="88">
        <v>7938</v>
      </c>
      <c r="C148" s="136"/>
      <c r="D148" s="104"/>
      <c r="E148" s="236"/>
      <c r="F148" s="274">
        <f>C148+D148+E148</f>
        <v>0</v>
      </c>
      <c r="G148" s="289"/>
      <c r="H148" s="322"/>
      <c r="I148" s="256"/>
      <c r="J148" s="198"/>
      <c r="K148" s="8"/>
      <c r="L148" s="65"/>
      <c r="M148" s="213"/>
      <c r="N148" s="8"/>
      <c r="O148" s="18"/>
      <c r="P148" s="72"/>
      <c r="Q148" s="70"/>
    </row>
    <row r="149" spans="1:17" ht="12.75" hidden="1">
      <c r="A149" s="26" t="s">
        <v>283</v>
      </c>
      <c r="B149" s="88"/>
      <c r="C149" s="136"/>
      <c r="D149" s="104"/>
      <c r="E149" s="236"/>
      <c r="F149" s="274">
        <f>C149+D149+E149</f>
        <v>0</v>
      </c>
      <c r="G149" s="289"/>
      <c r="H149" s="322"/>
      <c r="I149" s="256"/>
      <c r="J149" s="198"/>
      <c r="K149" s="8"/>
      <c r="L149" s="65"/>
      <c r="M149" s="213"/>
      <c r="N149" s="8"/>
      <c r="O149" s="18"/>
      <c r="P149" s="72"/>
      <c r="Q149" s="70"/>
    </row>
    <row r="150" spans="1:17" ht="12.75">
      <c r="A150" s="37" t="s">
        <v>61</v>
      </c>
      <c r="B150" s="91"/>
      <c r="C150" s="164">
        <v>2000</v>
      </c>
      <c r="D150" s="112">
        <f>1000</f>
        <v>1000</v>
      </c>
      <c r="E150" s="267"/>
      <c r="F150" s="279">
        <f>C150+D150+E150</f>
        <v>3000</v>
      </c>
      <c r="G150" s="294"/>
      <c r="H150" s="318"/>
      <c r="I150" s="262">
        <f>F150+G150+H150</f>
        <v>3000</v>
      </c>
      <c r="J150" s="199"/>
      <c r="K150" s="10"/>
      <c r="L150" s="64">
        <f>I150+J150+K150</f>
        <v>3000</v>
      </c>
      <c r="M150" s="214"/>
      <c r="N150" s="10"/>
      <c r="O150" s="20">
        <f>L150+M150+N150</f>
        <v>3000</v>
      </c>
      <c r="P150" s="75"/>
      <c r="Q150" s="76">
        <f>O150+P150</f>
        <v>3000</v>
      </c>
    </row>
    <row r="151" spans="1:17" ht="12.75">
      <c r="A151" s="23" t="s">
        <v>318</v>
      </c>
      <c r="B151" s="92"/>
      <c r="C151" s="143">
        <f aca="true" t="shared" si="44" ref="C151:Q151">C152+C169</f>
        <v>3930.7</v>
      </c>
      <c r="D151" s="103">
        <f t="shared" si="44"/>
        <v>241589.71000000002</v>
      </c>
      <c r="E151" s="233">
        <f t="shared" si="44"/>
        <v>0</v>
      </c>
      <c r="F151" s="254">
        <f t="shared" si="44"/>
        <v>245520.41</v>
      </c>
      <c r="G151" s="286">
        <f t="shared" si="44"/>
        <v>14000.34</v>
      </c>
      <c r="H151" s="319">
        <f t="shared" si="44"/>
        <v>1020</v>
      </c>
      <c r="I151" s="257">
        <f t="shared" si="44"/>
        <v>260540.75</v>
      </c>
      <c r="J151" s="143">
        <f t="shared" si="44"/>
        <v>0</v>
      </c>
      <c r="K151" s="103">
        <f t="shared" si="44"/>
        <v>0</v>
      </c>
      <c r="L151" s="158">
        <f t="shared" si="44"/>
        <v>35395.94</v>
      </c>
      <c r="M151" s="128">
        <f t="shared" si="44"/>
        <v>0</v>
      </c>
      <c r="N151" s="102">
        <f t="shared" si="44"/>
        <v>0</v>
      </c>
      <c r="O151" s="102">
        <f t="shared" si="44"/>
        <v>35395.94</v>
      </c>
      <c r="P151" s="102">
        <f t="shared" si="44"/>
        <v>0</v>
      </c>
      <c r="Q151" s="102">
        <f t="shared" si="44"/>
        <v>35395.94</v>
      </c>
    </row>
    <row r="152" spans="1:17" ht="12.75">
      <c r="A152" s="32" t="s">
        <v>55</v>
      </c>
      <c r="B152" s="92"/>
      <c r="C152" s="163">
        <f aca="true" t="shared" si="45" ref="C152:Q152">SUM(C154:C168)</f>
        <v>3930.7</v>
      </c>
      <c r="D152" s="111">
        <f t="shared" si="45"/>
        <v>19637.949999999997</v>
      </c>
      <c r="E152" s="241">
        <f t="shared" si="45"/>
        <v>0</v>
      </c>
      <c r="F152" s="277">
        <f t="shared" si="45"/>
        <v>23568.65</v>
      </c>
      <c r="G152" s="291">
        <f t="shared" si="45"/>
        <v>13097.460000000001</v>
      </c>
      <c r="H152" s="324">
        <f t="shared" si="45"/>
        <v>0</v>
      </c>
      <c r="I152" s="260">
        <f t="shared" si="45"/>
        <v>36666.11</v>
      </c>
      <c r="J152" s="163">
        <f t="shared" si="45"/>
        <v>0</v>
      </c>
      <c r="K152" s="111">
        <f t="shared" si="45"/>
        <v>0</v>
      </c>
      <c r="L152" s="183">
        <f t="shared" si="45"/>
        <v>4822.28</v>
      </c>
      <c r="M152" s="154">
        <f t="shared" si="45"/>
        <v>0</v>
      </c>
      <c r="N152" s="110">
        <f t="shared" si="45"/>
        <v>0</v>
      </c>
      <c r="O152" s="110">
        <f t="shared" si="45"/>
        <v>4822.28</v>
      </c>
      <c r="P152" s="110">
        <f t="shared" si="45"/>
        <v>0</v>
      </c>
      <c r="Q152" s="110">
        <f t="shared" si="45"/>
        <v>4822.28</v>
      </c>
    </row>
    <row r="153" spans="1:17" ht="12.75">
      <c r="A153" s="24" t="s">
        <v>27</v>
      </c>
      <c r="B153" s="88"/>
      <c r="C153" s="130"/>
      <c r="D153" s="107"/>
      <c r="E153" s="238"/>
      <c r="F153" s="275"/>
      <c r="G153" s="289"/>
      <c r="H153" s="322"/>
      <c r="I153" s="258"/>
      <c r="J153" s="198"/>
      <c r="K153" s="8"/>
      <c r="L153" s="22"/>
      <c r="M153" s="213"/>
      <c r="N153" s="8"/>
      <c r="O153" s="19"/>
      <c r="P153" s="72"/>
      <c r="Q153" s="70"/>
    </row>
    <row r="154" spans="1:17" ht="12.75">
      <c r="A154" s="26" t="s">
        <v>57</v>
      </c>
      <c r="B154" s="88"/>
      <c r="C154" s="136">
        <v>2330.7</v>
      </c>
      <c r="D154" s="104">
        <f>600</f>
        <v>600</v>
      </c>
      <c r="E154" s="236"/>
      <c r="F154" s="274">
        <f aca="true" t="shared" si="46" ref="F154:F168">C154+D154+E154</f>
        <v>2930.7</v>
      </c>
      <c r="G154" s="287"/>
      <c r="H154" s="320"/>
      <c r="I154" s="256">
        <f>F154+G154+H154</f>
        <v>2930.7</v>
      </c>
      <c r="J154" s="197"/>
      <c r="K154" s="7"/>
      <c r="L154" s="65">
        <f>I154+J154+K154</f>
        <v>2930.7</v>
      </c>
      <c r="M154" s="212"/>
      <c r="N154" s="7"/>
      <c r="O154" s="18">
        <f>L154+M154+N154</f>
        <v>2930.7</v>
      </c>
      <c r="P154" s="72"/>
      <c r="Q154" s="70">
        <f>O154+P154</f>
        <v>2930.7</v>
      </c>
    </row>
    <row r="155" spans="1:17" ht="12.75">
      <c r="A155" s="89" t="s">
        <v>309</v>
      </c>
      <c r="B155" s="88">
        <v>2042</v>
      </c>
      <c r="C155" s="136"/>
      <c r="D155" s="104">
        <f>1888.73</f>
        <v>1888.73</v>
      </c>
      <c r="E155" s="236"/>
      <c r="F155" s="274">
        <f t="shared" si="46"/>
        <v>1888.73</v>
      </c>
      <c r="G155" s="287">
        <f>2.85</f>
        <v>2.85</v>
      </c>
      <c r="H155" s="320"/>
      <c r="I155" s="256">
        <f>F155+G155+H155</f>
        <v>1891.58</v>
      </c>
      <c r="J155" s="21"/>
      <c r="K155" s="7"/>
      <c r="L155" s="65">
        <f>I155+J155+K155</f>
        <v>1891.58</v>
      </c>
      <c r="M155" s="127"/>
      <c r="N155" s="7"/>
      <c r="O155" s="18">
        <f>L155+M155+N155</f>
        <v>1891.58</v>
      </c>
      <c r="P155" s="72"/>
      <c r="Q155" s="70">
        <f>O155+P155</f>
        <v>1891.58</v>
      </c>
    </row>
    <row r="156" spans="1:17" ht="12.75">
      <c r="A156" s="89" t="s">
        <v>343</v>
      </c>
      <c r="B156" s="88">
        <v>2042</v>
      </c>
      <c r="C156" s="136"/>
      <c r="D156" s="104"/>
      <c r="E156" s="236"/>
      <c r="F156" s="274">
        <f t="shared" si="46"/>
        <v>0</v>
      </c>
      <c r="G156" s="287">
        <f>4287.51</f>
        <v>4287.51</v>
      </c>
      <c r="H156" s="320"/>
      <c r="I156" s="256">
        <f>F156+G156+H156</f>
        <v>4287.51</v>
      </c>
      <c r="J156" s="21"/>
      <c r="K156" s="7"/>
      <c r="L156" s="65"/>
      <c r="M156" s="127"/>
      <c r="N156" s="7"/>
      <c r="O156" s="18"/>
      <c r="P156" s="72"/>
      <c r="Q156" s="70"/>
    </row>
    <row r="157" spans="1:17" ht="12.75">
      <c r="A157" s="89" t="s">
        <v>310</v>
      </c>
      <c r="B157" s="88">
        <v>2045</v>
      </c>
      <c r="C157" s="136"/>
      <c r="D157" s="104">
        <f>1273.39</f>
        <v>1273.39</v>
      </c>
      <c r="E157" s="236"/>
      <c r="F157" s="274">
        <f t="shared" si="46"/>
        <v>1273.39</v>
      </c>
      <c r="G157" s="287"/>
      <c r="H157" s="320"/>
      <c r="I157" s="256">
        <f aca="true" t="shared" si="47" ref="I157:I168">F157+G157+H157</f>
        <v>1273.39</v>
      </c>
      <c r="J157" s="21"/>
      <c r="K157" s="7"/>
      <c r="L157" s="65"/>
      <c r="M157" s="127"/>
      <c r="N157" s="7"/>
      <c r="O157" s="18"/>
      <c r="P157" s="72"/>
      <c r="Q157" s="70"/>
    </row>
    <row r="158" spans="1:17" ht="12.75">
      <c r="A158" s="89" t="s">
        <v>335</v>
      </c>
      <c r="B158" s="88">
        <v>2045</v>
      </c>
      <c r="C158" s="136"/>
      <c r="D158" s="104"/>
      <c r="E158" s="236"/>
      <c r="F158" s="274">
        <f t="shared" si="46"/>
        <v>0</v>
      </c>
      <c r="G158" s="287">
        <f>3280.86</f>
        <v>3280.86</v>
      </c>
      <c r="H158" s="320"/>
      <c r="I158" s="256">
        <f t="shared" si="47"/>
        <v>3280.86</v>
      </c>
      <c r="J158" s="21"/>
      <c r="K158" s="7"/>
      <c r="L158" s="65"/>
      <c r="M158" s="127"/>
      <c r="N158" s="7"/>
      <c r="O158" s="18"/>
      <c r="P158" s="72"/>
      <c r="Q158" s="70"/>
    </row>
    <row r="159" spans="1:17" ht="12.75">
      <c r="A159" s="89" t="s">
        <v>311</v>
      </c>
      <c r="B159" s="88">
        <v>2016</v>
      </c>
      <c r="C159" s="136"/>
      <c r="D159" s="104">
        <f>1520.99</f>
        <v>1520.99</v>
      </c>
      <c r="E159" s="236"/>
      <c r="F159" s="274">
        <f t="shared" si="46"/>
        <v>1520.99</v>
      </c>
      <c r="G159" s="287"/>
      <c r="H159" s="320"/>
      <c r="I159" s="256">
        <f t="shared" si="47"/>
        <v>1520.99</v>
      </c>
      <c r="J159" s="21"/>
      <c r="K159" s="7"/>
      <c r="L159" s="65"/>
      <c r="M159" s="127"/>
      <c r="N159" s="7"/>
      <c r="O159" s="18"/>
      <c r="P159" s="72"/>
      <c r="Q159" s="70"/>
    </row>
    <row r="160" spans="1:17" ht="12.75">
      <c r="A160" s="89" t="s">
        <v>332</v>
      </c>
      <c r="B160" s="88">
        <v>2016</v>
      </c>
      <c r="C160" s="136"/>
      <c r="D160" s="104"/>
      <c r="E160" s="236"/>
      <c r="F160" s="274">
        <f t="shared" si="46"/>
        <v>0</v>
      </c>
      <c r="G160" s="287">
        <f>643.52</f>
        <v>643.52</v>
      </c>
      <c r="H160" s="320"/>
      <c r="I160" s="256">
        <f t="shared" si="47"/>
        <v>643.52</v>
      </c>
      <c r="J160" s="21"/>
      <c r="K160" s="7"/>
      <c r="L160" s="65"/>
      <c r="M160" s="127"/>
      <c r="N160" s="7"/>
      <c r="O160" s="18"/>
      <c r="P160" s="72"/>
      <c r="Q160" s="70"/>
    </row>
    <row r="161" spans="1:17" ht="12.75">
      <c r="A161" s="35" t="s">
        <v>333</v>
      </c>
      <c r="B161" s="88">
        <v>2067</v>
      </c>
      <c r="C161" s="136"/>
      <c r="D161" s="104"/>
      <c r="E161" s="236"/>
      <c r="F161" s="274">
        <f t="shared" si="46"/>
        <v>0</v>
      </c>
      <c r="G161" s="287">
        <f>2510.76</f>
        <v>2510.76</v>
      </c>
      <c r="H161" s="320"/>
      <c r="I161" s="256">
        <f t="shared" si="47"/>
        <v>2510.76</v>
      </c>
      <c r="J161" s="21"/>
      <c r="K161" s="7"/>
      <c r="L161" s="65"/>
      <c r="M161" s="127"/>
      <c r="N161" s="7"/>
      <c r="O161" s="18"/>
      <c r="P161" s="72"/>
      <c r="Q161" s="70"/>
    </row>
    <row r="162" spans="1:17" ht="12.75">
      <c r="A162" s="35" t="s">
        <v>348</v>
      </c>
      <c r="B162" s="88">
        <v>2057</v>
      </c>
      <c r="C162" s="136"/>
      <c r="D162" s="104">
        <f>1063.44</f>
        <v>1063.44</v>
      </c>
      <c r="E162" s="236"/>
      <c r="F162" s="274">
        <f t="shared" si="46"/>
        <v>1063.44</v>
      </c>
      <c r="G162" s="287"/>
      <c r="H162" s="320"/>
      <c r="I162" s="256">
        <f t="shared" si="47"/>
        <v>1063.44</v>
      </c>
      <c r="J162" s="21"/>
      <c r="K162" s="7"/>
      <c r="L162" s="65"/>
      <c r="M162" s="127"/>
      <c r="N162" s="7"/>
      <c r="O162" s="18"/>
      <c r="P162" s="72"/>
      <c r="Q162" s="70"/>
    </row>
    <row r="163" spans="1:17" ht="12.75">
      <c r="A163" s="35" t="s">
        <v>349</v>
      </c>
      <c r="B163" s="88">
        <v>2064</v>
      </c>
      <c r="C163" s="136"/>
      <c r="D163" s="104">
        <f>3008.56</f>
        <v>3008.56</v>
      </c>
      <c r="E163" s="236"/>
      <c r="F163" s="274">
        <f t="shared" si="46"/>
        <v>3008.56</v>
      </c>
      <c r="G163" s="287"/>
      <c r="H163" s="320"/>
      <c r="I163" s="256">
        <f t="shared" si="47"/>
        <v>3008.56</v>
      </c>
      <c r="J163" s="21"/>
      <c r="K163" s="7"/>
      <c r="L163" s="65"/>
      <c r="M163" s="127"/>
      <c r="N163" s="7"/>
      <c r="O163" s="18"/>
      <c r="P163" s="72"/>
      <c r="Q163" s="70"/>
    </row>
    <row r="164" spans="1:17" ht="12.75">
      <c r="A164" s="35" t="s">
        <v>324</v>
      </c>
      <c r="B164" s="88">
        <v>2064</v>
      </c>
      <c r="C164" s="136"/>
      <c r="D164" s="104">
        <f>3399.51</f>
        <v>3399.51</v>
      </c>
      <c r="E164" s="236"/>
      <c r="F164" s="274">
        <f t="shared" si="46"/>
        <v>3399.51</v>
      </c>
      <c r="G164" s="287"/>
      <c r="H164" s="320"/>
      <c r="I164" s="256">
        <f t="shared" si="47"/>
        <v>3399.51</v>
      </c>
      <c r="J164" s="21"/>
      <c r="K164" s="7"/>
      <c r="L164" s="65"/>
      <c r="M164" s="127"/>
      <c r="N164" s="7"/>
      <c r="O164" s="18"/>
      <c r="P164" s="72"/>
      <c r="Q164" s="70"/>
    </row>
    <row r="165" spans="1:17" ht="12.75">
      <c r="A165" s="35" t="s">
        <v>329</v>
      </c>
      <c r="B165" s="88">
        <v>2065</v>
      </c>
      <c r="C165" s="136"/>
      <c r="D165" s="104">
        <f>81.93</f>
        <v>81.93</v>
      </c>
      <c r="E165" s="236"/>
      <c r="F165" s="274">
        <f t="shared" si="46"/>
        <v>81.93</v>
      </c>
      <c r="G165" s="287"/>
      <c r="H165" s="320"/>
      <c r="I165" s="256">
        <f t="shared" si="47"/>
        <v>81.93</v>
      </c>
      <c r="J165" s="21"/>
      <c r="K165" s="7"/>
      <c r="L165" s="65"/>
      <c r="M165" s="127"/>
      <c r="N165" s="7"/>
      <c r="O165" s="18"/>
      <c r="P165" s="72"/>
      <c r="Q165" s="70"/>
    </row>
    <row r="166" spans="1:17" ht="12.75">
      <c r="A166" s="89" t="s">
        <v>344</v>
      </c>
      <c r="B166" s="88">
        <v>2065</v>
      </c>
      <c r="C166" s="136"/>
      <c r="D166" s="104"/>
      <c r="E166" s="236"/>
      <c r="F166" s="274">
        <f t="shared" si="46"/>
        <v>0</v>
      </c>
      <c r="G166" s="287">
        <f>1249.89</f>
        <v>1249.89</v>
      </c>
      <c r="H166" s="320"/>
      <c r="I166" s="256">
        <f t="shared" si="47"/>
        <v>1249.89</v>
      </c>
      <c r="J166" s="21"/>
      <c r="K166" s="7"/>
      <c r="L166" s="65"/>
      <c r="M166" s="127"/>
      <c r="N166" s="7"/>
      <c r="O166" s="18"/>
      <c r="P166" s="72"/>
      <c r="Q166" s="70"/>
    </row>
    <row r="167" spans="1:17" ht="12.75">
      <c r="A167" s="89" t="s">
        <v>312</v>
      </c>
      <c r="B167" s="88">
        <v>2058</v>
      </c>
      <c r="C167" s="136"/>
      <c r="D167" s="104">
        <f>537.4</f>
        <v>537.4</v>
      </c>
      <c r="E167" s="236"/>
      <c r="F167" s="274">
        <f t="shared" si="46"/>
        <v>537.4</v>
      </c>
      <c r="G167" s="287"/>
      <c r="H167" s="320"/>
      <c r="I167" s="256">
        <f t="shared" si="47"/>
        <v>537.4</v>
      </c>
      <c r="J167" s="21"/>
      <c r="K167" s="7"/>
      <c r="L167" s="65"/>
      <c r="M167" s="127"/>
      <c r="N167" s="7"/>
      <c r="O167" s="18"/>
      <c r="P167" s="72"/>
      <c r="Q167" s="70"/>
    </row>
    <row r="168" spans="1:17" ht="12.75">
      <c r="A168" s="26" t="s">
        <v>87</v>
      </c>
      <c r="B168" s="88"/>
      <c r="C168" s="136">
        <v>1600</v>
      </c>
      <c r="D168" s="104">
        <f>206+300+802+2236+120+1330+620+650</f>
        <v>6264</v>
      </c>
      <c r="E168" s="236"/>
      <c r="F168" s="274">
        <f t="shared" si="46"/>
        <v>7864</v>
      </c>
      <c r="G168" s="287">
        <f>0.15+120+764.85+13.17+223.9</f>
        <v>1122.07</v>
      </c>
      <c r="H168" s="320"/>
      <c r="I168" s="256">
        <f t="shared" si="47"/>
        <v>8986.07</v>
      </c>
      <c r="J168" s="21"/>
      <c r="K168" s="7"/>
      <c r="L168" s="65"/>
      <c r="M168" s="127"/>
      <c r="N168" s="7"/>
      <c r="O168" s="18"/>
      <c r="P168" s="72"/>
      <c r="Q168" s="70"/>
    </row>
    <row r="169" spans="1:17" ht="12.75">
      <c r="A169" s="33" t="s">
        <v>60</v>
      </c>
      <c r="B169" s="92"/>
      <c r="C169" s="165">
        <f>SUM(C171:C176)</f>
        <v>0</v>
      </c>
      <c r="D169" s="114">
        <f aca="true" t="shared" si="48" ref="D169:Q169">SUM(D171:D176)</f>
        <v>221951.76</v>
      </c>
      <c r="E169" s="242">
        <f t="shared" si="48"/>
        <v>0</v>
      </c>
      <c r="F169" s="278">
        <f t="shared" si="48"/>
        <v>221951.76</v>
      </c>
      <c r="G169" s="293">
        <f t="shared" si="48"/>
        <v>902.88</v>
      </c>
      <c r="H169" s="326">
        <f t="shared" si="48"/>
        <v>1020</v>
      </c>
      <c r="I169" s="261">
        <f t="shared" si="48"/>
        <v>223874.64</v>
      </c>
      <c r="J169" s="165">
        <f t="shared" si="48"/>
        <v>0</v>
      </c>
      <c r="K169" s="114">
        <f t="shared" si="48"/>
        <v>0</v>
      </c>
      <c r="L169" s="184">
        <f t="shared" si="48"/>
        <v>30573.660000000003</v>
      </c>
      <c r="M169" s="155">
        <f t="shared" si="48"/>
        <v>0</v>
      </c>
      <c r="N169" s="113">
        <f t="shared" si="48"/>
        <v>0</v>
      </c>
      <c r="O169" s="113">
        <f t="shared" si="48"/>
        <v>30573.660000000003</v>
      </c>
      <c r="P169" s="113">
        <f t="shared" si="48"/>
        <v>0</v>
      </c>
      <c r="Q169" s="113">
        <f t="shared" si="48"/>
        <v>30573.660000000003</v>
      </c>
    </row>
    <row r="170" spans="1:17" ht="12.75">
      <c r="A170" s="35" t="s">
        <v>27</v>
      </c>
      <c r="B170" s="88"/>
      <c r="C170" s="136"/>
      <c r="D170" s="104"/>
      <c r="E170" s="236"/>
      <c r="F170" s="274"/>
      <c r="G170" s="287"/>
      <c r="H170" s="320"/>
      <c r="I170" s="256"/>
      <c r="J170" s="21"/>
      <c r="K170" s="7"/>
      <c r="L170" s="65"/>
      <c r="M170" s="127"/>
      <c r="N170" s="7"/>
      <c r="O170" s="18"/>
      <c r="P170" s="72"/>
      <c r="Q170" s="70"/>
    </row>
    <row r="171" spans="1:17" ht="12.75">
      <c r="A171" s="35" t="s">
        <v>350</v>
      </c>
      <c r="B171" s="88">
        <v>2057</v>
      </c>
      <c r="C171" s="136"/>
      <c r="D171" s="104">
        <f>28487.47+43.31+120</f>
        <v>28650.780000000002</v>
      </c>
      <c r="E171" s="236"/>
      <c r="F171" s="274">
        <f aca="true" t="shared" si="49" ref="F171:F176">C171+D171+E171</f>
        <v>28650.780000000002</v>
      </c>
      <c r="G171" s="287">
        <f>95.88</f>
        <v>95.88</v>
      </c>
      <c r="H171" s="320"/>
      <c r="I171" s="256">
        <f aca="true" t="shared" si="50" ref="I171:I176">F171+G171+H171</f>
        <v>28746.660000000003</v>
      </c>
      <c r="J171" s="21"/>
      <c r="K171" s="7"/>
      <c r="L171" s="65">
        <f>I171+J171+K171</f>
        <v>28746.660000000003</v>
      </c>
      <c r="M171" s="127"/>
      <c r="N171" s="7"/>
      <c r="O171" s="18">
        <f>L171+M171+N171</f>
        <v>28746.660000000003</v>
      </c>
      <c r="P171" s="72"/>
      <c r="Q171" s="70">
        <f aca="true" t="shared" si="51" ref="Q171:Q222">O171+P171</f>
        <v>28746.660000000003</v>
      </c>
    </row>
    <row r="172" spans="1:17" ht="12.75">
      <c r="A172" s="35" t="s">
        <v>349</v>
      </c>
      <c r="B172" s="88">
        <v>2064</v>
      </c>
      <c r="C172" s="136"/>
      <c r="D172" s="104">
        <f>96650.49</f>
        <v>96650.49</v>
      </c>
      <c r="E172" s="236"/>
      <c r="F172" s="274">
        <f t="shared" si="49"/>
        <v>96650.49</v>
      </c>
      <c r="G172" s="287"/>
      <c r="H172" s="320"/>
      <c r="I172" s="256">
        <f t="shared" si="50"/>
        <v>96650.49</v>
      </c>
      <c r="J172" s="21"/>
      <c r="K172" s="7"/>
      <c r="L172" s="65"/>
      <c r="M172" s="127"/>
      <c r="N172" s="7"/>
      <c r="O172" s="18"/>
      <c r="P172" s="72"/>
      <c r="Q172" s="70"/>
    </row>
    <row r="173" spans="1:17" ht="12.75">
      <c r="A173" s="35" t="s">
        <v>324</v>
      </c>
      <c r="B173" s="88">
        <v>2064</v>
      </c>
      <c r="C173" s="136"/>
      <c r="D173" s="104">
        <f>96650.49</f>
        <v>96650.49</v>
      </c>
      <c r="E173" s="236"/>
      <c r="F173" s="274">
        <f t="shared" si="49"/>
        <v>96650.49</v>
      </c>
      <c r="G173" s="287"/>
      <c r="H173" s="320"/>
      <c r="I173" s="256">
        <f t="shared" si="50"/>
        <v>96650.49</v>
      </c>
      <c r="J173" s="21"/>
      <c r="K173" s="7"/>
      <c r="L173" s="65"/>
      <c r="M173" s="127"/>
      <c r="N173" s="7"/>
      <c r="O173" s="18"/>
      <c r="P173" s="72"/>
      <c r="Q173" s="70"/>
    </row>
    <row r="174" spans="1:17" ht="12.75" hidden="1">
      <c r="A174" s="26" t="s">
        <v>75</v>
      </c>
      <c r="B174" s="88"/>
      <c r="C174" s="136"/>
      <c r="D174" s="104"/>
      <c r="E174" s="236"/>
      <c r="F174" s="274">
        <f t="shared" si="49"/>
        <v>0</v>
      </c>
      <c r="G174" s="287"/>
      <c r="H174" s="320"/>
      <c r="I174" s="256">
        <f t="shared" si="50"/>
        <v>0</v>
      </c>
      <c r="J174" s="21"/>
      <c r="K174" s="7"/>
      <c r="L174" s="65">
        <f>I174+J174+K174</f>
        <v>0</v>
      </c>
      <c r="M174" s="127"/>
      <c r="N174" s="7"/>
      <c r="O174" s="18">
        <f>L174+M174+N174</f>
        <v>0</v>
      </c>
      <c r="P174" s="72"/>
      <c r="Q174" s="70">
        <f t="shared" si="51"/>
        <v>0</v>
      </c>
    </row>
    <row r="175" spans="1:17" ht="13.5" thickBot="1">
      <c r="A175" s="207" t="s">
        <v>61</v>
      </c>
      <c r="B175" s="133"/>
      <c r="C175" s="166"/>
      <c r="D175" s="134"/>
      <c r="E175" s="268"/>
      <c r="F175" s="280">
        <f t="shared" si="49"/>
        <v>0</v>
      </c>
      <c r="G175" s="315">
        <f>500+307</f>
        <v>807</v>
      </c>
      <c r="H175" s="325">
        <f>1020</f>
        <v>1020</v>
      </c>
      <c r="I175" s="317">
        <f t="shared" si="50"/>
        <v>1827</v>
      </c>
      <c r="J175" s="21"/>
      <c r="K175" s="7"/>
      <c r="L175" s="65">
        <f>I175+J175+K175</f>
        <v>1827</v>
      </c>
      <c r="M175" s="127"/>
      <c r="N175" s="7"/>
      <c r="O175" s="18">
        <f>L175+M175+N175</f>
        <v>1827</v>
      </c>
      <c r="P175" s="72"/>
      <c r="Q175" s="70">
        <f t="shared" si="51"/>
        <v>1827</v>
      </c>
    </row>
    <row r="176" spans="1:17" ht="12.75" hidden="1">
      <c r="A176" s="29" t="s">
        <v>87</v>
      </c>
      <c r="B176" s="91"/>
      <c r="C176" s="164"/>
      <c r="D176" s="112"/>
      <c r="E176" s="267"/>
      <c r="F176" s="279">
        <f t="shared" si="49"/>
        <v>0</v>
      </c>
      <c r="G176" s="294"/>
      <c r="H176" s="318"/>
      <c r="I176" s="262">
        <f t="shared" si="50"/>
        <v>0</v>
      </c>
      <c r="J176" s="199"/>
      <c r="K176" s="10"/>
      <c r="L176" s="64">
        <f>I176+J176+K176</f>
        <v>0</v>
      </c>
      <c r="M176" s="214"/>
      <c r="N176" s="10"/>
      <c r="O176" s="20">
        <f>L176+M176+N176</f>
        <v>0</v>
      </c>
      <c r="P176" s="75"/>
      <c r="Q176" s="76">
        <f t="shared" si="51"/>
        <v>0</v>
      </c>
    </row>
    <row r="177" spans="1:17" ht="12.75">
      <c r="A177" s="23" t="s">
        <v>92</v>
      </c>
      <c r="B177" s="92"/>
      <c r="C177" s="143">
        <f aca="true" t="shared" si="52" ref="C177:Q177">C178+C215</f>
        <v>363327.89999999997</v>
      </c>
      <c r="D177" s="103">
        <f t="shared" si="52"/>
        <v>5961285.180000001</v>
      </c>
      <c r="E177" s="233">
        <f t="shared" si="52"/>
        <v>0</v>
      </c>
      <c r="F177" s="254">
        <f t="shared" si="52"/>
        <v>6324613.080000001</v>
      </c>
      <c r="G177" s="286">
        <f t="shared" si="52"/>
        <v>104415.62</v>
      </c>
      <c r="H177" s="319">
        <f t="shared" si="52"/>
        <v>0</v>
      </c>
      <c r="I177" s="257">
        <f t="shared" si="52"/>
        <v>6429028.700000001</v>
      </c>
      <c r="J177" s="143">
        <f t="shared" si="52"/>
        <v>0</v>
      </c>
      <c r="K177" s="103">
        <f t="shared" si="52"/>
        <v>0</v>
      </c>
      <c r="L177" s="158">
        <f t="shared" si="52"/>
        <v>6392407.68</v>
      </c>
      <c r="M177" s="128">
        <f t="shared" si="52"/>
        <v>0</v>
      </c>
      <c r="N177" s="102">
        <f t="shared" si="52"/>
        <v>0</v>
      </c>
      <c r="O177" s="102">
        <f t="shared" si="52"/>
        <v>6392407.68</v>
      </c>
      <c r="P177" s="102">
        <f t="shared" si="52"/>
        <v>0</v>
      </c>
      <c r="Q177" s="102">
        <f t="shared" si="52"/>
        <v>6392407.68</v>
      </c>
    </row>
    <row r="178" spans="1:17" ht="12.75">
      <c r="A178" s="32" t="s">
        <v>55</v>
      </c>
      <c r="B178" s="92"/>
      <c r="C178" s="163">
        <f aca="true" t="shared" si="53" ref="C178:Q178">SUM(C180:C214)</f>
        <v>363327.89999999997</v>
      </c>
      <c r="D178" s="111">
        <f t="shared" si="53"/>
        <v>5946864.95</v>
      </c>
      <c r="E178" s="241">
        <f t="shared" si="53"/>
        <v>0</v>
      </c>
      <c r="F178" s="277">
        <f t="shared" si="53"/>
        <v>6310192.850000001</v>
      </c>
      <c r="G178" s="291">
        <f t="shared" si="53"/>
        <v>99148.62</v>
      </c>
      <c r="H178" s="324">
        <f t="shared" si="53"/>
        <v>0</v>
      </c>
      <c r="I178" s="260">
        <f t="shared" si="53"/>
        <v>6409341.470000001</v>
      </c>
      <c r="J178" s="163">
        <f t="shared" si="53"/>
        <v>0</v>
      </c>
      <c r="K178" s="111">
        <f t="shared" si="53"/>
        <v>0</v>
      </c>
      <c r="L178" s="183">
        <f t="shared" si="53"/>
        <v>6372793.38</v>
      </c>
      <c r="M178" s="154">
        <f t="shared" si="53"/>
        <v>0</v>
      </c>
      <c r="N178" s="110">
        <f t="shared" si="53"/>
        <v>0</v>
      </c>
      <c r="O178" s="110">
        <f t="shared" si="53"/>
        <v>6372793.38</v>
      </c>
      <c r="P178" s="110">
        <f t="shared" si="53"/>
        <v>0</v>
      </c>
      <c r="Q178" s="110">
        <f t="shared" si="53"/>
        <v>6372793.38</v>
      </c>
    </row>
    <row r="179" spans="1:17" ht="12.75">
      <c r="A179" s="24" t="s">
        <v>27</v>
      </c>
      <c r="B179" s="88"/>
      <c r="C179" s="136"/>
      <c r="D179" s="104"/>
      <c r="E179" s="236"/>
      <c r="F179" s="274"/>
      <c r="G179" s="287"/>
      <c r="H179" s="320"/>
      <c r="I179" s="256"/>
      <c r="J179" s="21"/>
      <c r="K179" s="7"/>
      <c r="L179" s="65"/>
      <c r="M179" s="127"/>
      <c r="N179" s="7"/>
      <c r="O179" s="18"/>
      <c r="P179" s="72"/>
      <c r="Q179" s="70"/>
    </row>
    <row r="180" spans="1:17" ht="12.75">
      <c r="A180" s="30" t="s">
        <v>83</v>
      </c>
      <c r="B180" s="88"/>
      <c r="C180" s="136">
        <v>334848.8</v>
      </c>
      <c r="D180" s="104">
        <f>537.8+1348.51+183.4+5587.9+2483.8+6000</f>
        <v>16141.41</v>
      </c>
      <c r="E180" s="236"/>
      <c r="F180" s="274">
        <f aca="true" t="shared" si="54" ref="F180:F214">C180+D180+E180</f>
        <v>350990.20999999996</v>
      </c>
      <c r="G180" s="287">
        <f>5136.29+6893.7</f>
        <v>12029.99</v>
      </c>
      <c r="H180" s="320"/>
      <c r="I180" s="256">
        <f>F180+G180+H180</f>
        <v>363020.19999999995</v>
      </c>
      <c r="J180" s="21"/>
      <c r="K180" s="7"/>
      <c r="L180" s="65">
        <f>I180+J180+K180</f>
        <v>363020.19999999995</v>
      </c>
      <c r="M180" s="127"/>
      <c r="N180" s="7"/>
      <c r="O180" s="18">
        <f>L180+M180+N180</f>
        <v>363020.19999999995</v>
      </c>
      <c r="P180" s="72"/>
      <c r="Q180" s="70">
        <f t="shared" si="51"/>
        <v>363020.19999999995</v>
      </c>
    </row>
    <row r="181" spans="1:17" ht="12.75">
      <c r="A181" s="30" t="s">
        <v>260</v>
      </c>
      <c r="B181" s="88"/>
      <c r="C181" s="136"/>
      <c r="D181" s="104"/>
      <c r="E181" s="236"/>
      <c r="F181" s="274"/>
      <c r="G181" s="287"/>
      <c r="H181" s="320"/>
      <c r="I181" s="256"/>
      <c r="J181" s="21"/>
      <c r="K181" s="7"/>
      <c r="L181" s="65"/>
      <c r="M181" s="127"/>
      <c r="N181" s="7"/>
      <c r="O181" s="18"/>
      <c r="P181" s="72"/>
      <c r="Q181" s="70"/>
    </row>
    <row r="182" spans="1:17" ht="12.75">
      <c r="A182" s="30" t="s">
        <v>93</v>
      </c>
      <c r="B182" s="88">
        <v>33353</v>
      </c>
      <c r="C182" s="136"/>
      <c r="D182" s="115">
        <f>1790480.88+450.59</f>
        <v>1790931.47</v>
      </c>
      <c r="E182" s="236"/>
      <c r="F182" s="274">
        <f t="shared" si="54"/>
        <v>1790931.47</v>
      </c>
      <c r="G182" s="287">
        <f>93.39-2.72+49</f>
        <v>139.67000000000002</v>
      </c>
      <c r="H182" s="320"/>
      <c r="I182" s="256">
        <f aca="true" t="shared" si="55" ref="I182:I214">F182+G182+H182</f>
        <v>1791071.14</v>
      </c>
      <c r="J182" s="21"/>
      <c r="K182" s="7"/>
      <c r="L182" s="65">
        <f aca="true" t="shared" si="56" ref="L182:L214">I182+J182+K182</f>
        <v>1791071.14</v>
      </c>
      <c r="M182" s="127"/>
      <c r="N182" s="7"/>
      <c r="O182" s="18">
        <f aca="true" t="shared" si="57" ref="O182:O214">L182+M182+N182</f>
        <v>1791071.14</v>
      </c>
      <c r="P182" s="72"/>
      <c r="Q182" s="70">
        <f t="shared" si="51"/>
        <v>1791071.14</v>
      </c>
    </row>
    <row r="183" spans="1:17" ht="12.75">
      <c r="A183" s="30" t="s">
        <v>95</v>
      </c>
      <c r="B183" s="88">
        <v>33353</v>
      </c>
      <c r="C183" s="136"/>
      <c r="D183" s="104">
        <f>4015715.59+8677.98</f>
        <v>4024393.57</v>
      </c>
      <c r="E183" s="236"/>
      <c r="F183" s="274">
        <f t="shared" si="54"/>
        <v>4024393.57</v>
      </c>
      <c r="G183" s="296">
        <f>5131.21+5662.67+2806.25</f>
        <v>13600.130000000001</v>
      </c>
      <c r="H183" s="320"/>
      <c r="I183" s="256">
        <f t="shared" si="55"/>
        <v>4037993.6999999997</v>
      </c>
      <c r="J183" s="21"/>
      <c r="K183" s="7"/>
      <c r="L183" s="65">
        <f t="shared" si="56"/>
        <v>4037993.6999999997</v>
      </c>
      <c r="M183" s="127"/>
      <c r="N183" s="7"/>
      <c r="O183" s="18">
        <f t="shared" si="57"/>
        <v>4037993.6999999997</v>
      </c>
      <c r="P183" s="72"/>
      <c r="Q183" s="70">
        <f t="shared" si="51"/>
        <v>4037993.6999999997</v>
      </c>
    </row>
    <row r="184" spans="1:17" ht="12.75">
      <c r="A184" s="30" t="s">
        <v>94</v>
      </c>
      <c r="B184" s="88">
        <v>33155</v>
      </c>
      <c r="C184" s="136"/>
      <c r="D184" s="115">
        <f>71282.48</f>
        <v>71282.48</v>
      </c>
      <c r="E184" s="236"/>
      <c r="F184" s="274">
        <f t="shared" si="54"/>
        <v>71282.48</v>
      </c>
      <c r="G184" s="287">
        <f>72228.5</f>
        <v>72228.5</v>
      </c>
      <c r="H184" s="320"/>
      <c r="I184" s="256">
        <f t="shared" si="55"/>
        <v>143510.97999999998</v>
      </c>
      <c r="J184" s="21"/>
      <c r="K184" s="7"/>
      <c r="L184" s="65">
        <f t="shared" si="56"/>
        <v>143510.97999999998</v>
      </c>
      <c r="M184" s="127"/>
      <c r="N184" s="7"/>
      <c r="O184" s="18">
        <f t="shared" si="57"/>
        <v>143510.97999999998</v>
      </c>
      <c r="P184" s="72"/>
      <c r="Q184" s="70">
        <f t="shared" si="51"/>
        <v>143510.97999999998</v>
      </c>
    </row>
    <row r="185" spans="1:17" ht="12.75" hidden="1">
      <c r="A185" s="30" t="s">
        <v>96</v>
      </c>
      <c r="B185" s="88" t="s">
        <v>243</v>
      </c>
      <c r="C185" s="136"/>
      <c r="D185" s="104"/>
      <c r="E185" s="236"/>
      <c r="F185" s="274">
        <f t="shared" si="54"/>
        <v>0</v>
      </c>
      <c r="G185" s="287"/>
      <c r="H185" s="320"/>
      <c r="I185" s="256">
        <f t="shared" si="55"/>
        <v>0</v>
      </c>
      <c r="J185" s="21"/>
      <c r="K185" s="7"/>
      <c r="L185" s="65">
        <f t="shared" si="56"/>
        <v>0</v>
      </c>
      <c r="M185" s="127"/>
      <c r="N185" s="7"/>
      <c r="O185" s="18">
        <f t="shared" si="57"/>
        <v>0</v>
      </c>
      <c r="P185" s="72"/>
      <c r="Q185" s="70">
        <f t="shared" si="51"/>
        <v>0</v>
      </c>
    </row>
    <row r="186" spans="1:17" ht="12.75" hidden="1">
      <c r="A186" s="30" t="s">
        <v>152</v>
      </c>
      <c r="B186" s="88"/>
      <c r="C186" s="136"/>
      <c r="D186" s="104"/>
      <c r="E186" s="236"/>
      <c r="F186" s="274">
        <f t="shared" si="54"/>
        <v>0</v>
      </c>
      <c r="G186" s="287"/>
      <c r="H186" s="320"/>
      <c r="I186" s="256">
        <f t="shared" si="55"/>
        <v>0</v>
      </c>
      <c r="J186" s="21"/>
      <c r="K186" s="7"/>
      <c r="L186" s="65">
        <f t="shared" si="56"/>
        <v>0</v>
      </c>
      <c r="M186" s="127"/>
      <c r="N186" s="7"/>
      <c r="O186" s="18">
        <f t="shared" si="57"/>
        <v>0</v>
      </c>
      <c r="P186" s="72"/>
      <c r="Q186" s="70">
        <f t="shared" si="51"/>
        <v>0</v>
      </c>
    </row>
    <row r="187" spans="1:17" ht="12.75">
      <c r="A187" s="30" t="s">
        <v>239</v>
      </c>
      <c r="B187" s="88">
        <v>33215</v>
      </c>
      <c r="C187" s="136"/>
      <c r="D187" s="104">
        <f>482.38</f>
        <v>482.38</v>
      </c>
      <c r="E187" s="236"/>
      <c r="F187" s="274">
        <f t="shared" si="54"/>
        <v>482.38</v>
      </c>
      <c r="G187" s="287"/>
      <c r="H187" s="320"/>
      <c r="I187" s="256">
        <f t="shared" si="55"/>
        <v>482.38</v>
      </c>
      <c r="J187" s="21"/>
      <c r="K187" s="7"/>
      <c r="L187" s="65">
        <f t="shared" si="56"/>
        <v>482.38</v>
      </c>
      <c r="M187" s="127"/>
      <c r="N187" s="7"/>
      <c r="O187" s="18">
        <f t="shared" si="57"/>
        <v>482.38</v>
      </c>
      <c r="P187" s="72"/>
      <c r="Q187" s="70">
        <f t="shared" si="51"/>
        <v>482.38</v>
      </c>
    </row>
    <row r="188" spans="1:17" ht="12.75">
      <c r="A188" s="30" t="s">
        <v>240</v>
      </c>
      <c r="B188" s="88">
        <v>33457</v>
      </c>
      <c r="C188" s="136"/>
      <c r="D188" s="104">
        <f>3261.32</f>
        <v>3261.32</v>
      </c>
      <c r="E188" s="236"/>
      <c r="F188" s="274">
        <f t="shared" si="54"/>
        <v>3261.32</v>
      </c>
      <c r="G188" s="287"/>
      <c r="H188" s="320"/>
      <c r="I188" s="256">
        <f t="shared" si="55"/>
        <v>3261.32</v>
      </c>
      <c r="J188" s="21"/>
      <c r="K188" s="7"/>
      <c r="L188" s="65">
        <f t="shared" si="56"/>
        <v>3261.32</v>
      </c>
      <c r="M188" s="127"/>
      <c r="N188" s="7"/>
      <c r="O188" s="18">
        <f t="shared" si="57"/>
        <v>3261.32</v>
      </c>
      <c r="P188" s="72"/>
      <c r="Q188" s="70">
        <f t="shared" si="51"/>
        <v>3261.32</v>
      </c>
    </row>
    <row r="189" spans="1:17" ht="12.75" hidden="1">
      <c r="A189" s="48" t="s">
        <v>220</v>
      </c>
      <c r="B189" s="88">
        <v>33052</v>
      </c>
      <c r="C189" s="136"/>
      <c r="D189" s="104"/>
      <c r="E189" s="236"/>
      <c r="F189" s="274">
        <f t="shared" si="54"/>
        <v>0</v>
      </c>
      <c r="G189" s="287"/>
      <c r="H189" s="320"/>
      <c r="I189" s="256">
        <f t="shared" si="55"/>
        <v>0</v>
      </c>
      <c r="J189" s="21"/>
      <c r="K189" s="7"/>
      <c r="L189" s="65">
        <f t="shared" si="56"/>
        <v>0</v>
      </c>
      <c r="M189" s="127"/>
      <c r="N189" s="7"/>
      <c r="O189" s="18">
        <f t="shared" si="57"/>
        <v>0</v>
      </c>
      <c r="P189" s="72"/>
      <c r="Q189" s="70">
        <f t="shared" si="51"/>
        <v>0</v>
      </c>
    </row>
    <row r="190" spans="1:17" ht="12.75">
      <c r="A190" s="48" t="s">
        <v>261</v>
      </c>
      <c r="B190" s="88">
        <v>33069</v>
      </c>
      <c r="C190" s="136"/>
      <c r="D190" s="104">
        <f>10259.23</f>
        <v>10259.23</v>
      </c>
      <c r="E190" s="236"/>
      <c r="F190" s="274">
        <f t="shared" si="54"/>
        <v>10259.23</v>
      </c>
      <c r="G190" s="287"/>
      <c r="H190" s="320"/>
      <c r="I190" s="256">
        <f t="shared" si="55"/>
        <v>10259.23</v>
      </c>
      <c r="J190" s="21"/>
      <c r="K190" s="7"/>
      <c r="L190" s="65"/>
      <c r="M190" s="127"/>
      <c r="N190" s="7"/>
      <c r="O190" s="18"/>
      <c r="P190" s="72"/>
      <c r="Q190" s="70"/>
    </row>
    <row r="191" spans="1:17" ht="12.75">
      <c r="A191" s="48" t="s">
        <v>317</v>
      </c>
      <c r="B191" s="88">
        <v>33070</v>
      </c>
      <c r="C191" s="136"/>
      <c r="D191" s="104">
        <f>2043.37</f>
        <v>2043.37</v>
      </c>
      <c r="E191" s="236"/>
      <c r="F191" s="274">
        <f t="shared" si="54"/>
        <v>2043.37</v>
      </c>
      <c r="G191" s="287"/>
      <c r="H191" s="320"/>
      <c r="I191" s="256">
        <f t="shared" si="55"/>
        <v>2043.37</v>
      </c>
      <c r="J191" s="21"/>
      <c r="K191" s="7"/>
      <c r="L191" s="65"/>
      <c r="M191" s="127"/>
      <c r="N191" s="7"/>
      <c r="O191" s="18"/>
      <c r="P191" s="72"/>
      <c r="Q191" s="70"/>
    </row>
    <row r="192" spans="1:17" ht="12.75">
      <c r="A192" s="30" t="s">
        <v>300</v>
      </c>
      <c r="B192" s="88">
        <v>33071</v>
      </c>
      <c r="C192" s="136"/>
      <c r="D192" s="104">
        <f>612.5</f>
        <v>612.5</v>
      </c>
      <c r="E192" s="236"/>
      <c r="F192" s="274">
        <f t="shared" si="54"/>
        <v>612.5</v>
      </c>
      <c r="G192" s="287"/>
      <c r="H192" s="320"/>
      <c r="I192" s="256">
        <f t="shared" si="55"/>
        <v>612.5</v>
      </c>
      <c r="J192" s="21"/>
      <c r="K192" s="7"/>
      <c r="L192" s="65">
        <f t="shared" si="56"/>
        <v>612.5</v>
      </c>
      <c r="M192" s="127"/>
      <c r="N192" s="7"/>
      <c r="O192" s="18">
        <f t="shared" si="57"/>
        <v>612.5</v>
      </c>
      <c r="P192" s="72"/>
      <c r="Q192" s="70">
        <f t="shared" si="51"/>
        <v>612.5</v>
      </c>
    </row>
    <row r="193" spans="1:17" ht="12.75" hidden="1">
      <c r="A193" s="30" t="s">
        <v>221</v>
      </c>
      <c r="B193" s="88">
        <v>33050</v>
      </c>
      <c r="C193" s="136"/>
      <c r="D193" s="104"/>
      <c r="E193" s="236"/>
      <c r="F193" s="274">
        <f t="shared" si="54"/>
        <v>0</v>
      </c>
      <c r="G193" s="287"/>
      <c r="H193" s="320"/>
      <c r="I193" s="256">
        <f t="shared" si="55"/>
        <v>0</v>
      </c>
      <c r="J193" s="21"/>
      <c r="K193" s="7"/>
      <c r="L193" s="65">
        <f t="shared" si="56"/>
        <v>0</v>
      </c>
      <c r="M193" s="127"/>
      <c r="N193" s="7"/>
      <c r="O193" s="18">
        <f t="shared" si="57"/>
        <v>0</v>
      </c>
      <c r="P193" s="72"/>
      <c r="Q193" s="70">
        <f t="shared" si="51"/>
        <v>0</v>
      </c>
    </row>
    <row r="194" spans="1:17" ht="12.75">
      <c r="A194" s="30" t="s">
        <v>337</v>
      </c>
      <c r="B194" s="88">
        <v>33435</v>
      </c>
      <c r="C194" s="136"/>
      <c r="D194" s="104"/>
      <c r="E194" s="236"/>
      <c r="F194" s="274">
        <f t="shared" si="54"/>
        <v>0</v>
      </c>
      <c r="G194" s="287">
        <f>720.53+160.14-54.14</f>
        <v>826.53</v>
      </c>
      <c r="H194" s="320"/>
      <c r="I194" s="256">
        <f t="shared" si="55"/>
        <v>826.53</v>
      </c>
      <c r="J194" s="21"/>
      <c r="K194" s="7"/>
      <c r="L194" s="65">
        <f t="shared" si="56"/>
        <v>826.53</v>
      </c>
      <c r="M194" s="127"/>
      <c r="N194" s="7"/>
      <c r="O194" s="18">
        <f t="shared" si="57"/>
        <v>826.53</v>
      </c>
      <c r="P194" s="72"/>
      <c r="Q194" s="70">
        <f t="shared" si="51"/>
        <v>826.53</v>
      </c>
    </row>
    <row r="195" spans="1:17" ht="12.75">
      <c r="A195" s="30" t="s">
        <v>247</v>
      </c>
      <c r="B195" s="88">
        <v>33049</v>
      </c>
      <c r="C195" s="136"/>
      <c r="D195" s="104">
        <f>5938</f>
        <v>5938</v>
      </c>
      <c r="E195" s="236"/>
      <c r="F195" s="274">
        <f t="shared" si="54"/>
        <v>5938</v>
      </c>
      <c r="G195" s="287"/>
      <c r="H195" s="320"/>
      <c r="I195" s="256">
        <f t="shared" si="55"/>
        <v>5938</v>
      </c>
      <c r="J195" s="21"/>
      <c r="K195" s="7"/>
      <c r="L195" s="65"/>
      <c r="M195" s="127"/>
      <c r="N195" s="7"/>
      <c r="O195" s="18"/>
      <c r="P195" s="72"/>
      <c r="Q195" s="70"/>
    </row>
    <row r="196" spans="1:17" ht="12.75" hidden="1">
      <c r="A196" s="30" t="s">
        <v>222</v>
      </c>
      <c r="B196" s="88">
        <v>33044</v>
      </c>
      <c r="C196" s="136"/>
      <c r="D196" s="104"/>
      <c r="E196" s="236"/>
      <c r="F196" s="274">
        <f t="shared" si="54"/>
        <v>0</v>
      </c>
      <c r="G196" s="287"/>
      <c r="H196" s="320"/>
      <c r="I196" s="256">
        <f t="shared" si="55"/>
        <v>0</v>
      </c>
      <c r="J196" s="21"/>
      <c r="K196" s="7"/>
      <c r="L196" s="65">
        <f t="shared" si="56"/>
        <v>0</v>
      </c>
      <c r="M196" s="127"/>
      <c r="N196" s="7"/>
      <c r="O196" s="18">
        <f t="shared" si="57"/>
        <v>0</v>
      </c>
      <c r="P196" s="72"/>
      <c r="Q196" s="70">
        <f t="shared" si="51"/>
        <v>0</v>
      </c>
    </row>
    <row r="197" spans="1:17" ht="12.75">
      <c r="A197" s="30" t="s">
        <v>336</v>
      </c>
      <c r="B197" s="88">
        <v>33024</v>
      </c>
      <c r="C197" s="136"/>
      <c r="D197" s="104"/>
      <c r="E197" s="236"/>
      <c r="F197" s="274">
        <f t="shared" si="54"/>
        <v>0</v>
      </c>
      <c r="G197" s="287">
        <f>546.71-60.39</f>
        <v>486.32000000000005</v>
      </c>
      <c r="H197" s="320"/>
      <c r="I197" s="256">
        <f t="shared" si="55"/>
        <v>486.32000000000005</v>
      </c>
      <c r="J197" s="21"/>
      <c r="K197" s="7"/>
      <c r="L197" s="65"/>
      <c r="M197" s="127"/>
      <c r="N197" s="7"/>
      <c r="O197" s="18"/>
      <c r="P197" s="72"/>
      <c r="Q197" s="70"/>
    </row>
    <row r="198" spans="1:17" ht="12.75" hidden="1">
      <c r="A198" s="48" t="s">
        <v>170</v>
      </c>
      <c r="B198" s="88">
        <v>33018</v>
      </c>
      <c r="C198" s="136"/>
      <c r="D198" s="104"/>
      <c r="E198" s="236"/>
      <c r="F198" s="274">
        <f t="shared" si="54"/>
        <v>0</v>
      </c>
      <c r="G198" s="287"/>
      <c r="H198" s="320"/>
      <c r="I198" s="256">
        <f t="shared" si="55"/>
        <v>0</v>
      </c>
      <c r="J198" s="21"/>
      <c r="K198" s="7"/>
      <c r="L198" s="65">
        <f t="shared" si="56"/>
        <v>0</v>
      </c>
      <c r="M198" s="127"/>
      <c r="N198" s="7"/>
      <c r="O198" s="18">
        <f t="shared" si="57"/>
        <v>0</v>
      </c>
      <c r="P198" s="72"/>
      <c r="Q198" s="70">
        <f t="shared" si="51"/>
        <v>0</v>
      </c>
    </row>
    <row r="199" spans="1:17" ht="12.75" hidden="1">
      <c r="A199" s="28" t="s">
        <v>171</v>
      </c>
      <c r="B199" s="88"/>
      <c r="C199" s="136"/>
      <c r="D199" s="104"/>
      <c r="E199" s="236"/>
      <c r="F199" s="274">
        <f t="shared" si="54"/>
        <v>0</v>
      </c>
      <c r="G199" s="287"/>
      <c r="H199" s="320"/>
      <c r="I199" s="256">
        <f t="shared" si="55"/>
        <v>0</v>
      </c>
      <c r="J199" s="21"/>
      <c r="K199" s="7"/>
      <c r="L199" s="65">
        <f t="shared" si="56"/>
        <v>0</v>
      </c>
      <c r="M199" s="127"/>
      <c r="N199" s="7"/>
      <c r="O199" s="18">
        <f t="shared" si="57"/>
        <v>0</v>
      </c>
      <c r="P199" s="72"/>
      <c r="Q199" s="70">
        <f t="shared" si="51"/>
        <v>0</v>
      </c>
    </row>
    <row r="200" spans="1:17" ht="12.75">
      <c r="A200" s="48" t="s">
        <v>198</v>
      </c>
      <c r="B200" s="88">
        <v>33160</v>
      </c>
      <c r="C200" s="136"/>
      <c r="D200" s="104"/>
      <c r="E200" s="236"/>
      <c r="F200" s="274">
        <f t="shared" si="54"/>
        <v>0</v>
      </c>
      <c r="G200" s="287">
        <f>271.7</f>
        <v>271.7</v>
      </c>
      <c r="H200" s="320"/>
      <c r="I200" s="256">
        <f t="shared" si="55"/>
        <v>271.7</v>
      </c>
      <c r="J200" s="21"/>
      <c r="K200" s="7"/>
      <c r="L200" s="65">
        <f t="shared" si="56"/>
        <v>271.7</v>
      </c>
      <c r="M200" s="127"/>
      <c r="N200" s="7"/>
      <c r="O200" s="18">
        <f t="shared" si="57"/>
        <v>271.7</v>
      </c>
      <c r="P200" s="72"/>
      <c r="Q200" s="70">
        <f t="shared" si="51"/>
        <v>271.7</v>
      </c>
    </row>
    <row r="201" spans="1:17" ht="12.75" hidden="1">
      <c r="A201" s="30" t="s">
        <v>158</v>
      </c>
      <c r="B201" s="88"/>
      <c r="C201" s="136"/>
      <c r="D201" s="104"/>
      <c r="E201" s="236"/>
      <c r="F201" s="274">
        <f t="shared" si="54"/>
        <v>0</v>
      </c>
      <c r="G201" s="287"/>
      <c r="H201" s="320"/>
      <c r="I201" s="256">
        <f t="shared" si="55"/>
        <v>0</v>
      </c>
      <c r="J201" s="21"/>
      <c r="K201" s="7"/>
      <c r="L201" s="65">
        <f t="shared" si="56"/>
        <v>0</v>
      </c>
      <c r="M201" s="127"/>
      <c r="N201" s="7"/>
      <c r="O201" s="18">
        <f t="shared" si="57"/>
        <v>0</v>
      </c>
      <c r="P201" s="72"/>
      <c r="Q201" s="70">
        <f t="shared" si="51"/>
        <v>0</v>
      </c>
    </row>
    <row r="202" spans="1:17" ht="12.75" hidden="1">
      <c r="A202" s="48" t="s">
        <v>147</v>
      </c>
      <c r="B202" s="88"/>
      <c r="C202" s="136"/>
      <c r="D202" s="104"/>
      <c r="E202" s="236"/>
      <c r="F202" s="274">
        <f t="shared" si="54"/>
        <v>0</v>
      </c>
      <c r="G202" s="287"/>
      <c r="H202" s="320"/>
      <c r="I202" s="256">
        <f t="shared" si="55"/>
        <v>0</v>
      </c>
      <c r="J202" s="21"/>
      <c r="K202" s="7"/>
      <c r="L202" s="65">
        <f t="shared" si="56"/>
        <v>0</v>
      </c>
      <c r="M202" s="127"/>
      <c r="N202" s="7"/>
      <c r="O202" s="18">
        <f t="shared" si="57"/>
        <v>0</v>
      </c>
      <c r="P202" s="72"/>
      <c r="Q202" s="70">
        <f t="shared" si="51"/>
        <v>0</v>
      </c>
    </row>
    <row r="203" spans="1:17" ht="12.75" hidden="1">
      <c r="A203" s="48" t="s">
        <v>157</v>
      </c>
      <c r="B203" s="88"/>
      <c r="C203" s="136"/>
      <c r="D203" s="104"/>
      <c r="E203" s="236"/>
      <c r="F203" s="274">
        <f t="shared" si="54"/>
        <v>0</v>
      </c>
      <c r="G203" s="287"/>
      <c r="H203" s="320"/>
      <c r="I203" s="256">
        <f t="shared" si="55"/>
        <v>0</v>
      </c>
      <c r="J203" s="21"/>
      <c r="K203" s="7"/>
      <c r="L203" s="65">
        <f t="shared" si="56"/>
        <v>0</v>
      </c>
      <c r="M203" s="127"/>
      <c r="N203" s="7"/>
      <c r="O203" s="18">
        <f t="shared" si="57"/>
        <v>0</v>
      </c>
      <c r="P203" s="72"/>
      <c r="Q203" s="70">
        <f t="shared" si="51"/>
        <v>0</v>
      </c>
    </row>
    <row r="204" spans="1:17" ht="12.75" hidden="1">
      <c r="A204" s="30" t="s">
        <v>97</v>
      </c>
      <c r="B204" s="88">
        <v>33025</v>
      </c>
      <c r="C204" s="136"/>
      <c r="D204" s="104"/>
      <c r="E204" s="236"/>
      <c r="F204" s="274">
        <f t="shared" si="54"/>
        <v>0</v>
      </c>
      <c r="G204" s="287"/>
      <c r="H204" s="320"/>
      <c r="I204" s="256">
        <f t="shared" si="55"/>
        <v>0</v>
      </c>
      <c r="J204" s="21"/>
      <c r="K204" s="7"/>
      <c r="L204" s="65">
        <f t="shared" si="56"/>
        <v>0</v>
      </c>
      <c r="M204" s="127"/>
      <c r="N204" s="7"/>
      <c r="O204" s="18">
        <f t="shared" si="57"/>
        <v>0</v>
      </c>
      <c r="P204" s="72"/>
      <c r="Q204" s="70">
        <f t="shared" si="51"/>
        <v>0</v>
      </c>
    </row>
    <row r="205" spans="1:17" ht="12.75">
      <c r="A205" s="30" t="s">
        <v>181</v>
      </c>
      <c r="B205" s="88">
        <v>33038</v>
      </c>
      <c r="C205" s="136"/>
      <c r="D205" s="104"/>
      <c r="E205" s="236"/>
      <c r="F205" s="274">
        <f t="shared" si="54"/>
        <v>0</v>
      </c>
      <c r="G205" s="287">
        <f>1396.04</f>
        <v>1396.04</v>
      </c>
      <c r="H205" s="320"/>
      <c r="I205" s="256">
        <f t="shared" si="55"/>
        <v>1396.04</v>
      </c>
      <c r="J205" s="21"/>
      <c r="K205" s="7"/>
      <c r="L205" s="65">
        <f t="shared" si="56"/>
        <v>1396.04</v>
      </c>
      <c r="M205" s="127"/>
      <c r="N205" s="7"/>
      <c r="O205" s="18">
        <f t="shared" si="57"/>
        <v>1396.04</v>
      </c>
      <c r="P205" s="72"/>
      <c r="Q205" s="70">
        <f t="shared" si="51"/>
        <v>1396.04</v>
      </c>
    </row>
    <row r="206" spans="1:17" ht="12.75">
      <c r="A206" s="30" t="s">
        <v>301</v>
      </c>
      <c r="B206" s="88">
        <v>33063</v>
      </c>
      <c r="C206" s="136"/>
      <c r="D206" s="104">
        <f>5782.93+206.42</f>
        <v>5989.35</v>
      </c>
      <c r="E206" s="236"/>
      <c r="F206" s="274">
        <f t="shared" si="54"/>
        <v>5989.35</v>
      </c>
      <c r="G206" s="287">
        <f>135.06+1476.68+211.52+422.23+680.95+765.24</f>
        <v>3691.6799999999994</v>
      </c>
      <c r="H206" s="320"/>
      <c r="I206" s="256">
        <f t="shared" si="55"/>
        <v>9681.029999999999</v>
      </c>
      <c r="J206" s="21"/>
      <c r="K206" s="7"/>
      <c r="L206" s="65"/>
      <c r="M206" s="127"/>
      <c r="N206" s="7"/>
      <c r="O206" s="18"/>
      <c r="P206" s="72"/>
      <c r="Q206" s="70"/>
    </row>
    <row r="207" spans="1:17" ht="12.75">
      <c r="A207" s="30" t="s">
        <v>346</v>
      </c>
      <c r="B207" s="88">
        <v>33063</v>
      </c>
      <c r="C207" s="136"/>
      <c r="D207" s="104"/>
      <c r="E207" s="236"/>
      <c r="F207" s="274">
        <f t="shared" si="54"/>
        <v>0</v>
      </c>
      <c r="G207" s="287">
        <f>1500</f>
        <v>1500</v>
      </c>
      <c r="H207" s="320"/>
      <c r="I207" s="256">
        <f t="shared" si="55"/>
        <v>1500</v>
      </c>
      <c r="J207" s="21"/>
      <c r="K207" s="7"/>
      <c r="L207" s="65"/>
      <c r="M207" s="127"/>
      <c r="N207" s="7"/>
      <c r="O207" s="18"/>
      <c r="P207" s="72"/>
      <c r="Q207" s="70"/>
    </row>
    <row r="208" spans="1:17" ht="12.75" hidden="1">
      <c r="A208" s="30" t="s">
        <v>278</v>
      </c>
      <c r="B208" s="88">
        <v>33063</v>
      </c>
      <c r="C208" s="136"/>
      <c r="D208" s="104"/>
      <c r="E208" s="236"/>
      <c r="F208" s="274">
        <f t="shared" si="54"/>
        <v>0</v>
      </c>
      <c r="G208" s="287"/>
      <c r="H208" s="320"/>
      <c r="I208" s="256">
        <f t="shared" si="55"/>
        <v>0</v>
      </c>
      <c r="J208" s="21"/>
      <c r="K208" s="7"/>
      <c r="L208" s="65">
        <f t="shared" si="56"/>
        <v>0</v>
      </c>
      <c r="M208" s="127"/>
      <c r="N208" s="7"/>
      <c r="O208" s="18">
        <f t="shared" si="57"/>
        <v>0</v>
      </c>
      <c r="P208" s="72"/>
      <c r="Q208" s="70">
        <f t="shared" si="51"/>
        <v>0</v>
      </c>
    </row>
    <row r="209" spans="1:17" ht="12.75">
      <c r="A209" s="30" t="s">
        <v>325</v>
      </c>
      <c r="B209" s="88" t="s">
        <v>326</v>
      </c>
      <c r="C209" s="136"/>
      <c r="D209" s="104">
        <f>55.91+1609.06</f>
        <v>1664.97</v>
      </c>
      <c r="E209" s="236"/>
      <c r="F209" s="274">
        <f t="shared" si="54"/>
        <v>1664.97</v>
      </c>
      <c r="G209" s="287"/>
      <c r="H209" s="320"/>
      <c r="I209" s="256">
        <f t="shared" si="55"/>
        <v>1664.97</v>
      </c>
      <c r="J209" s="21"/>
      <c r="K209" s="7"/>
      <c r="L209" s="65"/>
      <c r="M209" s="127"/>
      <c r="N209" s="7"/>
      <c r="O209" s="18"/>
      <c r="P209" s="72"/>
      <c r="Q209" s="70"/>
    </row>
    <row r="210" spans="1:17" ht="12.75">
      <c r="A210" s="30" t="s">
        <v>299</v>
      </c>
      <c r="B210" s="88">
        <v>2054</v>
      </c>
      <c r="C210" s="136"/>
      <c r="D210" s="104">
        <f>700+272.97</f>
        <v>972.97</v>
      </c>
      <c r="E210" s="236"/>
      <c r="F210" s="274">
        <f t="shared" si="54"/>
        <v>972.97</v>
      </c>
      <c r="G210" s="287">
        <f>1659.16</f>
        <v>1659.16</v>
      </c>
      <c r="H210" s="320"/>
      <c r="I210" s="256">
        <f t="shared" si="55"/>
        <v>2632.13</v>
      </c>
      <c r="J210" s="21"/>
      <c r="K210" s="7"/>
      <c r="L210" s="65"/>
      <c r="M210" s="127"/>
      <c r="N210" s="7"/>
      <c r="O210" s="18"/>
      <c r="P210" s="72"/>
      <c r="Q210" s="70"/>
    </row>
    <row r="211" spans="1:17" ht="12.75">
      <c r="A211" s="30" t="s">
        <v>334</v>
      </c>
      <c r="B211" s="88">
        <v>13305</v>
      </c>
      <c r="C211" s="136"/>
      <c r="D211" s="104"/>
      <c r="E211" s="236"/>
      <c r="F211" s="274">
        <f t="shared" si="54"/>
        <v>0</v>
      </c>
      <c r="G211" s="287">
        <f>2343.04</f>
        <v>2343.04</v>
      </c>
      <c r="H211" s="320"/>
      <c r="I211" s="256">
        <f t="shared" si="55"/>
        <v>2343.04</v>
      </c>
      <c r="J211" s="21"/>
      <c r="K211" s="7"/>
      <c r="L211" s="65"/>
      <c r="M211" s="127"/>
      <c r="N211" s="7"/>
      <c r="O211" s="18"/>
      <c r="P211" s="72"/>
      <c r="Q211" s="70"/>
    </row>
    <row r="212" spans="1:17" ht="12.75" hidden="1">
      <c r="A212" s="30" t="s">
        <v>98</v>
      </c>
      <c r="B212" s="88"/>
      <c r="C212" s="136"/>
      <c r="D212" s="104"/>
      <c r="E212" s="236"/>
      <c r="F212" s="274">
        <f t="shared" si="54"/>
        <v>0</v>
      </c>
      <c r="G212" s="287"/>
      <c r="H212" s="320"/>
      <c r="I212" s="256">
        <f t="shared" si="55"/>
        <v>0</v>
      </c>
      <c r="J212" s="21"/>
      <c r="K212" s="7"/>
      <c r="L212" s="65">
        <f t="shared" si="56"/>
        <v>0</v>
      </c>
      <c r="M212" s="127"/>
      <c r="N212" s="7"/>
      <c r="O212" s="18">
        <f t="shared" si="57"/>
        <v>0</v>
      </c>
      <c r="P212" s="72"/>
      <c r="Q212" s="70">
        <f t="shared" si="51"/>
        <v>0</v>
      </c>
    </row>
    <row r="213" spans="1:17" ht="12.75">
      <c r="A213" s="30" t="s">
        <v>86</v>
      </c>
      <c r="B213" s="205" t="s">
        <v>320</v>
      </c>
      <c r="C213" s="136">
        <v>200</v>
      </c>
      <c r="D213" s="104">
        <f>500+3340+8000+4202+140.9</f>
        <v>16182.9</v>
      </c>
      <c r="E213" s="236"/>
      <c r="F213" s="274">
        <f t="shared" si="54"/>
        <v>16382.9</v>
      </c>
      <c r="G213" s="287">
        <f>1075.48-4462</f>
        <v>-3386.52</v>
      </c>
      <c r="H213" s="320"/>
      <c r="I213" s="256">
        <f t="shared" si="55"/>
        <v>12996.38</v>
      </c>
      <c r="J213" s="21"/>
      <c r="K213" s="7"/>
      <c r="L213" s="65">
        <f t="shared" si="56"/>
        <v>12996.38</v>
      </c>
      <c r="M213" s="212"/>
      <c r="N213" s="7"/>
      <c r="O213" s="18">
        <f t="shared" si="57"/>
        <v>12996.38</v>
      </c>
      <c r="P213" s="72"/>
      <c r="Q213" s="70">
        <f t="shared" si="51"/>
        <v>12996.38</v>
      </c>
    </row>
    <row r="214" spans="1:17" ht="12.75">
      <c r="A214" s="30" t="s">
        <v>57</v>
      </c>
      <c r="B214" s="88"/>
      <c r="C214" s="136">
        <v>28279.1</v>
      </c>
      <c r="D214" s="104">
        <f>32.5+309.93+1009-14642.4+10000</f>
        <v>-3290.9699999999993</v>
      </c>
      <c r="E214" s="236"/>
      <c r="F214" s="274">
        <f t="shared" si="54"/>
        <v>24988.129999999997</v>
      </c>
      <c r="G214" s="287">
        <f>-805-4938.92-1893.7</f>
        <v>-7637.62</v>
      </c>
      <c r="H214" s="320"/>
      <c r="I214" s="256">
        <f t="shared" si="55"/>
        <v>17350.51</v>
      </c>
      <c r="J214" s="21"/>
      <c r="K214" s="7"/>
      <c r="L214" s="65">
        <f t="shared" si="56"/>
        <v>17350.51</v>
      </c>
      <c r="M214" s="212"/>
      <c r="N214" s="7"/>
      <c r="O214" s="18">
        <f t="shared" si="57"/>
        <v>17350.51</v>
      </c>
      <c r="P214" s="72"/>
      <c r="Q214" s="70">
        <f t="shared" si="51"/>
        <v>17350.51</v>
      </c>
    </row>
    <row r="215" spans="1:17" ht="12.75">
      <c r="A215" s="33" t="s">
        <v>60</v>
      </c>
      <c r="B215" s="92"/>
      <c r="C215" s="165">
        <f>SUM(C217:C222)</f>
        <v>0</v>
      </c>
      <c r="D215" s="114">
        <f aca="true" t="shared" si="58" ref="D215:Q215">SUM(D217:D222)</f>
        <v>14420.23</v>
      </c>
      <c r="E215" s="242">
        <f t="shared" si="58"/>
        <v>0</v>
      </c>
      <c r="F215" s="278">
        <f t="shared" si="58"/>
        <v>14420.23</v>
      </c>
      <c r="G215" s="293">
        <f t="shared" si="58"/>
        <v>5267</v>
      </c>
      <c r="H215" s="326">
        <f t="shared" si="58"/>
        <v>0</v>
      </c>
      <c r="I215" s="261">
        <f t="shared" si="58"/>
        <v>19687.23</v>
      </c>
      <c r="J215" s="165">
        <f t="shared" si="58"/>
        <v>0</v>
      </c>
      <c r="K215" s="114">
        <f t="shared" si="58"/>
        <v>0</v>
      </c>
      <c r="L215" s="184">
        <f t="shared" si="58"/>
        <v>19614.3</v>
      </c>
      <c r="M215" s="155">
        <f t="shared" si="58"/>
        <v>0</v>
      </c>
      <c r="N215" s="113">
        <f t="shared" si="58"/>
        <v>0</v>
      </c>
      <c r="O215" s="113">
        <f t="shared" si="58"/>
        <v>19614.3</v>
      </c>
      <c r="P215" s="113">
        <f t="shared" si="58"/>
        <v>0</v>
      </c>
      <c r="Q215" s="113">
        <f t="shared" si="58"/>
        <v>19614.3</v>
      </c>
    </row>
    <row r="216" spans="1:17" ht="12.75">
      <c r="A216" s="28" t="s">
        <v>27</v>
      </c>
      <c r="B216" s="88"/>
      <c r="C216" s="136"/>
      <c r="D216" s="104"/>
      <c r="E216" s="236"/>
      <c r="F216" s="274"/>
      <c r="G216" s="287"/>
      <c r="H216" s="320"/>
      <c r="I216" s="257"/>
      <c r="J216" s="21"/>
      <c r="K216" s="7"/>
      <c r="L216" s="61"/>
      <c r="M216" s="127"/>
      <c r="N216" s="7"/>
      <c r="O216" s="17"/>
      <c r="P216" s="72"/>
      <c r="Q216" s="70"/>
    </row>
    <row r="217" spans="1:17" ht="12.75">
      <c r="A217" s="30" t="s">
        <v>99</v>
      </c>
      <c r="B217" s="88"/>
      <c r="C217" s="136"/>
      <c r="D217" s="104">
        <f>300+387.3</f>
        <v>687.3</v>
      </c>
      <c r="E217" s="236"/>
      <c r="F217" s="274">
        <f aca="true" t="shared" si="59" ref="F217:F222">C217+D217+E217</f>
        <v>687.3</v>
      </c>
      <c r="G217" s="287">
        <f>805</f>
        <v>805</v>
      </c>
      <c r="H217" s="320"/>
      <c r="I217" s="256">
        <f aca="true" t="shared" si="60" ref="I217:I222">F217+G217+H217</f>
        <v>1492.3</v>
      </c>
      <c r="J217" s="21"/>
      <c r="K217" s="7"/>
      <c r="L217" s="65">
        <f>I217+J217+K217</f>
        <v>1492.3</v>
      </c>
      <c r="M217" s="127"/>
      <c r="N217" s="7"/>
      <c r="O217" s="18">
        <f>L217+M217+N217</f>
        <v>1492.3</v>
      </c>
      <c r="P217" s="72"/>
      <c r="Q217" s="70">
        <f t="shared" si="51"/>
        <v>1492.3</v>
      </c>
    </row>
    <row r="218" spans="1:17" ht="12.75">
      <c r="A218" s="30" t="s">
        <v>325</v>
      </c>
      <c r="B218" s="88" t="s">
        <v>327</v>
      </c>
      <c r="C218" s="136"/>
      <c r="D218" s="104">
        <f>4.05+68.88</f>
        <v>72.92999999999999</v>
      </c>
      <c r="E218" s="236"/>
      <c r="F218" s="274">
        <f t="shared" si="59"/>
        <v>72.92999999999999</v>
      </c>
      <c r="G218" s="287"/>
      <c r="H218" s="320"/>
      <c r="I218" s="256">
        <f t="shared" si="60"/>
        <v>72.92999999999999</v>
      </c>
      <c r="J218" s="21"/>
      <c r="K218" s="7"/>
      <c r="L218" s="65"/>
      <c r="M218" s="127"/>
      <c r="N218" s="7"/>
      <c r="O218" s="18"/>
      <c r="P218" s="72"/>
      <c r="Q218" s="70"/>
    </row>
    <row r="219" spans="1:17" ht="12.75" hidden="1">
      <c r="A219" s="30" t="s">
        <v>75</v>
      </c>
      <c r="B219" s="88"/>
      <c r="C219" s="136"/>
      <c r="D219" s="104"/>
      <c r="E219" s="236"/>
      <c r="F219" s="274">
        <f t="shared" si="59"/>
        <v>0</v>
      </c>
      <c r="G219" s="287"/>
      <c r="H219" s="320"/>
      <c r="I219" s="256">
        <f t="shared" si="60"/>
        <v>0</v>
      </c>
      <c r="J219" s="21"/>
      <c r="K219" s="7"/>
      <c r="L219" s="65">
        <f>I219+J219+K219</f>
        <v>0</v>
      </c>
      <c r="M219" s="127"/>
      <c r="N219" s="7"/>
      <c r="O219" s="18">
        <f>L219+M219+N219</f>
        <v>0</v>
      </c>
      <c r="P219" s="72"/>
      <c r="Q219" s="70">
        <f t="shared" si="51"/>
        <v>0</v>
      </c>
    </row>
    <row r="220" spans="1:17" ht="12.75" hidden="1">
      <c r="A220" s="30" t="s">
        <v>100</v>
      </c>
      <c r="B220" s="88"/>
      <c r="C220" s="136"/>
      <c r="D220" s="104"/>
      <c r="E220" s="236"/>
      <c r="F220" s="274">
        <f t="shared" si="59"/>
        <v>0</v>
      </c>
      <c r="G220" s="287"/>
      <c r="H220" s="320"/>
      <c r="I220" s="256">
        <f t="shared" si="60"/>
        <v>0</v>
      </c>
      <c r="J220" s="21"/>
      <c r="K220" s="7"/>
      <c r="L220" s="65">
        <f>I220+J220+K220</f>
        <v>0</v>
      </c>
      <c r="M220" s="127"/>
      <c r="N220" s="7"/>
      <c r="O220" s="18">
        <f>L220+M220+N220</f>
        <v>0</v>
      </c>
      <c r="P220" s="72"/>
      <c r="Q220" s="70">
        <f t="shared" si="51"/>
        <v>0</v>
      </c>
    </row>
    <row r="221" spans="1:17" ht="12.75" hidden="1">
      <c r="A221" s="30" t="s">
        <v>61</v>
      </c>
      <c r="B221" s="88"/>
      <c r="C221" s="136"/>
      <c r="D221" s="104"/>
      <c r="E221" s="236"/>
      <c r="F221" s="274">
        <f t="shared" si="59"/>
        <v>0</v>
      </c>
      <c r="G221" s="287"/>
      <c r="H221" s="320"/>
      <c r="I221" s="256">
        <f t="shared" si="60"/>
        <v>0</v>
      </c>
      <c r="J221" s="21"/>
      <c r="K221" s="9"/>
      <c r="L221" s="65">
        <f>I221+J221+K221</f>
        <v>0</v>
      </c>
      <c r="M221" s="127"/>
      <c r="N221" s="7"/>
      <c r="O221" s="18">
        <f>L221+M221+N221</f>
        <v>0</v>
      </c>
      <c r="P221" s="72"/>
      <c r="Q221" s="70">
        <f t="shared" si="51"/>
        <v>0</v>
      </c>
    </row>
    <row r="222" spans="1:17" ht="12.75">
      <c r="A222" s="37" t="s">
        <v>86</v>
      </c>
      <c r="B222" s="91"/>
      <c r="C222" s="164"/>
      <c r="D222" s="112">
        <f>660+13000</f>
        <v>13660</v>
      </c>
      <c r="E222" s="267"/>
      <c r="F222" s="279">
        <f t="shared" si="59"/>
        <v>13660</v>
      </c>
      <c r="G222" s="294">
        <f>4462</f>
        <v>4462</v>
      </c>
      <c r="H222" s="318"/>
      <c r="I222" s="262">
        <f t="shared" si="60"/>
        <v>18122</v>
      </c>
      <c r="J222" s="199"/>
      <c r="K222" s="60"/>
      <c r="L222" s="64">
        <f>I222+J222+K222</f>
        <v>18122</v>
      </c>
      <c r="M222" s="214"/>
      <c r="N222" s="10"/>
      <c r="O222" s="20">
        <f>L222+M222+N222</f>
        <v>18122</v>
      </c>
      <c r="P222" s="75"/>
      <c r="Q222" s="76">
        <f t="shared" si="51"/>
        <v>18122</v>
      </c>
    </row>
    <row r="223" spans="1:17" ht="12.75">
      <c r="A223" s="23" t="s">
        <v>101</v>
      </c>
      <c r="B223" s="92"/>
      <c r="C223" s="143">
        <f aca="true" t="shared" si="61" ref="C223:Q223">C224+C235</f>
        <v>416450.8</v>
      </c>
      <c r="D223" s="103">
        <f t="shared" si="61"/>
        <v>70155.5</v>
      </c>
      <c r="E223" s="233">
        <f t="shared" si="61"/>
        <v>0</v>
      </c>
      <c r="F223" s="254">
        <f t="shared" si="61"/>
        <v>486606.3</v>
      </c>
      <c r="G223" s="286">
        <f t="shared" si="61"/>
        <v>67616.26</v>
      </c>
      <c r="H223" s="319">
        <f t="shared" si="61"/>
        <v>0</v>
      </c>
      <c r="I223" s="257">
        <f t="shared" si="61"/>
        <v>554222.5599999999</v>
      </c>
      <c r="J223" s="143">
        <f t="shared" si="61"/>
        <v>0</v>
      </c>
      <c r="K223" s="103">
        <f t="shared" si="61"/>
        <v>0</v>
      </c>
      <c r="L223" s="158">
        <f t="shared" si="61"/>
        <v>506991.06</v>
      </c>
      <c r="M223" s="128">
        <f t="shared" si="61"/>
        <v>0</v>
      </c>
      <c r="N223" s="102">
        <f t="shared" si="61"/>
        <v>0</v>
      </c>
      <c r="O223" s="102">
        <f t="shared" si="61"/>
        <v>506991.06</v>
      </c>
      <c r="P223" s="102">
        <f t="shared" si="61"/>
        <v>0</v>
      </c>
      <c r="Q223" s="102">
        <f t="shared" si="61"/>
        <v>506991.06</v>
      </c>
    </row>
    <row r="224" spans="1:17" ht="12.75">
      <c r="A224" s="32" t="s">
        <v>55</v>
      </c>
      <c r="B224" s="92"/>
      <c r="C224" s="163">
        <f aca="true" t="shared" si="62" ref="C224:Q224">SUM(C226:C234)</f>
        <v>416180.8</v>
      </c>
      <c r="D224" s="111">
        <f t="shared" si="62"/>
        <v>70155.5</v>
      </c>
      <c r="E224" s="241">
        <f t="shared" si="62"/>
        <v>0</v>
      </c>
      <c r="F224" s="277">
        <f t="shared" si="62"/>
        <v>486336.3</v>
      </c>
      <c r="G224" s="291">
        <f t="shared" si="62"/>
        <v>60159.07</v>
      </c>
      <c r="H224" s="324">
        <f t="shared" si="62"/>
        <v>0</v>
      </c>
      <c r="I224" s="260">
        <f t="shared" si="62"/>
        <v>546495.37</v>
      </c>
      <c r="J224" s="163">
        <f t="shared" si="62"/>
        <v>0</v>
      </c>
      <c r="K224" s="111">
        <f t="shared" si="62"/>
        <v>0</v>
      </c>
      <c r="L224" s="183">
        <f t="shared" si="62"/>
        <v>499533.87</v>
      </c>
      <c r="M224" s="154">
        <f t="shared" si="62"/>
        <v>0</v>
      </c>
      <c r="N224" s="110">
        <f t="shared" si="62"/>
        <v>0</v>
      </c>
      <c r="O224" s="110">
        <f t="shared" si="62"/>
        <v>499533.87</v>
      </c>
      <c r="P224" s="110">
        <f t="shared" si="62"/>
        <v>0</v>
      </c>
      <c r="Q224" s="110">
        <f t="shared" si="62"/>
        <v>499533.87</v>
      </c>
    </row>
    <row r="225" spans="1:17" ht="12.75">
      <c r="A225" s="28" t="s">
        <v>27</v>
      </c>
      <c r="B225" s="88"/>
      <c r="C225" s="136"/>
      <c r="D225" s="104"/>
      <c r="E225" s="236"/>
      <c r="F225" s="254"/>
      <c r="G225" s="287"/>
      <c r="H225" s="320"/>
      <c r="I225" s="257"/>
      <c r="J225" s="21"/>
      <c r="K225" s="7"/>
      <c r="L225" s="61"/>
      <c r="M225" s="127"/>
      <c r="N225" s="7"/>
      <c r="O225" s="17"/>
      <c r="P225" s="72"/>
      <c r="Q225" s="70"/>
    </row>
    <row r="226" spans="1:17" ht="12.75">
      <c r="A226" s="25" t="s">
        <v>83</v>
      </c>
      <c r="B226" s="88"/>
      <c r="C226" s="136">
        <v>230584</v>
      </c>
      <c r="D226" s="104">
        <f>2075+135</f>
        <v>2210</v>
      </c>
      <c r="E226" s="236"/>
      <c r="F226" s="274">
        <f aca="true" t="shared" si="63" ref="F226:F234">C226+D226+E226</f>
        <v>232794</v>
      </c>
      <c r="G226" s="287"/>
      <c r="H226" s="320"/>
      <c r="I226" s="256">
        <f aca="true" t="shared" si="64" ref="I226:I234">F226+G226+H226</f>
        <v>232794</v>
      </c>
      <c r="J226" s="21"/>
      <c r="K226" s="7"/>
      <c r="L226" s="65">
        <f aca="true" t="shared" si="65" ref="L226:L234">I226+J226+K226</f>
        <v>232794</v>
      </c>
      <c r="M226" s="127"/>
      <c r="N226" s="7"/>
      <c r="O226" s="18">
        <f aca="true" t="shared" si="66" ref="O226:O234">L226+M226+N226</f>
        <v>232794</v>
      </c>
      <c r="P226" s="72"/>
      <c r="Q226" s="70">
        <f>O226+P226</f>
        <v>232794</v>
      </c>
    </row>
    <row r="227" spans="1:17" ht="12.75">
      <c r="A227" s="89" t="s">
        <v>234</v>
      </c>
      <c r="B227" s="88"/>
      <c r="C227" s="136">
        <v>29670</v>
      </c>
      <c r="D227" s="104">
        <f>16015.5+1661-2075-10-300</f>
        <v>15291.5</v>
      </c>
      <c r="E227" s="236"/>
      <c r="F227" s="274">
        <f t="shared" si="63"/>
        <v>44961.5</v>
      </c>
      <c r="G227" s="287"/>
      <c r="H227" s="320"/>
      <c r="I227" s="256">
        <f t="shared" si="64"/>
        <v>44961.5</v>
      </c>
      <c r="J227" s="21"/>
      <c r="K227" s="7"/>
      <c r="L227" s="65"/>
      <c r="M227" s="127"/>
      <c r="N227" s="7"/>
      <c r="O227" s="18"/>
      <c r="P227" s="72"/>
      <c r="Q227" s="70"/>
    </row>
    <row r="228" spans="1:17" ht="12.75">
      <c r="A228" s="30" t="s">
        <v>70</v>
      </c>
      <c r="B228" s="88"/>
      <c r="C228" s="136">
        <v>90000</v>
      </c>
      <c r="D228" s="104">
        <f>600</f>
        <v>600</v>
      </c>
      <c r="E228" s="236">
        <v>90000</v>
      </c>
      <c r="F228" s="274">
        <f t="shared" si="63"/>
        <v>180600</v>
      </c>
      <c r="G228" s="287">
        <f>56000</f>
        <v>56000</v>
      </c>
      <c r="H228" s="320"/>
      <c r="I228" s="256">
        <f t="shared" si="64"/>
        <v>236600</v>
      </c>
      <c r="J228" s="21"/>
      <c r="K228" s="7"/>
      <c r="L228" s="65">
        <f t="shared" si="65"/>
        <v>236600</v>
      </c>
      <c r="M228" s="127"/>
      <c r="N228" s="7"/>
      <c r="O228" s="18">
        <f t="shared" si="66"/>
        <v>236600</v>
      </c>
      <c r="P228" s="72"/>
      <c r="Q228" s="70">
        <f>O228+P228</f>
        <v>236600</v>
      </c>
    </row>
    <row r="229" spans="1:17" ht="12.75">
      <c r="A229" s="30" t="s">
        <v>191</v>
      </c>
      <c r="B229" s="88"/>
      <c r="C229" s="136">
        <v>40000</v>
      </c>
      <c r="D229" s="115">
        <f>50000</f>
        <v>50000</v>
      </c>
      <c r="E229" s="236">
        <v>-90000</v>
      </c>
      <c r="F229" s="274">
        <f t="shared" si="63"/>
        <v>0</v>
      </c>
      <c r="G229" s="287"/>
      <c r="H229" s="320"/>
      <c r="I229" s="256">
        <f t="shared" si="64"/>
        <v>0</v>
      </c>
      <c r="J229" s="21"/>
      <c r="K229" s="7"/>
      <c r="L229" s="65"/>
      <c r="M229" s="127"/>
      <c r="N229" s="7"/>
      <c r="O229" s="18"/>
      <c r="P229" s="72"/>
      <c r="Q229" s="70"/>
    </row>
    <row r="230" spans="1:17" ht="12.75">
      <c r="A230" s="30" t="s">
        <v>57</v>
      </c>
      <c r="B230" s="88"/>
      <c r="C230" s="138">
        <v>25926.8</v>
      </c>
      <c r="D230" s="104">
        <f>690+300+500+100+289-125+300</f>
        <v>2054</v>
      </c>
      <c r="E230" s="236"/>
      <c r="F230" s="274">
        <f t="shared" si="63"/>
        <v>27980.8</v>
      </c>
      <c r="G230" s="287">
        <f>351+1638.07</f>
        <v>1989.07</v>
      </c>
      <c r="H230" s="320"/>
      <c r="I230" s="256">
        <f t="shared" si="64"/>
        <v>29969.87</v>
      </c>
      <c r="J230" s="21"/>
      <c r="K230" s="7"/>
      <c r="L230" s="65">
        <f t="shared" si="65"/>
        <v>29969.87</v>
      </c>
      <c r="M230" s="127"/>
      <c r="N230" s="7"/>
      <c r="O230" s="18">
        <f t="shared" si="66"/>
        <v>29969.87</v>
      </c>
      <c r="P230" s="72"/>
      <c r="Q230" s="70">
        <f>O230+P230</f>
        <v>29969.87</v>
      </c>
    </row>
    <row r="231" spans="1:17" ht="12.75" hidden="1">
      <c r="A231" s="30" t="s">
        <v>87</v>
      </c>
      <c r="B231" s="88"/>
      <c r="C231" s="138"/>
      <c r="D231" s="104"/>
      <c r="E231" s="236"/>
      <c r="F231" s="274">
        <f t="shared" si="63"/>
        <v>0</v>
      </c>
      <c r="G231" s="287"/>
      <c r="H231" s="320"/>
      <c r="I231" s="256">
        <f t="shared" si="64"/>
        <v>0</v>
      </c>
      <c r="J231" s="21"/>
      <c r="K231" s="7"/>
      <c r="L231" s="65">
        <f t="shared" si="65"/>
        <v>0</v>
      </c>
      <c r="M231" s="127"/>
      <c r="N231" s="7"/>
      <c r="O231" s="18">
        <f t="shared" si="66"/>
        <v>0</v>
      </c>
      <c r="P231" s="72"/>
      <c r="Q231" s="70">
        <f>O231+P231</f>
        <v>0</v>
      </c>
    </row>
    <row r="232" spans="1:17" ht="12.75">
      <c r="A232" s="30" t="s">
        <v>342</v>
      </c>
      <c r="B232" s="88">
        <v>35018</v>
      </c>
      <c r="C232" s="138"/>
      <c r="D232" s="104"/>
      <c r="E232" s="236"/>
      <c r="F232" s="274">
        <f t="shared" si="63"/>
        <v>0</v>
      </c>
      <c r="G232" s="287">
        <f>2000</f>
        <v>2000</v>
      </c>
      <c r="H232" s="320"/>
      <c r="I232" s="256">
        <f t="shared" si="64"/>
        <v>2000</v>
      </c>
      <c r="J232" s="21"/>
      <c r="K232" s="7"/>
      <c r="L232" s="65"/>
      <c r="M232" s="127"/>
      <c r="N232" s="7"/>
      <c r="O232" s="18"/>
      <c r="P232" s="72"/>
      <c r="Q232" s="70"/>
    </row>
    <row r="233" spans="1:17" ht="12.75" hidden="1">
      <c r="A233" s="30" t="s">
        <v>153</v>
      </c>
      <c r="B233" s="88"/>
      <c r="C233" s="138"/>
      <c r="D233" s="104"/>
      <c r="E233" s="236"/>
      <c r="F233" s="274">
        <f t="shared" si="63"/>
        <v>0</v>
      </c>
      <c r="G233" s="287"/>
      <c r="H233" s="320"/>
      <c r="I233" s="256">
        <f t="shared" si="64"/>
        <v>0</v>
      </c>
      <c r="J233" s="21"/>
      <c r="K233" s="7"/>
      <c r="L233" s="65">
        <f t="shared" si="65"/>
        <v>0</v>
      </c>
      <c r="M233" s="127"/>
      <c r="N233" s="7"/>
      <c r="O233" s="18">
        <f t="shared" si="66"/>
        <v>0</v>
      </c>
      <c r="P233" s="72"/>
      <c r="Q233" s="70">
        <f>O233+P233</f>
        <v>0</v>
      </c>
    </row>
    <row r="234" spans="1:17" ht="12.75">
      <c r="A234" s="30" t="s">
        <v>102</v>
      </c>
      <c r="B234" s="88">
        <v>35063</v>
      </c>
      <c r="C234" s="136"/>
      <c r="D234" s="104"/>
      <c r="E234" s="236"/>
      <c r="F234" s="274">
        <f t="shared" si="63"/>
        <v>0</v>
      </c>
      <c r="G234" s="287">
        <f>170</f>
        <v>170</v>
      </c>
      <c r="H234" s="320"/>
      <c r="I234" s="256">
        <f t="shared" si="64"/>
        <v>170</v>
      </c>
      <c r="J234" s="21"/>
      <c r="K234" s="7"/>
      <c r="L234" s="65">
        <f t="shared" si="65"/>
        <v>170</v>
      </c>
      <c r="M234" s="127"/>
      <c r="N234" s="7"/>
      <c r="O234" s="18">
        <f t="shared" si="66"/>
        <v>170</v>
      </c>
      <c r="P234" s="72"/>
      <c r="Q234" s="70">
        <f>O234+P234</f>
        <v>170</v>
      </c>
    </row>
    <row r="235" spans="1:17" ht="12.75">
      <c r="A235" s="32" t="s">
        <v>60</v>
      </c>
      <c r="B235" s="92"/>
      <c r="C235" s="163">
        <f>SUM(C237:C241)</f>
        <v>270</v>
      </c>
      <c r="D235" s="111">
        <f aca="true" t="shared" si="67" ref="D235:Q235">SUM(D237:D241)</f>
        <v>0</v>
      </c>
      <c r="E235" s="241">
        <f t="shared" si="67"/>
        <v>0</v>
      </c>
      <c r="F235" s="277">
        <f t="shared" si="67"/>
        <v>270</v>
      </c>
      <c r="G235" s="291">
        <f t="shared" si="67"/>
        <v>7457.19</v>
      </c>
      <c r="H235" s="324">
        <f t="shared" si="67"/>
        <v>0</v>
      </c>
      <c r="I235" s="260">
        <f t="shared" si="67"/>
        <v>7727.19</v>
      </c>
      <c r="J235" s="163">
        <f t="shared" si="67"/>
        <v>0</v>
      </c>
      <c r="K235" s="111">
        <f t="shared" si="67"/>
        <v>0</v>
      </c>
      <c r="L235" s="183">
        <f t="shared" si="67"/>
        <v>7457.19</v>
      </c>
      <c r="M235" s="154">
        <f t="shared" si="67"/>
        <v>0</v>
      </c>
      <c r="N235" s="110">
        <f t="shared" si="67"/>
        <v>0</v>
      </c>
      <c r="O235" s="110">
        <f t="shared" si="67"/>
        <v>7457.19</v>
      </c>
      <c r="P235" s="110">
        <f t="shared" si="67"/>
        <v>0</v>
      </c>
      <c r="Q235" s="110">
        <f t="shared" si="67"/>
        <v>7457.19</v>
      </c>
    </row>
    <row r="236" spans="1:17" ht="12.75">
      <c r="A236" s="28" t="s">
        <v>27</v>
      </c>
      <c r="B236" s="88"/>
      <c r="C236" s="136"/>
      <c r="D236" s="104"/>
      <c r="E236" s="236"/>
      <c r="F236" s="274"/>
      <c r="G236" s="287"/>
      <c r="H236" s="320"/>
      <c r="I236" s="256"/>
      <c r="J236" s="21"/>
      <c r="K236" s="7"/>
      <c r="L236" s="65"/>
      <c r="M236" s="127"/>
      <c r="N236" s="7"/>
      <c r="O236" s="18"/>
      <c r="P236" s="72"/>
      <c r="Q236" s="70"/>
    </row>
    <row r="237" spans="1:17" ht="12.75">
      <c r="A237" s="30" t="s">
        <v>61</v>
      </c>
      <c r="B237" s="88"/>
      <c r="C237" s="136">
        <v>270</v>
      </c>
      <c r="D237" s="104"/>
      <c r="E237" s="236"/>
      <c r="F237" s="274">
        <f>C237+D237+E237</f>
        <v>270</v>
      </c>
      <c r="G237" s="287"/>
      <c r="H237" s="320"/>
      <c r="I237" s="256">
        <f>F237+G237+H237</f>
        <v>270</v>
      </c>
      <c r="J237" s="21"/>
      <c r="K237" s="7"/>
      <c r="L237" s="65"/>
      <c r="M237" s="127"/>
      <c r="N237" s="7"/>
      <c r="O237" s="18"/>
      <c r="P237" s="72"/>
      <c r="Q237" s="70"/>
    </row>
    <row r="238" spans="1:17" ht="12.75" hidden="1">
      <c r="A238" s="30" t="s">
        <v>280</v>
      </c>
      <c r="B238" s="88"/>
      <c r="C238" s="136"/>
      <c r="D238" s="104"/>
      <c r="E238" s="236"/>
      <c r="F238" s="274">
        <f>C238+D238+E238</f>
        <v>0</v>
      </c>
      <c r="G238" s="287"/>
      <c r="H238" s="320"/>
      <c r="I238" s="256">
        <f>F238+G238+H238</f>
        <v>0</v>
      </c>
      <c r="J238" s="21"/>
      <c r="K238" s="7"/>
      <c r="L238" s="65"/>
      <c r="M238" s="127"/>
      <c r="N238" s="7"/>
      <c r="O238" s="18"/>
      <c r="P238" s="72"/>
      <c r="Q238" s="70"/>
    </row>
    <row r="239" spans="1:17" ht="12.75" hidden="1">
      <c r="A239" s="30" t="s">
        <v>75</v>
      </c>
      <c r="B239" s="88"/>
      <c r="C239" s="136"/>
      <c r="D239" s="104"/>
      <c r="E239" s="236"/>
      <c r="F239" s="274">
        <f>C239+D239+E239</f>
        <v>0</v>
      </c>
      <c r="G239" s="287"/>
      <c r="H239" s="320"/>
      <c r="I239" s="256">
        <f>F239+G239+H239</f>
        <v>0</v>
      </c>
      <c r="J239" s="21"/>
      <c r="K239" s="7"/>
      <c r="L239" s="65">
        <f>I239+J239+K239</f>
        <v>0</v>
      </c>
      <c r="M239" s="127"/>
      <c r="N239" s="7"/>
      <c r="O239" s="18">
        <f>L239+M239+N239</f>
        <v>0</v>
      </c>
      <c r="P239" s="72"/>
      <c r="Q239" s="70">
        <f>O239+P239</f>
        <v>0</v>
      </c>
    </row>
    <row r="240" spans="1:17" ht="12.75" hidden="1">
      <c r="A240" s="30" t="s">
        <v>241</v>
      </c>
      <c r="B240" s="88"/>
      <c r="C240" s="136"/>
      <c r="D240" s="104"/>
      <c r="E240" s="236"/>
      <c r="F240" s="274">
        <f>C240+D240+E240</f>
        <v>0</v>
      </c>
      <c r="G240" s="287"/>
      <c r="H240" s="320"/>
      <c r="I240" s="256">
        <f>F240+G240+H240</f>
        <v>0</v>
      </c>
      <c r="J240" s="199"/>
      <c r="K240" s="10"/>
      <c r="L240" s="64">
        <f>I240+J240+K240</f>
        <v>0</v>
      </c>
      <c r="M240" s="214"/>
      <c r="N240" s="10"/>
      <c r="O240" s="20">
        <f>L240+M240+N240</f>
        <v>0</v>
      </c>
      <c r="P240" s="75"/>
      <c r="Q240" s="76">
        <f>O240+P240</f>
        <v>0</v>
      </c>
    </row>
    <row r="241" spans="1:17" ht="12.75">
      <c r="A241" s="29" t="s">
        <v>87</v>
      </c>
      <c r="B241" s="91"/>
      <c r="C241" s="164"/>
      <c r="D241" s="112"/>
      <c r="E241" s="267"/>
      <c r="F241" s="279">
        <f>C241+D241+E241</f>
        <v>0</v>
      </c>
      <c r="G241" s="294">
        <f>7457.19</f>
        <v>7457.19</v>
      </c>
      <c r="H241" s="318"/>
      <c r="I241" s="262">
        <f>F241+G241+H241</f>
        <v>7457.19</v>
      </c>
      <c r="J241" s="199"/>
      <c r="K241" s="10"/>
      <c r="L241" s="64">
        <f>I241+J241+K241</f>
        <v>7457.19</v>
      </c>
      <c r="M241" s="214"/>
      <c r="N241" s="10"/>
      <c r="O241" s="20">
        <f>L241+M241+N241</f>
        <v>7457.19</v>
      </c>
      <c r="P241" s="75"/>
      <c r="Q241" s="76">
        <f>O241+P241</f>
        <v>7457.19</v>
      </c>
    </row>
    <row r="242" spans="1:17" ht="12.75">
      <c r="A242" s="38" t="s">
        <v>103</v>
      </c>
      <c r="B242" s="93"/>
      <c r="C242" s="130">
        <f>C243+C252</f>
        <v>189018.5</v>
      </c>
      <c r="D242" s="107">
        <f aca="true" t="shared" si="68" ref="D242:Q242">D243+D252</f>
        <v>20284.020000000004</v>
      </c>
      <c r="E242" s="238">
        <f t="shared" si="68"/>
        <v>0</v>
      </c>
      <c r="F242" s="275">
        <f t="shared" si="68"/>
        <v>209302.52</v>
      </c>
      <c r="G242" s="289">
        <f t="shared" si="68"/>
        <v>4724.4</v>
      </c>
      <c r="H242" s="322">
        <f t="shared" si="68"/>
        <v>0</v>
      </c>
      <c r="I242" s="258">
        <f t="shared" si="68"/>
        <v>214026.91999999998</v>
      </c>
      <c r="J242" s="130">
        <f t="shared" si="68"/>
        <v>0</v>
      </c>
      <c r="K242" s="107">
        <f t="shared" si="68"/>
        <v>0</v>
      </c>
      <c r="L242" s="181">
        <f t="shared" si="68"/>
        <v>214026.91999999998</v>
      </c>
      <c r="M242" s="152">
        <f t="shared" si="68"/>
        <v>0</v>
      </c>
      <c r="N242" s="106">
        <f t="shared" si="68"/>
        <v>0</v>
      </c>
      <c r="O242" s="106">
        <f t="shared" si="68"/>
        <v>214026.91999999998</v>
      </c>
      <c r="P242" s="106">
        <f t="shared" si="68"/>
        <v>0</v>
      </c>
      <c r="Q242" s="106">
        <f t="shared" si="68"/>
        <v>214026.91999999998</v>
      </c>
    </row>
    <row r="243" spans="1:17" ht="12.75">
      <c r="A243" s="32" t="s">
        <v>55</v>
      </c>
      <c r="B243" s="92"/>
      <c r="C243" s="163">
        <f>SUM(C245:C251)</f>
        <v>189018.5</v>
      </c>
      <c r="D243" s="111">
        <f aca="true" t="shared" si="69" ref="D243:Q243">SUM(D245:D251)</f>
        <v>20284.020000000004</v>
      </c>
      <c r="E243" s="241">
        <f t="shared" si="69"/>
        <v>0</v>
      </c>
      <c r="F243" s="277">
        <f t="shared" si="69"/>
        <v>209302.52</v>
      </c>
      <c r="G243" s="291">
        <f t="shared" si="69"/>
        <v>964.4000000000001</v>
      </c>
      <c r="H243" s="324">
        <f t="shared" si="69"/>
        <v>0</v>
      </c>
      <c r="I243" s="260">
        <f t="shared" si="69"/>
        <v>210266.91999999998</v>
      </c>
      <c r="J243" s="163">
        <f t="shared" si="69"/>
        <v>0</v>
      </c>
      <c r="K243" s="111">
        <f t="shared" si="69"/>
        <v>0</v>
      </c>
      <c r="L243" s="183">
        <f t="shared" si="69"/>
        <v>210266.91999999998</v>
      </c>
      <c r="M243" s="154">
        <f t="shared" si="69"/>
        <v>0</v>
      </c>
      <c r="N243" s="110">
        <f t="shared" si="69"/>
        <v>0</v>
      </c>
      <c r="O243" s="110">
        <f t="shared" si="69"/>
        <v>210266.91999999998</v>
      </c>
      <c r="P243" s="110">
        <f t="shared" si="69"/>
        <v>0</v>
      </c>
      <c r="Q243" s="110">
        <f t="shared" si="69"/>
        <v>210266.91999999998</v>
      </c>
    </row>
    <row r="244" spans="1:17" ht="12.75">
      <c r="A244" s="28" t="s">
        <v>27</v>
      </c>
      <c r="B244" s="88"/>
      <c r="C244" s="136"/>
      <c r="D244" s="104"/>
      <c r="E244" s="236"/>
      <c r="F244" s="274"/>
      <c r="G244" s="287"/>
      <c r="H244" s="320"/>
      <c r="I244" s="256"/>
      <c r="J244" s="21"/>
      <c r="K244" s="7"/>
      <c r="L244" s="65"/>
      <c r="M244" s="127"/>
      <c r="N244" s="7"/>
      <c r="O244" s="18"/>
      <c r="P244" s="72"/>
      <c r="Q244" s="70"/>
    </row>
    <row r="245" spans="1:17" ht="12.75">
      <c r="A245" s="30" t="s">
        <v>83</v>
      </c>
      <c r="B245" s="88"/>
      <c r="C245" s="136">
        <v>165134.5</v>
      </c>
      <c r="D245" s="104">
        <f>40+10015.44+8360+100+474+100+360</f>
        <v>19449.440000000002</v>
      </c>
      <c r="E245" s="236"/>
      <c r="F245" s="274">
        <f aca="true" t="shared" si="70" ref="F245:F251">C245+D245+E245</f>
        <v>184583.94</v>
      </c>
      <c r="G245" s="287">
        <f>-1360+526.4+300</f>
        <v>-533.6</v>
      </c>
      <c r="H245" s="320"/>
      <c r="I245" s="256">
        <f>F245+G245+H245</f>
        <v>184050.34</v>
      </c>
      <c r="J245" s="21"/>
      <c r="K245" s="7"/>
      <c r="L245" s="65">
        <f>I245+J245+K245</f>
        <v>184050.34</v>
      </c>
      <c r="M245" s="127"/>
      <c r="N245" s="7"/>
      <c r="O245" s="18">
        <f>L245+M245+N245</f>
        <v>184050.34</v>
      </c>
      <c r="P245" s="72"/>
      <c r="Q245" s="70">
        <f aca="true" t="shared" si="71" ref="Q245:Q251">O245+P245</f>
        <v>184050.34</v>
      </c>
    </row>
    <row r="246" spans="1:17" ht="12.75">
      <c r="A246" s="30" t="s">
        <v>57</v>
      </c>
      <c r="B246" s="88"/>
      <c r="C246" s="136">
        <v>20590</v>
      </c>
      <c r="D246" s="104">
        <f>-5122+67.75-75+130+376.83-25</f>
        <v>-4647.42</v>
      </c>
      <c r="E246" s="236"/>
      <c r="F246" s="274">
        <f t="shared" si="70"/>
        <v>15942.58</v>
      </c>
      <c r="G246" s="287">
        <f>600-1110-335</f>
        <v>-845</v>
      </c>
      <c r="H246" s="320"/>
      <c r="I246" s="256">
        <f aca="true" t="shared" si="72" ref="I246:I251">F246+G246+H246</f>
        <v>15097.58</v>
      </c>
      <c r="J246" s="21"/>
      <c r="K246" s="7"/>
      <c r="L246" s="65">
        <f aca="true" t="shared" si="73" ref="L246:L251">I246+J246+K246</f>
        <v>15097.58</v>
      </c>
      <c r="M246" s="127"/>
      <c r="N246" s="7"/>
      <c r="O246" s="18">
        <f aca="true" t="shared" si="74" ref="O246:O251">L246+M246+N246</f>
        <v>15097.58</v>
      </c>
      <c r="P246" s="72"/>
      <c r="Q246" s="70">
        <f t="shared" si="71"/>
        <v>15097.58</v>
      </c>
    </row>
    <row r="247" spans="1:17" ht="12.75">
      <c r="A247" s="30" t="s">
        <v>145</v>
      </c>
      <c r="B247" s="88"/>
      <c r="C247" s="136">
        <v>3294</v>
      </c>
      <c r="D247" s="104">
        <f>25</f>
        <v>25</v>
      </c>
      <c r="E247" s="236"/>
      <c r="F247" s="274">
        <f t="shared" si="70"/>
        <v>3319</v>
      </c>
      <c r="G247" s="287"/>
      <c r="H247" s="320"/>
      <c r="I247" s="256">
        <f t="shared" si="72"/>
        <v>3319</v>
      </c>
      <c r="J247" s="21"/>
      <c r="K247" s="7"/>
      <c r="L247" s="65">
        <f t="shared" si="73"/>
        <v>3319</v>
      </c>
      <c r="M247" s="127"/>
      <c r="N247" s="7"/>
      <c r="O247" s="18">
        <f t="shared" si="74"/>
        <v>3319</v>
      </c>
      <c r="P247" s="72"/>
      <c r="Q247" s="70">
        <f t="shared" si="71"/>
        <v>3319</v>
      </c>
    </row>
    <row r="248" spans="1:17" ht="12.75">
      <c r="A248" s="30" t="s">
        <v>71</v>
      </c>
      <c r="B248" s="88"/>
      <c r="C248" s="136"/>
      <c r="D248" s="104">
        <f>5122+335</f>
        <v>5457</v>
      </c>
      <c r="E248" s="236"/>
      <c r="F248" s="274">
        <f t="shared" si="70"/>
        <v>5457</v>
      </c>
      <c r="G248" s="287">
        <f>1110+335</f>
        <v>1445</v>
      </c>
      <c r="H248" s="320"/>
      <c r="I248" s="256">
        <f t="shared" si="72"/>
        <v>6902</v>
      </c>
      <c r="J248" s="21"/>
      <c r="K248" s="7"/>
      <c r="L248" s="65">
        <f t="shared" si="73"/>
        <v>6902</v>
      </c>
      <c r="M248" s="127"/>
      <c r="N248" s="7"/>
      <c r="O248" s="18">
        <f t="shared" si="74"/>
        <v>6902</v>
      </c>
      <c r="P248" s="72"/>
      <c r="Q248" s="70">
        <f t="shared" si="71"/>
        <v>6902</v>
      </c>
    </row>
    <row r="249" spans="1:17" ht="12.75">
      <c r="A249" s="30" t="s">
        <v>104</v>
      </c>
      <c r="B249" s="88">
        <v>34070</v>
      </c>
      <c r="C249" s="136"/>
      <c r="D249" s="104"/>
      <c r="E249" s="236"/>
      <c r="F249" s="274">
        <f t="shared" si="70"/>
        <v>0</v>
      </c>
      <c r="G249" s="287">
        <f>150+340+88</f>
        <v>578</v>
      </c>
      <c r="H249" s="320"/>
      <c r="I249" s="256">
        <f t="shared" si="72"/>
        <v>578</v>
      </c>
      <c r="J249" s="21"/>
      <c r="K249" s="7"/>
      <c r="L249" s="65">
        <f t="shared" si="73"/>
        <v>578</v>
      </c>
      <c r="M249" s="127"/>
      <c r="N249" s="7"/>
      <c r="O249" s="18">
        <f t="shared" si="74"/>
        <v>578</v>
      </c>
      <c r="P249" s="72"/>
      <c r="Q249" s="70">
        <f t="shared" si="71"/>
        <v>578</v>
      </c>
    </row>
    <row r="250" spans="1:17" ht="12.75">
      <c r="A250" s="30" t="s">
        <v>105</v>
      </c>
      <c r="B250" s="88">
        <v>34053</v>
      </c>
      <c r="C250" s="136"/>
      <c r="D250" s="104"/>
      <c r="E250" s="236"/>
      <c r="F250" s="274">
        <f t="shared" si="70"/>
        <v>0</v>
      </c>
      <c r="G250" s="287">
        <f>320</f>
        <v>320</v>
      </c>
      <c r="H250" s="320"/>
      <c r="I250" s="256">
        <f t="shared" si="72"/>
        <v>320</v>
      </c>
      <c r="J250" s="21"/>
      <c r="K250" s="7"/>
      <c r="L250" s="65">
        <f t="shared" si="73"/>
        <v>320</v>
      </c>
      <c r="M250" s="127"/>
      <c r="N250" s="7"/>
      <c r="O250" s="18">
        <f t="shared" si="74"/>
        <v>320</v>
      </c>
      <c r="P250" s="72"/>
      <c r="Q250" s="70">
        <f t="shared" si="71"/>
        <v>320</v>
      </c>
    </row>
    <row r="251" spans="1:17" ht="12.75" hidden="1">
      <c r="A251" s="30" t="s">
        <v>87</v>
      </c>
      <c r="B251" s="88"/>
      <c r="C251" s="136"/>
      <c r="D251" s="104"/>
      <c r="E251" s="236"/>
      <c r="F251" s="274">
        <f t="shared" si="70"/>
        <v>0</v>
      </c>
      <c r="G251" s="287"/>
      <c r="H251" s="320"/>
      <c r="I251" s="256">
        <f t="shared" si="72"/>
        <v>0</v>
      </c>
      <c r="J251" s="21"/>
      <c r="K251" s="7"/>
      <c r="L251" s="65">
        <f t="shared" si="73"/>
        <v>0</v>
      </c>
      <c r="M251" s="127"/>
      <c r="N251" s="7"/>
      <c r="O251" s="18">
        <f t="shared" si="74"/>
        <v>0</v>
      </c>
      <c r="P251" s="72"/>
      <c r="Q251" s="70">
        <f t="shared" si="71"/>
        <v>0</v>
      </c>
    </row>
    <row r="252" spans="1:17" ht="12.75">
      <c r="A252" s="32" t="s">
        <v>60</v>
      </c>
      <c r="B252" s="92"/>
      <c r="C252" s="163">
        <f>SUM(C254:C257)</f>
        <v>0</v>
      </c>
      <c r="D252" s="111">
        <f aca="true" t="shared" si="75" ref="D252:Q252">SUM(D254:D257)</f>
        <v>0</v>
      </c>
      <c r="E252" s="241">
        <f t="shared" si="75"/>
        <v>0</v>
      </c>
      <c r="F252" s="277">
        <f t="shared" si="75"/>
        <v>0</v>
      </c>
      <c r="G252" s="291">
        <f t="shared" si="75"/>
        <v>3760</v>
      </c>
      <c r="H252" s="324">
        <f t="shared" si="75"/>
        <v>0</v>
      </c>
      <c r="I252" s="260">
        <f t="shared" si="75"/>
        <v>3760</v>
      </c>
      <c r="J252" s="163">
        <f t="shared" si="75"/>
        <v>0</v>
      </c>
      <c r="K252" s="111">
        <f t="shared" si="75"/>
        <v>0</v>
      </c>
      <c r="L252" s="183">
        <f t="shared" si="75"/>
        <v>3760</v>
      </c>
      <c r="M252" s="154">
        <f t="shared" si="75"/>
        <v>0</v>
      </c>
      <c r="N252" s="110">
        <f t="shared" si="75"/>
        <v>0</v>
      </c>
      <c r="O252" s="110">
        <f t="shared" si="75"/>
        <v>3760</v>
      </c>
      <c r="P252" s="110">
        <f t="shared" si="75"/>
        <v>0</v>
      </c>
      <c r="Q252" s="110">
        <f t="shared" si="75"/>
        <v>3760</v>
      </c>
    </row>
    <row r="253" spans="1:17" ht="12.75">
      <c r="A253" s="28" t="s">
        <v>27</v>
      </c>
      <c r="B253" s="88"/>
      <c r="C253" s="136"/>
      <c r="D253" s="104"/>
      <c r="E253" s="236"/>
      <c r="F253" s="274"/>
      <c r="G253" s="287"/>
      <c r="H253" s="320"/>
      <c r="I253" s="256"/>
      <c r="J253" s="21"/>
      <c r="K253" s="7"/>
      <c r="L253" s="65"/>
      <c r="M253" s="127"/>
      <c r="N253" s="7"/>
      <c r="O253" s="18"/>
      <c r="P253" s="72"/>
      <c r="Q253" s="70"/>
    </row>
    <row r="254" spans="1:17" ht="12.75" hidden="1">
      <c r="A254" s="30" t="s">
        <v>105</v>
      </c>
      <c r="B254" s="88">
        <v>34544</v>
      </c>
      <c r="C254" s="136"/>
      <c r="D254" s="104"/>
      <c r="E254" s="236"/>
      <c r="F254" s="274">
        <f>C254+D254+E254</f>
        <v>0</v>
      </c>
      <c r="G254" s="287"/>
      <c r="H254" s="320"/>
      <c r="I254" s="256">
        <f>F254+G254+H254</f>
        <v>0</v>
      </c>
      <c r="J254" s="21"/>
      <c r="K254" s="7"/>
      <c r="L254" s="65">
        <f>I254+J254+K254</f>
        <v>0</v>
      </c>
      <c r="M254" s="127"/>
      <c r="N254" s="7"/>
      <c r="O254" s="18">
        <f>L254+M254+N254</f>
        <v>0</v>
      </c>
      <c r="P254" s="72"/>
      <c r="Q254" s="70">
        <f>O254+P254</f>
        <v>0</v>
      </c>
    </row>
    <row r="255" spans="1:17" ht="12.75">
      <c r="A255" s="314" t="s">
        <v>99</v>
      </c>
      <c r="B255" s="91"/>
      <c r="C255" s="164"/>
      <c r="D255" s="112"/>
      <c r="E255" s="267"/>
      <c r="F255" s="279">
        <f>C255+D255+E255</f>
        <v>0</v>
      </c>
      <c r="G255" s="294">
        <f>1360+2400</f>
        <v>3760</v>
      </c>
      <c r="H255" s="318"/>
      <c r="I255" s="262">
        <f>F255+G255+H255</f>
        <v>3760</v>
      </c>
      <c r="J255" s="21"/>
      <c r="K255" s="7"/>
      <c r="L255" s="65">
        <f>I255+J255+K255</f>
        <v>3760</v>
      </c>
      <c r="M255" s="127"/>
      <c r="N255" s="7"/>
      <c r="O255" s="18">
        <f>L255+M255+N255</f>
        <v>3760</v>
      </c>
      <c r="P255" s="72"/>
      <c r="Q255" s="70">
        <f>O255+P255</f>
        <v>3760</v>
      </c>
    </row>
    <row r="256" spans="1:17" ht="12.75" hidden="1">
      <c r="A256" s="63" t="s">
        <v>61</v>
      </c>
      <c r="B256" s="88"/>
      <c r="C256" s="136"/>
      <c r="D256" s="104"/>
      <c r="E256" s="236"/>
      <c r="F256" s="274">
        <f>C256+D256+E256</f>
        <v>0</v>
      </c>
      <c r="G256" s="287"/>
      <c r="H256" s="320"/>
      <c r="I256" s="256">
        <f>F256+G256+H256</f>
        <v>0</v>
      </c>
      <c r="J256" s="21"/>
      <c r="K256" s="7"/>
      <c r="L256" s="65">
        <f>I256+J256+K256</f>
        <v>0</v>
      </c>
      <c r="M256" s="127"/>
      <c r="N256" s="7"/>
      <c r="O256" s="18">
        <f>L256+M256+N256</f>
        <v>0</v>
      </c>
      <c r="P256" s="72"/>
      <c r="Q256" s="70">
        <f>O256+P256</f>
        <v>0</v>
      </c>
    </row>
    <row r="257" spans="1:17" ht="13.5" hidden="1" thickBot="1">
      <c r="A257" s="135" t="s">
        <v>87</v>
      </c>
      <c r="B257" s="133"/>
      <c r="C257" s="166"/>
      <c r="D257" s="134"/>
      <c r="E257" s="268"/>
      <c r="F257" s="280">
        <f>C257+D257+E257</f>
        <v>0</v>
      </c>
      <c r="G257" s="294"/>
      <c r="H257" s="318"/>
      <c r="I257" s="262">
        <f>F257+G257+H257</f>
        <v>0</v>
      </c>
      <c r="J257" s="199"/>
      <c r="K257" s="10"/>
      <c r="L257" s="64">
        <f>I257+J257+K257</f>
        <v>0</v>
      </c>
      <c r="M257" s="215"/>
      <c r="N257" s="10"/>
      <c r="O257" s="20">
        <f>L257+M257+N257</f>
        <v>0</v>
      </c>
      <c r="P257" s="75"/>
      <c r="Q257" s="76">
        <f>O257+P257</f>
        <v>0</v>
      </c>
    </row>
    <row r="258" spans="1:17" ht="12.75">
      <c r="A258" s="23" t="s">
        <v>54</v>
      </c>
      <c r="B258" s="90"/>
      <c r="C258" s="143">
        <f aca="true" t="shared" si="76" ref="C258:Q258">C259+C271</f>
        <v>48902.7</v>
      </c>
      <c r="D258" s="103">
        <f t="shared" si="76"/>
        <v>11333.35</v>
      </c>
      <c r="E258" s="233">
        <f t="shared" si="76"/>
        <v>0</v>
      </c>
      <c r="F258" s="254">
        <f t="shared" si="76"/>
        <v>60236.049999999996</v>
      </c>
      <c r="G258" s="286">
        <f t="shared" si="76"/>
        <v>2000</v>
      </c>
      <c r="H258" s="319">
        <f t="shared" si="76"/>
        <v>0</v>
      </c>
      <c r="I258" s="257">
        <f t="shared" si="76"/>
        <v>62236.049999999996</v>
      </c>
      <c r="J258" s="143">
        <f t="shared" si="76"/>
        <v>0</v>
      </c>
      <c r="K258" s="103">
        <f t="shared" si="76"/>
        <v>0</v>
      </c>
      <c r="L258" s="158">
        <f t="shared" si="76"/>
        <v>50502.049999999996</v>
      </c>
      <c r="M258" s="128">
        <f t="shared" si="76"/>
        <v>0</v>
      </c>
      <c r="N258" s="102">
        <f t="shared" si="76"/>
        <v>0</v>
      </c>
      <c r="O258" s="102">
        <f t="shared" si="76"/>
        <v>50502.049999999996</v>
      </c>
      <c r="P258" s="102">
        <f t="shared" si="76"/>
        <v>0</v>
      </c>
      <c r="Q258" s="102">
        <f t="shared" si="76"/>
        <v>50502.049999999996</v>
      </c>
    </row>
    <row r="259" spans="1:17" ht="12.75">
      <c r="A259" s="32" t="s">
        <v>55</v>
      </c>
      <c r="B259" s="90"/>
      <c r="C259" s="163">
        <f aca="true" t="shared" si="77" ref="C259:Q259">SUM(C261:C270)</f>
        <v>48902.7</v>
      </c>
      <c r="D259" s="111">
        <f t="shared" si="77"/>
        <v>11333.35</v>
      </c>
      <c r="E259" s="241">
        <f t="shared" si="77"/>
        <v>0</v>
      </c>
      <c r="F259" s="277">
        <f t="shared" si="77"/>
        <v>60236.049999999996</v>
      </c>
      <c r="G259" s="291">
        <f t="shared" si="77"/>
        <v>2000</v>
      </c>
      <c r="H259" s="324">
        <f t="shared" si="77"/>
        <v>0</v>
      </c>
      <c r="I259" s="260">
        <f t="shared" si="77"/>
        <v>62236.049999999996</v>
      </c>
      <c r="J259" s="163">
        <f t="shared" si="77"/>
        <v>0</v>
      </c>
      <c r="K259" s="111">
        <f t="shared" si="77"/>
        <v>0</v>
      </c>
      <c r="L259" s="183">
        <f t="shared" si="77"/>
        <v>50502.049999999996</v>
      </c>
      <c r="M259" s="154">
        <f t="shared" si="77"/>
        <v>0</v>
      </c>
      <c r="N259" s="110">
        <f t="shared" si="77"/>
        <v>0</v>
      </c>
      <c r="O259" s="110">
        <f t="shared" si="77"/>
        <v>50502.049999999996</v>
      </c>
      <c r="P259" s="110">
        <f t="shared" si="77"/>
        <v>0</v>
      </c>
      <c r="Q259" s="110">
        <f t="shared" si="77"/>
        <v>50502.049999999996</v>
      </c>
    </row>
    <row r="260" spans="1:17" ht="12.75">
      <c r="A260" s="28" t="s">
        <v>27</v>
      </c>
      <c r="B260" s="63"/>
      <c r="C260" s="136"/>
      <c r="D260" s="104"/>
      <c r="E260" s="236"/>
      <c r="F260" s="274"/>
      <c r="G260" s="287"/>
      <c r="H260" s="320"/>
      <c r="I260" s="256"/>
      <c r="J260" s="21"/>
      <c r="K260" s="7"/>
      <c r="L260" s="65"/>
      <c r="M260" s="127"/>
      <c r="N260" s="7"/>
      <c r="O260" s="18"/>
      <c r="P260" s="72"/>
      <c r="Q260" s="70"/>
    </row>
    <row r="261" spans="1:17" ht="12.75">
      <c r="A261" s="26" t="s">
        <v>149</v>
      </c>
      <c r="B261" s="88"/>
      <c r="C261" s="136">
        <v>20297.2</v>
      </c>
      <c r="D261" s="104">
        <f>5328.94</f>
        <v>5328.94</v>
      </c>
      <c r="E261" s="236"/>
      <c r="F261" s="274">
        <f aca="true" t="shared" si="78" ref="F261:F270">C261+D261+E261</f>
        <v>25626.14</v>
      </c>
      <c r="G261" s="287"/>
      <c r="H261" s="320"/>
      <c r="I261" s="256">
        <f>F261+G261+H261</f>
        <v>25626.14</v>
      </c>
      <c r="J261" s="21"/>
      <c r="K261" s="7"/>
      <c r="L261" s="65">
        <f>I261+J261+K261</f>
        <v>25626.14</v>
      </c>
      <c r="M261" s="127"/>
      <c r="N261" s="7"/>
      <c r="O261" s="18">
        <f>L261+M261+N261</f>
        <v>25626.14</v>
      </c>
      <c r="P261" s="72"/>
      <c r="Q261" s="70">
        <f>O261+P261</f>
        <v>25626.14</v>
      </c>
    </row>
    <row r="262" spans="1:17" ht="12.75">
      <c r="A262" s="26" t="s">
        <v>56</v>
      </c>
      <c r="B262" s="88"/>
      <c r="C262" s="136">
        <v>5133</v>
      </c>
      <c r="D262" s="104">
        <f>2089.17</f>
        <v>2089.17</v>
      </c>
      <c r="E262" s="236"/>
      <c r="F262" s="274">
        <f t="shared" si="78"/>
        <v>7222.17</v>
      </c>
      <c r="G262" s="287"/>
      <c r="H262" s="320"/>
      <c r="I262" s="256">
        <f>F262+G262+H262</f>
        <v>7222.17</v>
      </c>
      <c r="J262" s="21"/>
      <c r="K262" s="7"/>
      <c r="L262" s="65">
        <f>I262+J262+K262</f>
        <v>7222.17</v>
      </c>
      <c r="M262" s="127"/>
      <c r="N262" s="7"/>
      <c r="O262" s="18">
        <f>L262+M262+N262</f>
        <v>7222.17</v>
      </c>
      <c r="P262" s="72"/>
      <c r="Q262" s="70">
        <f>O262+P262</f>
        <v>7222.17</v>
      </c>
    </row>
    <row r="263" spans="1:17" ht="13.5" thickBot="1">
      <c r="A263" s="207" t="s">
        <v>289</v>
      </c>
      <c r="B263" s="133"/>
      <c r="C263" s="166">
        <v>1450</v>
      </c>
      <c r="D263" s="134"/>
      <c r="E263" s="268"/>
      <c r="F263" s="280">
        <f t="shared" si="78"/>
        <v>1450</v>
      </c>
      <c r="G263" s="315"/>
      <c r="H263" s="325"/>
      <c r="I263" s="317">
        <f>F263+G263+H263</f>
        <v>1450</v>
      </c>
      <c r="J263" s="21"/>
      <c r="K263" s="7"/>
      <c r="L263" s="65">
        <f>I263+J263+K263</f>
        <v>1450</v>
      </c>
      <c r="M263" s="127"/>
      <c r="N263" s="7"/>
      <c r="O263" s="18">
        <f>L263+M263+N263</f>
        <v>1450</v>
      </c>
      <c r="P263" s="72"/>
      <c r="Q263" s="70">
        <f>O263+P263</f>
        <v>1450</v>
      </c>
    </row>
    <row r="264" spans="1:17" ht="12.75" hidden="1">
      <c r="A264" s="26" t="s">
        <v>168</v>
      </c>
      <c r="B264" s="88"/>
      <c r="C264" s="136"/>
      <c r="D264" s="104"/>
      <c r="E264" s="236"/>
      <c r="F264" s="274">
        <f t="shared" si="78"/>
        <v>0</v>
      </c>
      <c r="G264" s="287"/>
      <c r="H264" s="320"/>
      <c r="I264" s="256">
        <f>F264+G264+H264</f>
        <v>0</v>
      </c>
      <c r="J264" s="21"/>
      <c r="K264" s="7"/>
      <c r="L264" s="65">
        <f>I264+J264+K264</f>
        <v>0</v>
      </c>
      <c r="M264" s="127"/>
      <c r="N264" s="7"/>
      <c r="O264" s="18">
        <f>L264+M264+N264</f>
        <v>0</v>
      </c>
      <c r="P264" s="72"/>
      <c r="Q264" s="70">
        <f>O264+P264</f>
        <v>0</v>
      </c>
    </row>
    <row r="265" spans="1:17" ht="12.75">
      <c r="A265" s="26" t="s">
        <v>57</v>
      </c>
      <c r="B265" s="88"/>
      <c r="C265" s="136">
        <v>13648.5</v>
      </c>
      <c r="D265" s="104">
        <f>225.34+2500-600-70.1</f>
        <v>2055.2400000000002</v>
      </c>
      <c r="E265" s="236"/>
      <c r="F265" s="274">
        <f t="shared" si="78"/>
        <v>15703.74</v>
      </c>
      <c r="G265" s="287"/>
      <c r="H265" s="320"/>
      <c r="I265" s="256">
        <f>F265+G265+H265</f>
        <v>15703.74</v>
      </c>
      <c r="J265" s="21"/>
      <c r="K265" s="7"/>
      <c r="L265" s="65">
        <f>I265+J265+K265</f>
        <v>15703.74</v>
      </c>
      <c r="M265" s="127"/>
      <c r="N265" s="7"/>
      <c r="O265" s="18">
        <f>L265+M265+N265</f>
        <v>15703.74</v>
      </c>
      <c r="P265" s="72"/>
      <c r="Q265" s="70">
        <f>O265+P265</f>
        <v>15703.74</v>
      </c>
    </row>
    <row r="266" spans="1:17" ht="12.75" hidden="1">
      <c r="A266" s="26" t="s">
        <v>87</v>
      </c>
      <c r="B266" s="88"/>
      <c r="C266" s="136"/>
      <c r="D266" s="104"/>
      <c r="E266" s="236"/>
      <c r="F266" s="274">
        <f t="shared" si="78"/>
        <v>0</v>
      </c>
      <c r="G266" s="287"/>
      <c r="H266" s="320"/>
      <c r="I266" s="256"/>
      <c r="J266" s="21"/>
      <c r="K266" s="7"/>
      <c r="L266" s="65"/>
      <c r="M266" s="127"/>
      <c r="N266" s="7"/>
      <c r="O266" s="18"/>
      <c r="P266" s="72"/>
      <c r="Q266" s="70"/>
    </row>
    <row r="267" spans="1:17" ht="12.75">
      <c r="A267" s="26" t="s">
        <v>58</v>
      </c>
      <c r="B267" s="88"/>
      <c r="C267" s="136">
        <v>500</v>
      </c>
      <c r="D267" s="104"/>
      <c r="E267" s="236"/>
      <c r="F267" s="274">
        <f t="shared" si="78"/>
        <v>500</v>
      </c>
      <c r="G267" s="287"/>
      <c r="H267" s="320"/>
      <c r="I267" s="256">
        <f>F267+G267+H267</f>
        <v>500</v>
      </c>
      <c r="J267" s="21"/>
      <c r="K267" s="7"/>
      <c r="L267" s="65">
        <f>I267+J267+K267</f>
        <v>500</v>
      </c>
      <c r="M267" s="127"/>
      <c r="N267" s="7"/>
      <c r="O267" s="18">
        <f>L267+M267+N267</f>
        <v>500</v>
      </c>
      <c r="P267" s="72"/>
      <c r="Q267" s="70">
        <f>O267+P267</f>
        <v>500</v>
      </c>
    </row>
    <row r="268" spans="1:17" ht="12.75">
      <c r="A268" s="26" t="s">
        <v>290</v>
      </c>
      <c r="B268" s="88"/>
      <c r="C268" s="136">
        <v>7274</v>
      </c>
      <c r="D268" s="104">
        <f>1900-40</f>
        <v>1860</v>
      </c>
      <c r="E268" s="236">
        <v>-2694</v>
      </c>
      <c r="F268" s="274">
        <f t="shared" si="78"/>
        <v>6440</v>
      </c>
      <c r="G268" s="287">
        <f>2000</f>
        <v>2000</v>
      </c>
      <c r="H268" s="320"/>
      <c r="I268" s="256">
        <f>F268+G268+H268</f>
        <v>8440</v>
      </c>
      <c r="J268" s="21"/>
      <c r="K268" s="7"/>
      <c r="L268" s="65"/>
      <c r="M268" s="127"/>
      <c r="N268" s="7"/>
      <c r="O268" s="18"/>
      <c r="P268" s="72"/>
      <c r="Q268" s="70"/>
    </row>
    <row r="269" spans="1:17" ht="12.75">
      <c r="A269" s="29" t="s">
        <v>291</v>
      </c>
      <c r="B269" s="91"/>
      <c r="C269" s="164">
        <v>600</v>
      </c>
      <c r="D269" s="112"/>
      <c r="E269" s="267">
        <v>2694</v>
      </c>
      <c r="F269" s="279">
        <f t="shared" si="78"/>
        <v>3294</v>
      </c>
      <c r="G269" s="294"/>
      <c r="H269" s="318"/>
      <c r="I269" s="262">
        <f>F269+G269+H269</f>
        <v>3294</v>
      </c>
      <c r="J269" s="21"/>
      <c r="K269" s="7"/>
      <c r="L269" s="65"/>
      <c r="M269" s="127"/>
      <c r="N269" s="7"/>
      <c r="O269" s="18"/>
      <c r="P269" s="72"/>
      <c r="Q269" s="70"/>
    </row>
    <row r="270" spans="1:17" ht="12.75" hidden="1">
      <c r="A270" s="26" t="s">
        <v>59</v>
      </c>
      <c r="B270" s="88"/>
      <c r="C270" s="136"/>
      <c r="D270" s="104"/>
      <c r="E270" s="236"/>
      <c r="F270" s="274">
        <f t="shared" si="78"/>
        <v>0</v>
      </c>
      <c r="G270" s="287"/>
      <c r="H270" s="320"/>
      <c r="I270" s="256">
        <f>F270+G270+H270</f>
        <v>0</v>
      </c>
      <c r="J270" s="21"/>
      <c r="K270" s="7"/>
      <c r="L270" s="65">
        <f>I270+J270+K270</f>
        <v>0</v>
      </c>
      <c r="M270" s="127"/>
      <c r="N270" s="7"/>
      <c r="O270" s="18">
        <f>L270+M270+N270</f>
        <v>0</v>
      </c>
      <c r="P270" s="72"/>
      <c r="Q270" s="70">
        <f>O270+P270</f>
        <v>0</v>
      </c>
    </row>
    <row r="271" spans="1:17" ht="12.75" hidden="1">
      <c r="A271" s="33" t="s">
        <v>60</v>
      </c>
      <c r="B271" s="92"/>
      <c r="C271" s="165">
        <f aca="true" t="shared" si="79" ref="C271:Q271">SUM(C273:C275)</f>
        <v>0</v>
      </c>
      <c r="D271" s="114">
        <f t="shared" si="79"/>
        <v>0</v>
      </c>
      <c r="E271" s="242">
        <f t="shared" si="79"/>
        <v>0</v>
      </c>
      <c r="F271" s="278">
        <f t="shared" si="79"/>
        <v>0</v>
      </c>
      <c r="G271" s="293">
        <f t="shared" si="79"/>
        <v>0</v>
      </c>
      <c r="H271" s="326">
        <f t="shared" si="79"/>
        <v>0</v>
      </c>
      <c r="I271" s="261">
        <f t="shared" si="79"/>
        <v>0</v>
      </c>
      <c r="J271" s="165">
        <f t="shared" si="79"/>
        <v>0</v>
      </c>
      <c r="K271" s="114">
        <f t="shared" si="79"/>
        <v>0</v>
      </c>
      <c r="L271" s="184">
        <f t="shared" si="79"/>
        <v>0</v>
      </c>
      <c r="M271" s="155">
        <f t="shared" si="79"/>
        <v>0</v>
      </c>
      <c r="N271" s="113">
        <f t="shared" si="79"/>
        <v>0</v>
      </c>
      <c r="O271" s="113">
        <f t="shared" si="79"/>
        <v>0</v>
      </c>
      <c r="P271" s="113">
        <f t="shared" si="79"/>
        <v>0</v>
      </c>
      <c r="Q271" s="113">
        <f t="shared" si="79"/>
        <v>0</v>
      </c>
    </row>
    <row r="272" spans="1:17" ht="12.75" hidden="1">
      <c r="A272" s="24" t="s">
        <v>27</v>
      </c>
      <c r="B272" s="88"/>
      <c r="C272" s="130"/>
      <c r="D272" s="107"/>
      <c r="E272" s="238"/>
      <c r="F272" s="275"/>
      <c r="G272" s="289"/>
      <c r="H272" s="322"/>
      <c r="I272" s="258"/>
      <c r="J272" s="198"/>
      <c r="K272" s="8"/>
      <c r="L272" s="22"/>
      <c r="M272" s="213"/>
      <c r="N272" s="8"/>
      <c r="O272" s="19"/>
      <c r="P272" s="72"/>
      <c r="Q272" s="70"/>
    </row>
    <row r="273" spans="1:17" ht="12.75" hidden="1">
      <c r="A273" s="26" t="s">
        <v>169</v>
      </c>
      <c r="B273" s="88"/>
      <c r="C273" s="136"/>
      <c r="D273" s="104"/>
      <c r="E273" s="236"/>
      <c r="F273" s="274">
        <f>C273+D273+E273</f>
        <v>0</v>
      </c>
      <c r="G273" s="287"/>
      <c r="H273" s="320"/>
      <c r="I273" s="256">
        <f>F273+G273+H273</f>
        <v>0</v>
      </c>
      <c r="J273" s="21"/>
      <c r="K273" s="7"/>
      <c r="L273" s="65">
        <f>I273+J273+K273</f>
        <v>0</v>
      </c>
      <c r="M273" s="127"/>
      <c r="N273" s="7"/>
      <c r="O273" s="18">
        <f>L273+M273+N273</f>
        <v>0</v>
      </c>
      <c r="P273" s="72"/>
      <c r="Q273" s="70">
        <f>O273+P273</f>
        <v>0</v>
      </c>
    </row>
    <row r="274" spans="1:17" ht="12.75" hidden="1">
      <c r="A274" s="26" t="s">
        <v>59</v>
      </c>
      <c r="B274" s="88"/>
      <c r="C274" s="136"/>
      <c r="D274" s="104"/>
      <c r="E274" s="236"/>
      <c r="F274" s="274">
        <f>C274+D274+E274</f>
        <v>0</v>
      </c>
      <c r="G274" s="294"/>
      <c r="H274" s="318"/>
      <c r="I274" s="262">
        <f>F274+G274+H274</f>
        <v>0</v>
      </c>
      <c r="J274" s="199"/>
      <c r="K274" s="10"/>
      <c r="L274" s="64">
        <f>I274+J274+K274</f>
        <v>0</v>
      </c>
      <c r="M274" s="214"/>
      <c r="N274" s="10"/>
      <c r="O274" s="20">
        <f>L274+M274+N274</f>
        <v>0</v>
      </c>
      <c r="P274" s="75"/>
      <c r="Q274" s="76">
        <f>O274+P274</f>
        <v>0</v>
      </c>
    </row>
    <row r="275" spans="1:17" ht="12.75" hidden="1">
      <c r="A275" s="29" t="s">
        <v>61</v>
      </c>
      <c r="B275" s="91"/>
      <c r="C275" s="164"/>
      <c r="D275" s="112"/>
      <c r="E275" s="267"/>
      <c r="F275" s="279">
        <f>C275+D275+E275</f>
        <v>0</v>
      </c>
      <c r="G275" s="294"/>
      <c r="H275" s="318"/>
      <c r="I275" s="262">
        <f>F275+G275+H275</f>
        <v>0</v>
      </c>
      <c r="J275" s="199"/>
      <c r="K275" s="10"/>
      <c r="L275" s="64">
        <f>I275+J275+K275</f>
        <v>0</v>
      </c>
      <c r="M275" s="214"/>
      <c r="N275" s="10"/>
      <c r="O275" s="20">
        <f>L275+M275+N275</f>
        <v>0</v>
      </c>
      <c r="P275" s="72"/>
      <c r="Q275" s="70">
        <f>O275+P275</f>
        <v>0</v>
      </c>
    </row>
    <row r="276" spans="1:17" ht="12.75">
      <c r="A276" s="23" t="s">
        <v>298</v>
      </c>
      <c r="B276" s="92"/>
      <c r="C276" s="143">
        <f aca="true" t="shared" si="80" ref="C276:Q276">C277+C294</f>
        <v>373953.11</v>
      </c>
      <c r="D276" s="103">
        <f t="shared" si="80"/>
        <v>25824.489999999998</v>
      </c>
      <c r="E276" s="233">
        <f t="shared" si="80"/>
        <v>0</v>
      </c>
      <c r="F276" s="254">
        <f t="shared" si="80"/>
        <v>399777.6</v>
      </c>
      <c r="G276" s="286">
        <f t="shared" si="80"/>
        <v>1214</v>
      </c>
      <c r="H276" s="319">
        <f t="shared" si="80"/>
        <v>0</v>
      </c>
      <c r="I276" s="257">
        <f t="shared" si="80"/>
        <v>400991.6</v>
      </c>
      <c r="J276" s="143">
        <f t="shared" si="80"/>
        <v>0</v>
      </c>
      <c r="K276" s="103">
        <f t="shared" si="80"/>
        <v>0</v>
      </c>
      <c r="L276" s="158">
        <f t="shared" si="80"/>
        <v>400761.6</v>
      </c>
      <c r="M276" s="128">
        <f t="shared" si="80"/>
        <v>0</v>
      </c>
      <c r="N276" s="102">
        <f t="shared" si="80"/>
        <v>0</v>
      </c>
      <c r="O276" s="102">
        <f t="shared" si="80"/>
        <v>400761.6</v>
      </c>
      <c r="P276" s="102">
        <f t="shared" si="80"/>
        <v>0</v>
      </c>
      <c r="Q276" s="102">
        <f t="shared" si="80"/>
        <v>400761.6</v>
      </c>
    </row>
    <row r="277" spans="1:17" ht="12.75">
      <c r="A277" s="32" t="s">
        <v>55</v>
      </c>
      <c r="B277" s="92"/>
      <c r="C277" s="163">
        <f aca="true" t="shared" si="81" ref="C277:Q277">SUM(C279:C293)</f>
        <v>373953.11</v>
      </c>
      <c r="D277" s="111">
        <f t="shared" si="81"/>
        <v>19975.01</v>
      </c>
      <c r="E277" s="241">
        <f t="shared" si="81"/>
        <v>0</v>
      </c>
      <c r="F277" s="277">
        <f t="shared" si="81"/>
        <v>393928.12</v>
      </c>
      <c r="G277" s="291">
        <f t="shared" si="81"/>
        <v>1214</v>
      </c>
      <c r="H277" s="324">
        <f t="shared" si="81"/>
        <v>0</v>
      </c>
      <c r="I277" s="260">
        <f t="shared" si="81"/>
        <v>395142.12</v>
      </c>
      <c r="J277" s="163">
        <f t="shared" si="81"/>
        <v>0</v>
      </c>
      <c r="K277" s="111">
        <f t="shared" si="81"/>
        <v>0</v>
      </c>
      <c r="L277" s="183">
        <f t="shared" si="81"/>
        <v>394912.12</v>
      </c>
      <c r="M277" s="154">
        <f t="shared" si="81"/>
        <v>0</v>
      </c>
      <c r="N277" s="110">
        <f t="shared" si="81"/>
        <v>0</v>
      </c>
      <c r="O277" s="110">
        <f t="shared" si="81"/>
        <v>394912.12</v>
      </c>
      <c r="P277" s="110">
        <f t="shared" si="81"/>
        <v>0</v>
      </c>
      <c r="Q277" s="110">
        <f t="shared" si="81"/>
        <v>394912.12</v>
      </c>
    </row>
    <row r="278" spans="1:17" ht="12.75">
      <c r="A278" s="28" t="s">
        <v>27</v>
      </c>
      <c r="B278" s="88"/>
      <c r="C278" s="136"/>
      <c r="D278" s="104"/>
      <c r="E278" s="236"/>
      <c r="F278" s="274"/>
      <c r="G278" s="287"/>
      <c r="H278" s="320"/>
      <c r="I278" s="256"/>
      <c r="J278" s="21"/>
      <c r="K278" s="7"/>
      <c r="L278" s="65"/>
      <c r="M278" s="127"/>
      <c r="N278" s="7"/>
      <c r="O278" s="18"/>
      <c r="P278" s="72"/>
      <c r="Q278" s="70"/>
    </row>
    <row r="279" spans="1:17" ht="12.75">
      <c r="A279" s="35" t="s">
        <v>150</v>
      </c>
      <c r="B279" s="88"/>
      <c r="C279" s="136">
        <v>184639.38</v>
      </c>
      <c r="D279" s="104">
        <f>8226.4+1200</f>
        <v>9426.4</v>
      </c>
      <c r="E279" s="236"/>
      <c r="F279" s="274">
        <f aca="true" t="shared" si="82" ref="F279:F293">C279+D279+E279</f>
        <v>194065.78</v>
      </c>
      <c r="G279" s="287">
        <f>-80</f>
        <v>-80</v>
      </c>
      <c r="H279" s="320"/>
      <c r="I279" s="256">
        <f>F279+G279+H279</f>
        <v>193985.78</v>
      </c>
      <c r="J279" s="21"/>
      <c r="K279" s="7"/>
      <c r="L279" s="65">
        <f>I279+J279+K279</f>
        <v>193985.78</v>
      </c>
      <c r="M279" s="127"/>
      <c r="N279" s="7"/>
      <c r="O279" s="18">
        <f>L279+M279+N279</f>
        <v>193985.78</v>
      </c>
      <c r="P279" s="72"/>
      <c r="Q279" s="70">
        <f aca="true" t="shared" si="83" ref="Q279:Q286">O279+P279</f>
        <v>193985.78</v>
      </c>
    </row>
    <row r="280" spans="1:17" ht="12.75">
      <c r="A280" s="26" t="s">
        <v>56</v>
      </c>
      <c r="B280" s="88"/>
      <c r="C280" s="136">
        <v>62979.15</v>
      </c>
      <c r="D280" s="104">
        <v>2831.94</v>
      </c>
      <c r="E280" s="236"/>
      <c r="F280" s="274">
        <f t="shared" si="82"/>
        <v>65811.09</v>
      </c>
      <c r="G280" s="287">
        <f>408+80</f>
        <v>488</v>
      </c>
      <c r="H280" s="320"/>
      <c r="I280" s="256">
        <f aca="true" t="shared" si="84" ref="I280:I290">F280+G280+H280</f>
        <v>66299.09</v>
      </c>
      <c r="J280" s="21"/>
      <c r="K280" s="7"/>
      <c r="L280" s="65">
        <f aca="true" t="shared" si="85" ref="L280:L286">I280+J280+K280</f>
        <v>66299.09</v>
      </c>
      <c r="M280" s="127"/>
      <c r="N280" s="7"/>
      <c r="O280" s="18">
        <f aca="true" t="shared" si="86" ref="O280:O286">L280+M280+N280</f>
        <v>66299.09</v>
      </c>
      <c r="P280" s="72"/>
      <c r="Q280" s="70">
        <f t="shared" si="83"/>
        <v>66299.09</v>
      </c>
    </row>
    <row r="281" spans="1:17" ht="12.75">
      <c r="A281" s="26" t="s">
        <v>289</v>
      </c>
      <c r="B281" s="88"/>
      <c r="C281" s="136">
        <v>200</v>
      </c>
      <c r="D281" s="104"/>
      <c r="E281" s="236"/>
      <c r="F281" s="274">
        <f t="shared" si="82"/>
        <v>200</v>
      </c>
      <c r="G281" s="287">
        <f>40</f>
        <v>40</v>
      </c>
      <c r="H281" s="320"/>
      <c r="I281" s="256">
        <f t="shared" si="84"/>
        <v>240</v>
      </c>
      <c r="J281" s="21"/>
      <c r="K281" s="7"/>
      <c r="L281" s="65">
        <f t="shared" si="85"/>
        <v>240</v>
      </c>
      <c r="M281" s="127"/>
      <c r="N281" s="7"/>
      <c r="O281" s="18">
        <f t="shared" si="86"/>
        <v>240</v>
      </c>
      <c r="P281" s="72"/>
      <c r="Q281" s="70">
        <f t="shared" si="83"/>
        <v>240</v>
      </c>
    </row>
    <row r="282" spans="1:17" ht="12.75">
      <c r="A282" s="26" t="s">
        <v>57</v>
      </c>
      <c r="B282" s="88"/>
      <c r="C282" s="136">
        <v>60808.58</v>
      </c>
      <c r="D282" s="132">
        <f>287.92+748.61+5640</f>
        <v>6676.53</v>
      </c>
      <c r="E282" s="236"/>
      <c r="F282" s="274">
        <f t="shared" si="82"/>
        <v>67485.11</v>
      </c>
      <c r="G282" s="287">
        <f>516</f>
        <v>516</v>
      </c>
      <c r="H282" s="320"/>
      <c r="I282" s="256">
        <f t="shared" si="84"/>
        <v>68001.11</v>
      </c>
      <c r="J282" s="21"/>
      <c r="K282" s="7"/>
      <c r="L282" s="65">
        <f t="shared" si="85"/>
        <v>68001.11</v>
      </c>
      <c r="M282" s="127"/>
      <c r="N282" s="7"/>
      <c r="O282" s="18">
        <f t="shared" si="86"/>
        <v>68001.11</v>
      </c>
      <c r="P282" s="72"/>
      <c r="Q282" s="70">
        <f t="shared" si="83"/>
        <v>68001.11</v>
      </c>
    </row>
    <row r="283" spans="1:17" ht="12.75">
      <c r="A283" s="26" t="s">
        <v>62</v>
      </c>
      <c r="B283" s="88">
        <v>1115</v>
      </c>
      <c r="C283" s="136">
        <v>462</v>
      </c>
      <c r="D283" s="104"/>
      <c r="E283" s="236"/>
      <c r="F283" s="274">
        <f t="shared" si="82"/>
        <v>462</v>
      </c>
      <c r="G283" s="287"/>
      <c r="H283" s="320"/>
      <c r="I283" s="256">
        <f t="shared" si="84"/>
        <v>462</v>
      </c>
      <c r="J283" s="21"/>
      <c r="K283" s="7"/>
      <c r="L283" s="65">
        <f t="shared" si="85"/>
        <v>462</v>
      </c>
      <c r="M283" s="127"/>
      <c r="N283" s="7"/>
      <c r="O283" s="18">
        <f t="shared" si="86"/>
        <v>462</v>
      </c>
      <c r="P283" s="72"/>
      <c r="Q283" s="70">
        <f t="shared" si="83"/>
        <v>462</v>
      </c>
    </row>
    <row r="284" spans="1:17" ht="12.75" hidden="1">
      <c r="A284" s="26" t="s">
        <v>63</v>
      </c>
      <c r="B284" s="88"/>
      <c r="C284" s="136"/>
      <c r="D284" s="104"/>
      <c r="E284" s="236"/>
      <c r="F284" s="274">
        <f t="shared" si="82"/>
        <v>0</v>
      </c>
      <c r="G284" s="287"/>
      <c r="H284" s="320"/>
      <c r="I284" s="256">
        <f t="shared" si="84"/>
        <v>0</v>
      </c>
      <c r="J284" s="21"/>
      <c r="K284" s="7"/>
      <c r="L284" s="65">
        <f t="shared" si="85"/>
        <v>0</v>
      </c>
      <c r="M284" s="127"/>
      <c r="N284" s="7"/>
      <c r="O284" s="18">
        <f t="shared" si="86"/>
        <v>0</v>
      </c>
      <c r="P284" s="72"/>
      <c r="Q284" s="70">
        <f t="shared" si="83"/>
        <v>0</v>
      </c>
    </row>
    <row r="285" spans="1:17" ht="12.75">
      <c r="A285" s="26" t="s">
        <v>64</v>
      </c>
      <c r="B285" s="88">
        <v>51</v>
      </c>
      <c r="C285" s="136">
        <v>64864</v>
      </c>
      <c r="D285" s="104"/>
      <c r="E285" s="236"/>
      <c r="F285" s="274">
        <f t="shared" si="82"/>
        <v>64864</v>
      </c>
      <c r="G285" s="287"/>
      <c r="H285" s="320"/>
      <c r="I285" s="256">
        <f t="shared" si="84"/>
        <v>64864</v>
      </c>
      <c r="J285" s="21"/>
      <c r="K285" s="7"/>
      <c r="L285" s="65">
        <f t="shared" si="85"/>
        <v>64864</v>
      </c>
      <c r="M285" s="127"/>
      <c r="N285" s="7"/>
      <c r="O285" s="18">
        <f t="shared" si="86"/>
        <v>64864</v>
      </c>
      <c r="P285" s="72"/>
      <c r="Q285" s="70">
        <f t="shared" si="83"/>
        <v>64864</v>
      </c>
    </row>
    <row r="286" spans="1:17" ht="12.75">
      <c r="A286" s="26" t="s">
        <v>86</v>
      </c>
      <c r="B286" s="88"/>
      <c r="C286" s="136"/>
      <c r="D286" s="104">
        <f>52.55+13.59+744</f>
        <v>810.14</v>
      </c>
      <c r="E286" s="236"/>
      <c r="F286" s="274">
        <f t="shared" si="82"/>
        <v>810.14</v>
      </c>
      <c r="G286" s="287"/>
      <c r="H286" s="320"/>
      <c r="I286" s="256">
        <f t="shared" si="84"/>
        <v>810.14</v>
      </c>
      <c r="J286" s="21"/>
      <c r="K286" s="7"/>
      <c r="L286" s="65">
        <f t="shared" si="85"/>
        <v>810.14</v>
      </c>
      <c r="M286" s="127"/>
      <c r="N286" s="7"/>
      <c r="O286" s="18">
        <f t="shared" si="86"/>
        <v>810.14</v>
      </c>
      <c r="P286" s="72"/>
      <c r="Q286" s="70">
        <f t="shared" si="83"/>
        <v>810.14</v>
      </c>
    </row>
    <row r="287" spans="1:17" ht="12.75" hidden="1">
      <c r="A287" s="26" t="s">
        <v>226</v>
      </c>
      <c r="B287" s="88">
        <v>13234</v>
      </c>
      <c r="C287" s="136"/>
      <c r="D287" s="104"/>
      <c r="E287" s="236"/>
      <c r="F287" s="274">
        <f t="shared" si="82"/>
        <v>0</v>
      </c>
      <c r="G287" s="287"/>
      <c r="H287" s="320"/>
      <c r="I287" s="256">
        <f t="shared" si="84"/>
        <v>0</v>
      </c>
      <c r="J287" s="21"/>
      <c r="K287" s="7"/>
      <c r="L287" s="65"/>
      <c r="M287" s="127"/>
      <c r="N287" s="7"/>
      <c r="O287" s="18"/>
      <c r="P287" s="72"/>
      <c r="Q287" s="70"/>
    </row>
    <row r="288" spans="1:17" ht="12.75" hidden="1">
      <c r="A288" s="26" t="s">
        <v>65</v>
      </c>
      <c r="B288" s="88"/>
      <c r="C288" s="136"/>
      <c r="D288" s="104"/>
      <c r="E288" s="236"/>
      <c r="F288" s="274">
        <f t="shared" si="82"/>
        <v>0</v>
      </c>
      <c r="G288" s="287"/>
      <c r="H288" s="320"/>
      <c r="I288" s="256">
        <f t="shared" si="84"/>
        <v>0</v>
      </c>
      <c r="J288" s="21"/>
      <c r="K288" s="7"/>
      <c r="L288" s="65">
        <f>I288+J288+K288</f>
        <v>0</v>
      </c>
      <c r="M288" s="127"/>
      <c r="N288" s="7"/>
      <c r="O288" s="18">
        <f>L288+M288+N288</f>
        <v>0</v>
      </c>
      <c r="P288" s="72"/>
      <c r="Q288" s="70">
        <f>O288+P288</f>
        <v>0</v>
      </c>
    </row>
    <row r="289" spans="1:17" ht="12.75">
      <c r="A289" s="26" t="s">
        <v>303</v>
      </c>
      <c r="B289" s="88">
        <v>98008</v>
      </c>
      <c r="C289" s="136"/>
      <c r="D289" s="104">
        <f>200</f>
        <v>200</v>
      </c>
      <c r="E289" s="236"/>
      <c r="F289" s="274">
        <f t="shared" si="82"/>
        <v>200</v>
      </c>
      <c r="G289" s="287"/>
      <c r="H289" s="320"/>
      <c r="I289" s="256">
        <f t="shared" si="84"/>
        <v>200</v>
      </c>
      <c r="J289" s="21"/>
      <c r="K289" s="7"/>
      <c r="L289" s="65"/>
      <c r="M289" s="127"/>
      <c r="N289" s="7"/>
      <c r="O289" s="18"/>
      <c r="P289" s="72"/>
      <c r="Q289" s="70"/>
    </row>
    <row r="290" spans="1:17" ht="12.75">
      <c r="A290" s="26" t="s">
        <v>304</v>
      </c>
      <c r="B290" s="88">
        <v>98071</v>
      </c>
      <c r="C290" s="136"/>
      <c r="D290" s="104">
        <v>30</v>
      </c>
      <c r="E290" s="236"/>
      <c r="F290" s="274">
        <f t="shared" si="82"/>
        <v>30</v>
      </c>
      <c r="G290" s="287"/>
      <c r="H290" s="320"/>
      <c r="I290" s="256">
        <f t="shared" si="84"/>
        <v>30</v>
      </c>
      <c r="J290" s="21"/>
      <c r="K290" s="7"/>
      <c r="L290" s="65"/>
      <c r="M290" s="127"/>
      <c r="N290" s="7"/>
      <c r="O290" s="18"/>
      <c r="P290" s="72"/>
      <c r="Q290" s="70"/>
    </row>
    <row r="291" spans="1:17" ht="12.75" hidden="1">
      <c r="A291" s="26" t="s">
        <v>66</v>
      </c>
      <c r="B291" s="88">
        <v>98074</v>
      </c>
      <c r="C291" s="136"/>
      <c r="D291" s="104"/>
      <c r="E291" s="236"/>
      <c r="F291" s="274">
        <f t="shared" si="82"/>
        <v>0</v>
      </c>
      <c r="G291" s="287"/>
      <c r="H291" s="320"/>
      <c r="I291" s="256">
        <f>F291+G291+H291</f>
        <v>0</v>
      </c>
      <c r="J291" s="21"/>
      <c r="K291" s="7"/>
      <c r="L291" s="65">
        <f>I291+J291+K291</f>
        <v>0</v>
      </c>
      <c r="M291" s="127"/>
      <c r="N291" s="7"/>
      <c r="O291" s="18">
        <f>L291+M291+N291</f>
        <v>0</v>
      </c>
      <c r="P291" s="72"/>
      <c r="Q291" s="70">
        <f>O291+P291</f>
        <v>0</v>
      </c>
    </row>
    <row r="292" spans="1:17" ht="12.75" hidden="1">
      <c r="A292" s="26" t="s">
        <v>67</v>
      </c>
      <c r="B292" s="88"/>
      <c r="C292" s="136"/>
      <c r="D292" s="104"/>
      <c r="E292" s="236"/>
      <c r="F292" s="274">
        <f t="shared" si="82"/>
        <v>0</v>
      </c>
      <c r="G292" s="287"/>
      <c r="H292" s="320"/>
      <c r="I292" s="256">
        <f>F292+G292+H292</f>
        <v>0</v>
      </c>
      <c r="J292" s="21"/>
      <c r="K292" s="7"/>
      <c r="L292" s="65">
        <f>I292+J292+K292</f>
        <v>0</v>
      </c>
      <c r="M292" s="127"/>
      <c r="N292" s="7"/>
      <c r="O292" s="18">
        <f>L292+M292+N292</f>
        <v>0</v>
      </c>
      <c r="P292" s="72"/>
      <c r="Q292" s="70">
        <f>O292+P292</f>
        <v>0</v>
      </c>
    </row>
    <row r="293" spans="1:17" ht="12.75">
      <c r="A293" s="26" t="s">
        <v>68</v>
      </c>
      <c r="B293" s="88">
        <v>4001</v>
      </c>
      <c r="C293" s="136"/>
      <c r="D293" s="104"/>
      <c r="E293" s="236"/>
      <c r="F293" s="274">
        <f t="shared" si="82"/>
        <v>0</v>
      </c>
      <c r="G293" s="287">
        <f>250</f>
        <v>250</v>
      </c>
      <c r="H293" s="320"/>
      <c r="I293" s="256">
        <f>F293+G293+H293</f>
        <v>250</v>
      </c>
      <c r="J293" s="21"/>
      <c r="K293" s="7"/>
      <c r="L293" s="65">
        <f>I293+J293+K293</f>
        <v>250</v>
      </c>
      <c r="M293" s="127"/>
      <c r="N293" s="7"/>
      <c r="O293" s="18">
        <f>L293+M293+N293</f>
        <v>250</v>
      </c>
      <c r="P293" s="72"/>
      <c r="Q293" s="70">
        <f>O293+P293</f>
        <v>250</v>
      </c>
    </row>
    <row r="294" spans="1:17" ht="12.75">
      <c r="A294" s="32" t="s">
        <v>60</v>
      </c>
      <c r="B294" s="92"/>
      <c r="C294" s="163">
        <f>C297+C296</f>
        <v>0</v>
      </c>
      <c r="D294" s="111">
        <f aca="true" t="shared" si="87" ref="D294:Q294">D297+D296</f>
        <v>5849.48</v>
      </c>
      <c r="E294" s="241">
        <f t="shared" si="87"/>
        <v>0</v>
      </c>
      <c r="F294" s="277">
        <f t="shared" si="87"/>
        <v>5849.48</v>
      </c>
      <c r="G294" s="291">
        <f t="shared" si="87"/>
        <v>0</v>
      </c>
      <c r="H294" s="324">
        <f t="shared" si="87"/>
        <v>0</v>
      </c>
      <c r="I294" s="260">
        <f t="shared" si="87"/>
        <v>5849.48</v>
      </c>
      <c r="J294" s="163">
        <f t="shared" si="87"/>
        <v>0</v>
      </c>
      <c r="K294" s="111">
        <f t="shared" si="87"/>
        <v>0</v>
      </c>
      <c r="L294" s="183">
        <f t="shared" si="87"/>
        <v>5849.48</v>
      </c>
      <c r="M294" s="154">
        <f t="shared" si="87"/>
        <v>0</v>
      </c>
      <c r="N294" s="110">
        <f t="shared" si="87"/>
        <v>0</v>
      </c>
      <c r="O294" s="110">
        <f t="shared" si="87"/>
        <v>5849.48</v>
      </c>
      <c r="P294" s="110">
        <f t="shared" si="87"/>
        <v>0</v>
      </c>
      <c r="Q294" s="110">
        <f t="shared" si="87"/>
        <v>5849.48</v>
      </c>
    </row>
    <row r="295" spans="1:17" ht="12.75">
      <c r="A295" s="28" t="s">
        <v>27</v>
      </c>
      <c r="B295" s="88"/>
      <c r="C295" s="136"/>
      <c r="D295" s="104"/>
      <c r="E295" s="236"/>
      <c r="F295" s="254"/>
      <c r="G295" s="287"/>
      <c r="H295" s="320"/>
      <c r="I295" s="257"/>
      <c r="J295" s="21"/>
      <c r="K295" s="7"/>
      <c r="L295" s="61"/>
      <c r="M295" s="127"/>
      <c r="N295" s="7"/>
      <c r="O295" s="17"/>
      <c r="P295" s="72"/>
      <c r="Q295" s="70"/>
    </row>
    <row r="296" spans="1:17" ht="12.75" hidden="1">
      <c r="A296" s="25" t="s">
        <v>61</v>
      </c>
      <c r="B296" s="88"/>
      <c r="C296" s="136"/>
      <c r="D296" s="104"/>
      <c r="E296" s="236"/>
      <c r="F296" s="274">
        <f>C296+D296+E296</f>
        <v>0</v>
      </c>
      <c r="G296" s="287"/>
      <c r="H296" s="320"/>
      <c r="I296" s="256">
        <f>F296+G296+H296</f>
        <v>0</v>
      </c>
      <c r="J296" s="21"/>
      <c r="K296" s="7"/>
      <c r="L296" s="65">
        <f>I296+J296+K296</f>
        <v>0</v>
      </c>
      <c r="M296" s="127"/>
      <c r="N296" s="7"/>
      <c r="O296" s="18">
        <f>L296+M296+N296</f>
        <v>0</v>
      </c>
      <c r="P296" s="72"/>
      <c r="Q296" s="70">
        <f>O296+P296</f>
        <v>0</v>
      </c>
    </row>
    <row r="297" spans="1:17" ht="12.75">
      <c r="A297" s="29" t="s">
        <v>87</v>
      </c>
      <c r="B297" s="91"/>
      <c r="C297" s="164"/>
      <c r="D297" s="112">
        <f>1753.48+4096</f>
        <v>5849.48</v>
      </c>
      <c r="E297" s="267"/>
      <c r="F297" s="279">
        <f>C297+D297+E297</f>
        <v>5849.48</v>
      </c>
      <c r="G297" s="294"/>
      <c r="H297" s="318"/>
      <c r="I297" s="262">
        <f>F297+G297+H297</f>
        <v>5849.48</v>
      </c>
      <c r="J297" s="199"/>
      <c r="K297" s="10"/>
      <c r="L297" s="64">
        <f>I297+J297+K297</f>
        <v>5849.48</v>
      </c>
      <c r="M297" s="214"/>
      <c r="N297" s="10"/>
      <c r="O297" s="20">
        <f>L297+M297+N297</f>
        <v>5849.48</v>
      </c>
      <c r="P297" s="75"/>
      <c r="Q297" s="76">
        <f>O297+P297</f>
        <v>5849.48</v>
      </c>
    </row>
    <row r="298" spans="1:17" ht="12.75">
      <c r="A298" s="38" t="s">
        <v>182</v>
      </c>
      <c r="B298" s="93"/>
      <c r="C298" s="143">
        <f>C299+C324</f>
        <v>511531.20000000007</v>
      </c>
      <c r="D298" s="103">
        <f aca="true" t="shared" si="88" ref="D298:Q298">D299+D324</f>
        <v>1444476.4900000002</v>
      </c>
      <c r="E298" s="233">
        <f t="shared" si="88"/>
        <v>-22622.4</v>
      </c>
      <c r="F298" s="254">
        <f t="shared" si="88"/>
        <v>1933385.29</v>
      </c>
      <c r="G298" s="286">
        <f t="shared" si="88"/>
        <v>458185.01999999996</v>
      </c>
      <c r="H298" s="319">
        <f t="shared" si="88"/>
        <v>-877.53</v>
      </c>
      <c r="I298" s="257">
        <f t="shared" si="88"/>
        <v>2390692.7800000003</v>
      </c>
      <c r="J298" s="143">
        <f t="shared" si="88"/>
        <v>0</v>
      </c>
      <c r="K298" s="103">
        <f t="shared" si="88"/>
        <v>0</v>
      </c>
      <c r="L298" s="158">
        <f t="shared" si="88"/>
        <v>0</v>
      </c>
      <c r="M298" s="128">
        <f t="shared" si="88"/>
        <v>0</v>
      </c>
      <c r="N298" s="102">
        <f t="shared" si="88"/>
        <v>0</v>
      </c>
      <c r="O298" s="102">
        <f t="shared" si="88"/>
        <v>0</v>
      </c>
      <c r="P298" s="102">
        <f t="shared" si="88"/>
        <v>0</v>
      </c>
      <c r="Q298" s="102">
        <f t="shared" si="88"/>
        <v>0</v>
      </c>
    </row>
    <row r="299" spans="1:17" ht="12.75">
      <c r="A299" s="32" t="s">
        <v>55</v>
      </c>
      <c r="B299" s="92"/>
      <c r="C299" s="163">
        <f>SUM(C301:C312)</f>
        <v>66348.6</v>
      </c>
      <c r="D299" s="111">
        <f aca="true" t="shared" si="89" ref="D299:Q299">SUM(D301:D312)</f>
        <v>44821.27</v>
      </c>
      <c r="E299" s="241">
        <f t="shared" si="89"/>
        <v>32.67</v>
      </c>
      <c r="F299" s="277">
        <f t="shared" si="89"/>
        <v>111202.54000000001</v>
      </c>
      <c r="G299" s="291">
        <f t="shared" si="89"/>
        <v>12155.240000000002</v>
      </c>
      <c r="H299" s="324">
        <f t="shared" si="89"/>
        <v>0</v>
      </c>
      <c r="I299" s="260">
        <f t="shared" si="89"/>
        <v>123357.78000000003</v>
      </c>
      <c r="J299" s="163">
        <f t="shared" si="89"/>
        <v>0</v>
      </c>
      <c r="K299" s="111">
        <f t="shared" si="89"/>
        <v>0</v>
      </c>
      <c r="L299" s="183">
        <f t="shared" si="89"/>
        <v>0</v>
      </c>
      <c r="M299" s="154">
        <f t="shared" si="89"/>
        <v>0</v>
      </c>
      <c r="N299" s="110">
        <f t="shared" si="89"/>
        <v>0</v>
      </c>
      <c r="O299" s="110">
        <f t="shared" si="89"/>
        <v>0</v>
      </c>
      <c r="P299" s="110">
        <f t="shared" si="89"/>
        <v>0</v>
      </c>
      <c r="Q299" s="110">
        <f t="shared" si="89"/>
        <v>0</v>
      </c>
    </row>
    <row r="300" spans="1:17" ht="12.75">
      <c r="A300" s="28" t="s">
        <v>27</v>
      </c>
      <c r="B300" s="88"/>
      <c r="C300" s="163"/>
      <c r="D300" s="125"/>
      <c r="E300" s="269"/>
      <c r="F300" s="277"/>
      <c r="G300" s="287"/>
      <c r="H300" s="320"/>
      <c r="I300" s="256"/>
      <c r="J300" s="21"/>
      <c r="K300" s="7"/>
      <c r="L300" s="65"/>
      <c r="M300" s="212"/>
      <c r="N300" s="7"/>
      <c r="O300" s="18"/>
      <c r="P300" s="72"/>
      <c r="Q300" s="70"/>
    </row>
    <row r="301" spans="1:17" ht="12.75">
      <c r="A301" s="30" t="s">
        <v>57</v>
      </c>
      <c r="B301" s="88"/>
      <c r="C301" s="136">
        <v>1613.6</v>
      </c>
      <c r="D301" s="115"/>
      <c r="E301" s="245"/>
      <c r="F301" s="274">
        <f aca="true" t="shared" si="90" ref="F301:F323">C301+D301+E301</f>
        <v>1613.6</v>
      </c>
      <c r="G301" s="287"/>
      <c r="H301" s="320"/>
      <c r="I301" s="256">
        <f aca="true" t="shared" si="91" ref="I301:I323">F301+G301+H301</f>
        <v>1613.6</v>
      </c>
      <c r="J301" s="21"/>
      <c r="K301" s="7"/>
      <c r="L301" s="65"/>
      <c r="M301" s="212"/>
      <c r="N301" s="7"/>
      <c r="O301" s="18"/>
      <c r="P301" s="72"/>
      <c r="Q301" s="70"/>
    </row>
    <row r="302" spans="1:17" ht="12.75">
      <c r="A302" s="30" t="s">
        <v>192</v>
      </c>
      <c r="B302" s="88">
        <v>1080</v>
      </c>
      <c r="C302" s="136"/>
      <c r="D302" s="115">
        <f>2430.75</f>
        <v>2430.75</v>
      </c>
      <c r="E302" s="245"/>
      <c r="F302" s="274">
        <f t="shared" si="90"/>
        <v>2430.75</v>
      </c>
      <c r="G302" s="287"/>
      <c r="H302" s="320"/>
      <c r="I302" s="256">
        <f t="shared" si="91"/>
        <v>2430.75</v>
      </c>
      <c r="J302" s="21"/>
      <c r="K302" s="7"/>
      <c r="L302" s="65"/>
      <c r="M302" s="212"/>
      <c r="N302" s="7"/>
      <c r="O302" s="18"/>
      <c r="P302" s="72"/>
      <c r="Q302" s="70"/>
    </row>
    <row r="303" spans="1:17" ht="12.75">
      <c r="A303" s="30" t="s">
        <v>193</v>
      </c>
      <c r="B303" s="206">
        <v>1081.1202</v>
      </c>
      <c r="C303" s="136">
        <v>2804</v>
      </c>
      <c r="D303" s="115">
        <f>1114.3</f>
        <v>1114.3</v>
      </c>
      <c r="E303" s="245"/>
      <c r="F303" s="274">
        <f t="shared" si="90"/>
        <v>3918.3</v>
      </c>
      <c r="G303" s="287"/>
      <c r="H303" s="320"/>
      <c r="I303" s="256">
        <f t="shared" si="91"/>
        <v>3918.3</v>
      </c>
      <c r="J303" s="21"/>
      <c r="K303" s="7"/>
      <c r="L303" s="65"/>
      <c r="M303" s="212"/>
      <c r="N303" s="7"/>
      <c r="O303" s="18"/>
      <c r="P303" s="72"/>
      <c r="Q303" s="70"/>
    </row>
    <row r="304" spans="1:17" ht="12.75">
      <c r="A304" s="89" t="s">
        <v>90</v>
      </c>
      <c r="B304" s="88"/>
      <c r="C304" s="136">
        <v>600</v>
      </c>
      <c r="D304" s="115"/>
      <c r="E304" s="245"/>
      <c r="F304" s="274">
        <f t="shared" si="90"/>
        <v>600</v>
      </c>
      <c r="G304" s="287"/>
      <c r="H304" s="320"/>
      <c r="I304" s="256">
        <f t="shared" si="91"/>
        <v>600</v>
      </c>
      <c r="J304" s="21"/>
      <c r="K304" s="7"/>
      <c r="L304" s="65"/>
      <c r="M304" s="212"/>
      <c r="N304" s="7"/>
      <c r="O304" s="18"/>
      <c r="P304" s="72"/>
      <c r="Q304" s="70"/>
    </row>
    <row r="305" spans="1:17" ht="12.75">
      <c r="A305" s="26" t="s">
        <v>201</v>
      </c>
      <c r="B305" s="88"/>
      <c r="C305" s="136">
        <v>33842</v>
      </c>
      <c r="D305" s="115"/>
      <c r="E305" s="245"/>
      <c r="F305" s="274">
        <f t="shared" si="90"/>
        <v>33842</v>
      </c>
      <c r="G305" s="287">
        <f>5000</f>
        <v>5000</v>
      </c>
      <c r="H305" s="320"/>
      <c r="I305" s="256">
        <f t="shared" si="91"/>
        <v>38842</v>
      </c>
      <c r="J305" s="21"/>
      <c r="K305" s="7"/>
      <c r="L305" s="65"/>
      <c r="M305" s="212"/>
      <c r="N305" s="7"/>
      <c r="O305" s="18"/>
      <c r="P305" s="72"/>
      <c r="Q305" s="70"/>
    </row>
    <row r="306" spans="1:17" ht="12.75" hidden="1">
      <c r="A306" s="30" t="s">
        <v>202</v>
      </c>
      <c r="B306" s="88"/>
      <c r="C306" s="136"/>
      <c r="D306" s="115"/>
      <c r="E306" s="245"/>
      <c r="F306" s="274">
        <f t="shared" si="90"/>
        <v>0</v>
      </c>
      <c r="G306" s="287"/>
      <c r="H306" s="320"/>
      <c r="I306" s="256">
        <f t="shared" si="91"/>
        <v>0</v>
      </c>
      <c r="J306" s="21"/>
      <c r="K306" s="7"/>
      <c r="L306" s="65"/>
      <c r="M306" s="212"/>
      <c r="N306" s="7"/>
      <c r="O306" s="18"/>
      <c r="P306" s="72"/>
      <c r="Q306" s="70"/>
    </row>
    <row r="307" spans="1:17" ht="12.75" hidden="1">
      <c r="A307" s="30" t="s">
        <v>263</v>
      </c>
      <c r="B307" s="88"/>
      <c r="C307" s="136"/>
      <c r="D307" s="115"/>
      <c r="E307" s="245"/>
      <c r="F307" s="274">
        <f t="shared" si="90"/>
        <v>0</v>
      </c>
      <c r="G307" s="287"/>
      <c r="H307" s="320"/>
      <c r="I307" s="256">
        <f t="shared" si="91"/>
        <v>0</v>
      </c>
      <c r="J307" s="21"/>
      <c r="K307" s="7"/>
      <c r="L307" s="65"/>
      <c r="M307" s="212"/>
      <c r="N307" s="7"/>
      <c r="O307" s="18"/>
      <c r="P307" s="72"/>
      <c r="Q307" s="70"/>
    </row>
    <row r="308" spans="1:17" ht="12.75">
      <c r="A308" s="30" t="s">
        <v>267</v>
      </c>
      <c r="B308" s="88"/>
      <c r="C308" s="136"/>
      <c r="D308" s="115">
        <f>192.3</f>
        <v>192.3</v>
      </c>
      <c r="E308" s="245"/>
      <c r="F308" s="274">
        <f t="shared" si="90"/>
        <v>192.3</v>
      </c>
      <c r="G308" s="287"/>
      <c r="H308" s="320"/>
      <c r="I308" s="256">
        <f t="shared" si="91"/>
        <v>192.3</v>
      </c>
      <c r="J308" s="21"/>
      <c r="K308" s="7"/>
      <c r="L308" s="65"/>
      <c r="M308" s="212"/>
      <c r="N308" s="7"/>
      <c r="O308" s="18"/>
      <c r="P308" s="72"/>
      <c r="Q308" s="70"/>
    </row>
    <row r="309" spans="1:17" ht="12.75">
      <c r="A309" s="26" t="s">
        <v>341</v>
      </c>
      <c r="B309" s="147">
        <v>212163</v>
      </c>
      <c r="C309" s="136"/>
      <c r="D309" s="115">
        <f>1724.05</f>
        <v>1724.05</v>
      </c>
      <c r="E309" s="245"/>
      <c r="F309" s="274">
        <f t="shared" si="90"/>
        <v>1724.05</v>
      </c>
      <c r="G309" s="287"/>
      <c r="H309" s="320"/>
      <c r="I309" s="256">
        <f t="shared" si="91"/>
        <v>1724.05</v>
      </c>
      <c r="J309" s="21"/>
      <c r="K309" s="7"/>
      <c r="L309" s="65"/>
      <c r="M309" s="212"/>
      <c r="N309" s="7"/>
      <c r="O309" s="18"/>
      <c r="P309" s="72"/>
      <c r="Q309" s="70"/>
    </row>
    <row r="310" spans="1:17" ht="12.75">
      <c r="A310" s="30" t="s">
        <v>185</v>
      </c>
      <c r="B310" s="147">
        <v>212162</v>
      </c>
      <c r="C310" s="136"/>
      <c r="D310" s="115">
        <f>658.97</f>
        <v>658.97</v>
      </c>
      <c r="E310" s="245"/>
      <c r="F310" s="274">
        <f>C310+D310+E310</f>
        <v>658.97</v>
      </c>
      <c r="G310" s="287"/>
      <c r="H310" s="320"/>
      <c r="I310" s="256">
        <f t="shared" si="91"/>
        <v>658.97</v>
      </c>
      <c r="J310" s="21"/>
      <c r="K310" s="7"/>
      <c r="L310" s="65"/>
      <c r="M310" s="212"/>
      <c r="N310" s="7"/>
      <c r="O310" s="18"/>
      <c r="P310" s="72"/>
      <c r="Q310" s="70"/>
    </row>
    <row r="311" spans="1:17" ht="12.75" hidden="1">
      <c r="A311" s="30" t="s">
        <v>340</v>
      </c>
      <c r="B311" s="147">
        <v>17051</v>
      </c>
      <c r="C311" s="136"/>
      <c r="D311" s="115"/>
      <c r="E311" s="245"/>
      <c r="F311" s="274">
        <f>C311+D311+E311</f>
        <v>0</v>
      </c>
      <c r="G311" s="287"/>
      <c r="H311" s="320"/>
      <c r="I311" s="256">
        <f t="shared" si="91"/>
        <v>0</v>
      </c>
      <c r="J311" s="21"/>
      <c r="K311" s="7"/>
      <c r="L311" s="65"/>
      <c r="M311" s="307"/>
      <c r="N311" s="308"/>
      <c r="O311" s="308"/>
      <c r="P311" s="309"/>
      <c r="Q311" s="310"/>
    </row>
    <row r="312" spans="1:17" ht="12.75">
      <c r="A312" s="26" t="s">
        <v>87</v>
      </c>
      <c r="B312" s="88"/>
      <c r="C312" s="138">
        <f>SUM(C313:C323)</f>
        <v>27489</v>
      </c>
      <c r="D312" s="115">
        <f aca="true" t="shared" si="92" ref="D312:Q312">SUM(D313:D323)</f>
        <v>38700.899999999994</v>
      </c>
      <c r="E312" s="245">
        <f t="shared" si="92"/>
        <v>32.67</v>
      </c>
      <c r="F312" s="281">
        <f t="shared" si="92"/>
        <v>66222.56999999999</v>
      </c>
      <c r="G312" s="296">
        <f t="shared" si="92"/>
        <v>7155.240000000002</v>
      </c>
      <c r="H312" s="328">
        <f t="shared" si="92"/>
        <v>0</v>
      </c>
      <c r="I312" s="264">
        <f t="shared" si="92"/>
        <v>73377.81000000001</v>
      </c>
      <c r="J312" s="138">
        <f t="shared" si="92"/>
        <v>0</v>
      </c>
      <c r="K312" s="115">
        <f t="shared" si="92"/>
        <v>0</v>
      </c>
      <c r="L312" s="185">
        <f t="shared" si="92"/>
        <v>0</v>
      </c>
      <c r="M312" s="156">
        <f t="shared" si="92"/>
        <v>0</v>
      </c>
      <c r="N312" s="138">
        <f t="shared" si="92"/>
        <v>0</v>
      </c>
      <c r="O312" s="138">
        <f t="shared" si="92"/>
        <v>0</v>
      </c>
      <c r="P312" s="138">
        <f t="shared" si="92"/>
        <v>0</v>
      </c>
      <c r="Q312" s="138">
        <f t="shared" si="92"/>
        <v>0</v>
      </c>
    </row>
    <row r="313" spans="1:17" ht="12.75">
      <c r="A313" s="26" t="s">
        <v>250</v>
      </c>
      <c r="B313" s="88"/>
      <c r="C313" s="138">
        <v>14000</v>
      </c>
      <c r="D313" s="115">
        <f>2000</f>
        <v>2000</v>
      </c>
      <c r="E313" s="236"/>
      <c r="F313" s="274">
        <f t="shared" si="90"/>
        <v>16000</v>
      </c>
      <c r="G313" s="287"/>
      <c r="H313" s="320"/>
      <c r="I313" s="256">
        <f t="shared" si="91"/>
        <v>16000</v>
      </c>
      <c r="J313" s="21"/>
      <c r="K313" s="7"/>
      <c r="L313" s="65"/>
      <c r="M313" s="212"/>
      <c r="N313" s="7"/>
      <c r="O313" s="18"/>
      <c r="P313" s="72"/>
      <c r="Q313" s="70"/>
    </row>
    <row r="314" spans="1:17" ht="12.75">
      <c r="A314" s="26" t="s">
        <v>200</v>
      </c>
      <c r="B314" s="88"/>
      <c r="C314" s="138"/>
      <c r="D314" s="115">
        <f>15999.31+2736.03+17203.48</f>
        <v>35938.82</v>
      </c>
      <c r="E314" s="236"/>
      <c r="F314" s="274">
        <f t="shared" si="90"/>
        <v>35938.82</v>
      </c>
      <c r="G314" s="287">
        <f>1245.41+2413.78+73.26+110.15+141.99</f>
        <v>3984.590000000001</v>
      </c>
      <c r="H314" s="320"/>
      <c r="I314" s="256">
        <f t="shared" si="91"/>
        <v>39923.41</v>
      </c>
      <c r="J314" s="21"/>
      <c r="K314" s="7"/>
      <c r="L314" s="65"/>
      <c r="M314" s="212"/>
      <c r="N314" s="7"/>
      <c r="O314" s="18"/>
      <c r="P314" s="72"/>
      <c r="Q314" s="70"/>
    </row>
    <row r="315" spans="1:17" ht="12.75" hidden="1">
      <c r="A315" s="26" t="s">
        <v>237</v>
      </c>
      <c r="B315" s="88"/>
      <c r="C315" s="138"/>
      <c r="D315" s="126"/>
      <c r="E315" s="236"/>
      <c r="F315" s="274">
        <f t="shared" si="90"/>
        <v>0</v>
      </c>
      <c r="G315" s="287"/>
      <c r="H315" s="320"/>
      <c r="I315" s="256">
        <f t="shared" si="91"/>
        <v>0</v>
      </c>
      <c r="J315" s="21"/>
      <c r="K315" s="7"/>
      <c r="L315" s="65"/>
      <c r="M315" s="212"/>
      <c r="N315" s="7"/>
      <c r="O315" s="18"/>
      <c r="P315" s="72"/>
      <c r="Q315" s="70"/>
    </row>
    <row r="316" spans="1:17" ht="12.75" hidden="1">
      <c r="A316" s="26" t="s">
        <v>233</v>
      </c>
      <c r="B316" s="88"/>
      <c r="C316" s="138"/>
      <c r="D316" s="115"/>
      <c r="E316" s="236"/>
      <c r="F316" s="274">
        <f t="shared" si="90"/>
        <v>0</v>
      </c>
      <c r="G316" s="287"/>
      <c r="H316" s="320"/>
      <c r="I316" s="256">
        <f t="shared" si="91"/>
        <v>0</v>
      </c>
      <c r="J316" s="21"/>
      <c r="K316" s="7"/>
      <c r="L316" s="65"/>
      <c r="M316" s="212"/>
      <c r="N316" s="7"/>
      <c r="O316" s="18"/>
      <c r="P316" s="72"/>
      <c r="Q316" s="70"/>
    </row>
    <row r="317" spans="1:17" ht="12.75">
      <c r="A317" s="26" t="s">
        <v>266</v>
      </c>
      <c r="B317" s="88"/>
      <c r="C317" s="138"/>
      <c r="D317" s="115">
        <f>8937.1</f>
        <v>8937.1</v>
      </c>
      <c r="E317" s="236"/>
      <c r="F317" s="274">
        <f t="shared" si="90"/>
        <v>8937.1</v>
      </c>
      <c r="G317" s="287"/>
      <c r="H317" s="320"/>
      <c r="I317" s="256">
        <f t="shared" si="91"/>
        <v>8937.1</v>
      </c>
      <c r="J317" s="21"/>
      <c r="K317" s="7"/>
      <c r="L317" s="65"/>
      <c r="M317" s="212"/>
      <c r="N317" s="7"/>
      <c r="O317" s="18"/>
      <c r="P317" s="72"/>
      <c r="Q317" s="70"/>
    </row>
    <row r="318" spans="1:17" ht="12.75">
      <c r="A318" s="26" t="s">
        <v>199</v>
      </c>
      <c r="B318" s="88"/>
      <c r="C318" s="138"/>
      <c r="D318" s="115">
        <f>6.33+1000</f>
        <v>1006.33</v>
      </c>
      <c r="E318" s="236">
        <v>32.67</v>
      </c>
      <c r="F318" s="274">
        <f t="shared" si="90"/>
        <v>1039</v>
      </c>
      <c r="G318" s="287">
        <f>1700+720.65-32.67</f>
        <v>2387.98</v>
      </c>
      <c r="H318" s="320"/>
      <c r="I318" s="256">
        <f t="shared" si="91"/>
        <v>3426.98</v>
      </c>
      <c r="J318" s="21"/>
      <c r="K318" s="7"/>
      <c r="L318" s="65"/>
      <c r="M318" s="212"/>
      <c r="N318" s="7"/>
      <c r="O318" s="18"/>
      <c r="P318" s="72"/>
      <c r="Q318" s="70"/>
    </row>
    <row r="319" spans="1:17" ht="12.75">
      <c r="A319" s="26" t="s">
        <v>203</v>
      </c>
      <c r="B319" s="88"/>
      <c r="C319" s="138"/>
      <c r="D319" s="115">
        <f>2617.13</f>
        <v>2617.13</v>
      </c>
      <c r="E319" s="236"/>
      <c r="F319" s="274">
        <f t="shared" si="90"/>
        <v>2617.13</v>
      </c>
      <c r="G319" s="287"/>
      <c r="H319" s="320"/>
      <c r="I319" s="256">
        <f t="shared" si="91"/>
        <v>2617.13</v>
      </c>
      <c r="J319" s="21"/>
      <c r="K319" s="7"/>
      <c r="L319" s="65"/>
      <c r="M319" s="212"/>
      <c r="N319" s="7"/>
      <c r="O319" s="18"/>
      <c r="P319" s="72"/>
      <c r="Q319" s="70"/>
    </row>
    <row r="320" spans="1:17" ht="12.75" hidden="1">
      <c r="A320" s="26" t="s">
        <v>209</v>
      </c>
      <c r="B320" s="88"/>
      <c r="C320" s="138"/>
      <c r="D320" s="115"/>
      <c r="E320" s="236"/>
      <c r="F320" s="274">
        <f t="shared" si="90"/>
        <v>0</v>
      </c>
      <c r="G320" s="287"/>
      <c r="H320" s="320"/>
      <c r="I320" s="256">
        <f t="shared" si="91"/>
        <v>0</v>
      </c>
      <c r="J320" s="21"/>
      <c r="K320" s="7"/>
      <c r="L320" s="65"/>
      <c r="M320" s="212"/>
      <c r="N320" s="7"/>
      <c r="O320" s="18"/>
      <c r="P320" s="72"/>
      <c r="Q320" s="70"/>
    </row>
    <row r="321" spans="1:17" ht="12.75">
      <c r="A321" s="26" t="s">
        <v>207</v>
      </c>
      <c r="B321" s="88"/>
      <c r="C321" s="138">
        <v>11831</v>
      </c>
      <c r="D321" s="115">
        <f>-10829.48+583.56-1001-214.56</f>
        <v>-11461.48</v>
      </c>
      <c r="E321" s="236"/>
      <c r="F321" s="274">
        <f t="shared" si="90"/>
        <v>369.52000000000044</v>
      </c>
      <c r="G321" s="287"/>
      <c r="H321" s="320"/>
      <c r="I321" s="256">
        <f t="shared" si="91"/>
        <v>369.52000000000044</v>
      </c>
      <c r="J321" s="21"/>
      <c r="K321" s="7"/>
      <c r="L321" s="65"/>
      <c r="M321" s="212"/>
      <c r="N321" s="7"/>
      <c r="O321" s="18"/>
      <c r="P321" s="72"/>
      <c r="Q321" s="70"/>
    </row>
    <row r="322" spans="1:17" ht="12.75">
      <c r="A322" s="26" t="s">
        <v>238</v>
      </c>
      <c r="B322" s="88"/>
      <c r="C322" s="138">
        <v>1658</v>
      </c>
      <c r="D322" s="115">
        <f>-506-802+300-350+1021</f>
        <v>-337</v>
      </c>
      <c r="E322" s="236"/>
      <c r="F322" s="274">
        <f t="shared" si="90"/>
        <v>1321</v>
      </c>
      <c r="G322" s="287"/>
      <c r="H322" s="320"/>
      <c r="I322" s="256">
        <f t="shared" si="91"/>
        <v>1321</v>
      </c>
      <c r="J322" s="21"/>
      <c r="K322" s="7"/>
      <c r="L322" s="65"/>
      <c r="M322" s="212"/>
      <c r="N322" s="7"/>
      <c r="O322" s="18"/>
      <c r="P322" s="72"/>
      <c r="Q322" s="70"/>
    </row>
    <row r="323" spans="1:17" ht="12.75">
      <c r="A323" s="26" t="s">
        <v>282</v>
      </c>
      <c r="B323" s="88"/>
      <c r="C323" s="138"/>
      <c r="D323" s="126"/>
      <c r="E323" s="236"/>
      <c r="F323" s="274">
        <f t="shared" si="90"/>
        <v>0</v>
      </c>
      <c r="G323" s="287">
        <f>750+32.67</f>
        <v>782.67</v>
      </c>
      <c r="H323" s="320"/>
      <c r="I323" s="256">
        <f t="shared" si="91"/>
        <v>782.67</v>
      </c>
      <c r="J323" s="21"/>
      <c r="K323" s="7"/>
      <c r="L323" s="65"/>
      <c r="M323" s="212"/>
      <c r="N323" s="7"/>
      <c r="O323" s="18"/>
      <c r="P323" s="72"/>
      <c r="Q323" s="70"/>
    </row>
    <row r="324" spans="1:17" ht="12.75">
      <c r="A324" s="32" t="s">
        <v>60</v>
      </c>
      <c r="B324" s="92"/>
      <c r="C324" s="163">
        <f aca="true" t="shared" si="93" ref="C324:Q324">SUM(C326:C339)</f>
        <v>445182.60000000003</v>
      </c>
      <c r="D324" s="111">
        <f t="shared" si="93"/>
        <v>1399655.2200000002</v>
      </c>
      <c r="E324" s="241">
        <f t="shared" si="93"/>
        <v>-22655.07</v>
      </c>
      <c r="F324" s="277">
        <f t="shared" si="93"/>
        <v>1822182.75</v>
      </c>
      <c r="G324" s="291">
        <f t="shared" si="93"/>
        <v>446029.77999999997</v>
      </c>
      <c r="H324" s="324">
        <f t="shared" si="93"/>
        <v>-877.53</v>
      </c>
      <c r="I324" s="260">
        <f t="shared" si="93"/>
        <v>2267335</v>
      </c>
      <c r="J324" s="163">
        <f t="shared" si="93"/>
        <v>0</v>
      </c>
      <c r="K324" s="111">
        <f t="shared" si="93"/>
        <v>0</v>
      </c>
      <c r="L324" s="183">
        <f t="shared" si="93"/>
        <v>0</v>
      </c>
      <c r="M324" s="154">
        <f t="shared" si="93"/>
        <v>0</v>
      </c>
      <c r="N324" s="110">
        <f t="shared" si="93"/>
        <v>0</v>
      </c>
      <c r="O324" s="110">
        <f t="shared" si="93"/>
        <v>0</v>
      </c>
      <c r="P324" s="110">
        <f t="shared" si="93"/>
        <v>0</v>
      </c>
      <c r="Q324" s="110">
        <f t="shared" si="93"/>
        <v>0</v>
      </c>
    </row>
    <row r="325" spans="1:17" ht="12.75">
      <c r="A325" s="30" t="s">
        <v>27</v>
      </c>
      <c r="B325" s="88"/>
      <c r="C325" s="136"/>
      <c r="D325" s="104"/>
      <c r="E325" s="236"/>
      <c r="F325" s="274"/>
      <c r="G325" s="287"/>
      <c r="H325" s="320"/>
      <c r="I325" s="256"/>
      <c r="J325" s="21"/>
      <c r="K325" s="7"/>
      <c r="L325" s="65"/>
      <c r="M325" s="212"/>
      <c r="N325" s="7"/>
      <c r="O325" s="18"/>
      <c r="P325" s="72"/>
      <c r="Q325" s="70"/>
    </row>
    <row r="326" spans="1:17" ht="12.75" hidden="1">
      <c r="A326" s="30" t="s">
        <v>194</v>
      </c>
      <c r="B326" s="88"/>
      <c r="C326" s="136"/>
      <c r="D326" s="104"/>
      <c r="E326" s="236"/>
      <c r="F326" s="274">
        <f aca="true" t="shared" si="94" ref="F326:F351">C326+D326+E326</f>
        <v>0</v>
      </c>
      <c r="G326" s="287"/>
      <c r="H326" s="320"/>
      <c r="I326" s="256"/>
      <c r="J326" s="21"/>
      <c r="K326" s="7"/>
      <c r="L326" s="65"/>
      <c r="M326" s="212"/>
      <c r="N326" s="7"/>
      <c r="O326" s="18"/>
      <c r="P326" s="72"/>
      <c r="Q326" s="70"/>
    </row>
    <row r="327" spans="1:17" ht="12.75">
      <c r="A327" s="30" t="s">
        <v>193</v>
      </c>
      <c r="B327" s="206">
        <v>1081.1202</v>
      </c>
      <c r="C327" s="136">
        <v>5423</v>
      </c>
      <c r="D327" s="104">
        <f>892.37</f>
        <v>892.37</v>
      </c>
      <c r="E327" s="236"/>
      <c r="F327" s="274">
        <f t="shared" si="94"/>
        <v>6315.37</v>
      </c>
      <c r="G327" s="287"/>
      <c r="H327" s="320"/>
      <c r="I327" s="256">
        <f aca="true" t="shared" si="95" ref="I327:I351">F327+G327+H327</f>
        <v>6315.37</v>
      </c>
      <c r="J327" s="21"/>
      <c r="K327" s="7"/>
      <c r="L327" s="65"/>
      <c r="M327" s="212"/>
      <c r="N327" s="7"/>
      <c r="O327" s="18"/>
      <c r="P327" s="72"/>
      <c r="Q327" s="70"/>
    </row>
    <row r="328" spans="1:17" ht="12.75">
      <c r="A328" s="30" t="s">
        <v>184</v>
      </c>
      <c r="B328" s="88"/>
      <c r="C328" s="136">
        <v>13853</v>
      </c>
      <c r="D328" s="104">
        <f>9223.46</f>
        <v>9223.46</v>
      </c>
      <c r="E328" s="236"/>
      <c r="F328" s="274">
        <f t="shared" si="94"/>
        <v>23076.46</v>
      </c>
      <c r="G328" s="287"/>
      <c r="H328" s="320"/>
      <c r="I328" s="256">
        <f t="shared" si="95"/>
        <v>23076.46</v>
      </c>
      <c r="J328" s="21"/>
      <c r="K328" s="7"/>
      <c r="L328" s="65"/>
      <c r="M328" s="212"/>
      <c r="N328" s="7"/>
      <c r="O328" s="18"/>
      <c r="P328" s="72"/>
      <c r="Q328" s="70"/>
    </row>
    <row r="329" spans="1:17" ht="12.75" hidden="1">
      <c r="A329" s="30" t="s">
        <v>263</v>
      </c>
      <c r="B329" s="88">
        <v>3000</v>
      </c>
      <c r="C329" s="136"/>
      <c r="D329" s="115"/>
      <c r="E329" s="245"/>
      <c r="F329" s="274">
        <f t="shared" si="94"/>
        <v>0</v>
      </c>
      <c r="G329" s="287"/>
      <c r="H329" s="320"/>
      <c r="I329" s="256">
        <f t="shared" si="95"/>
        <v>0</v>
      </c>
      <c r="J329" s="21"/>
      <c r="K329" s="7"/>
      <c r="L329" s="65"/>
      <c r="M329" s="212"/>
      <c r="N329" s="7"/>
      <c r="O329" s="18"/>
      <c r="P329" s="72"/>
      <c r="Q329" s="70"/>
    </row>
    <row r="330" spans="1:17" ht="12.75">
      <c r="A330" s="30" t="s">
        <v>248</v>
      </c>
      <c r="B330" s="88"/>
      <c r="C330" s="136"/>
      <c r="D330" s="115">
        <f>802.9</f>
        <v>802.9</v>
      </c>
      <c r="E330" s="245"/>
      <c r="F330" s="274">
        <f t="shared" si="94"/>
        <v>802.9</v>
      </c>
      <c r="G330" s="287"/>
      <c r="H330" s="320"/>
      <c r="I330" s="256">
        <f t="shared" si="95"/>
        <v>802.9</v>
      </c>
      <c r="J330" s="21"/>
      <c r="K330" s="7"/>
      <c r="L330" s="65"/>
      <c r="M330" s="212"/>
      <c r="N330" s="7"/>
      <c r="O330" s="18"/>
      <c r="P330" s="72"/>
      <c r="Q330" s="70"/>
    </row>
    <row r="331" spans="1:17" ht="12.75">
      <c r="A331" s="145" t="s">
        <v>267</v>
      </c>
      <c r="B331" s="88"/>
      <c r="C331" s="136">
        <v>85000</v>
      </c>
      <c r="D331" s="126">
        <f>323102.36</f>
        <v>323102.36</v>
      </c>
      <c r="E331" s="270">
        <v>-20000</v>
      </c>
      <c r="F331" s="274">
        <f t="shared" si="94"/>
        <v>388102.36</v>
      </c>
      <c r="G331" s="287"/>
      <c r="H331" s="320"/>
      <c r="I331" s="256">
        <f t="shared" si="95"/>
        <v>388102.36</v>
      </c>
      <c r="J331" s="21"/>
      <c r="K331" s="7"/>
      <c r="L331" s="65"/>
      <c r="M331" s="212"/>
      <c r="N331" s="7"/>
      <c r="O331" s="18"/>
      <c r="P331" s="72"/>
      <c r="Q331" s="70"/>
    </row>
    <row r="332" spans="1:17" ht="12.75">
      <c r="A332" s="30" t="s">
        <v>292</v>
      </c>
      <c r="B332" s="147">
        <v>212161</v>
      </c>
      <c r="C332" s="136">
        <v>66696.7</v>
      </c>
      <c r="D332" s="115">
        <f>54009.82</f>
        <v>54009.82</v>
      </c>
      <c r="E332" s="245"/>
      <c r="F332" s="274">
        <f t="shared" si="94"/>
        <v>120706.51999999999</v>
      </c>
      <c r="G332" s="287"/>
      <c r="H332" s="320"/>
      <c r="I332" s="256">
        <f t="shared" si="95"/>
        <v>120706.51999999999</v>
      </c>
      <c r="J332" s="21"/>
      <c r="K332" s="7"/>
      <c r="L332" s="65"/>
      <c r="M332" s="212"/>
      <c r="N332" s="7"/>
      <c r="O332" s="18"/>
      <c r="P332" s="72"/>
      <c r="Q332" s="70"/>
    </row>
    <row r="333" spans="1:17" ht="12.75" hidden="1">
      <c r="A333" s="30" t="s">
        <v>275</v>
      </c>
      <c r="B333" s="147">
        <v>97573</v>
      </c>
      <c r="C333" s="136"/>
      <c r="D333" s="115"/>
      <c r="E333" s="245"/>
      <c r="F333" s="274">
        <f t="shared" si="94"/>
        <v>0</v>
      </c>
      <c r="G333" s="287"/>
      <c r="H333" s="320"/>
      <c r="I333" s="256">
        <f t="shared" si="95"/>
        <v>0</v>
      </c>
      <c r="J333" s="21"/>
      <c r="K333" s="7"/>
      <c r="L333" s="65"/>
      <c r="M333" s="212"/>
      <c r="N333" s="7"/>
      <c r="O333" s="18"/>
      <c r="P333" s="72"/>
      <c r="Q333" s="70"/>
    </row>
    <row r="334" spans="1:17" ht="12.75">
      <c r="A334" s="30" t="s">
        <v>185</v>
      </c>
      <c r="B334" s="147">
        <v>212162</v>
      </c>
      <c r="C334" s="136"/>
      <c r="D334" s="115">
        <f>87850.14</f>
        <v>87850.14</v>
      </c>
      <c r="E334" s="245"/>
      <c r="F334" s="274">
        <f t="shared" si="94"/>
        <v>87850.14</v>
      </c>
      <c r="G334" s="287"/>
      <c r="H334" s="320"/>
      <c r="I334" s="256">
        <f t="shared" si="95"/>
        <v>87850.14</v>
      </c>
      <c r="J334" s="21"/>
      <c r="K334" s="7"/>
      <c r="L334" s="65"/>
      <c r="M334" s="212"/>
      <c r="N334" s="7"/>
      <c r="O334" s="18"/>
      <c r="P334" s="72"/>
      <c r="Q334" s="70"/>
    </row>
    <row r="335" spans="1:17" ht="12.75">
      <c r="A335" s="30" t="s">
        <v>345</v>
      </c>
      <c r="B335" s="147">
        <v>91628</v>
      </c>
      <c r="C335" s="136"/>
      <c r="D335" s="115"/>
      <c r="E335" s="245"/>
      <c r="F335" s="274">
        <f t="shared" si="94"/>
        <v>0</v>
      </c>
      <c r="G335" s="287">
        <f>190000</f>
        <v>190000</v>
      </c>
      <c r="H335" s="320"/>
      <c r="I335" s="256">
        <f t="shared" si="95"/>
        <v>190000</v>
      </c>
      <c r="J335" s="21"/>
      <c r="K335" s="7"/>
      <c r="L335" s="65"/>
      <c r="M335" s="212"/>
      <c r="N335" s="7"/>
      <c r="O335" s="18"/>
      <c r="P335" s="72"/>
      <c r="Q335" s="70"/>
    </row>
    <row r="336" spans="1:17" ht="12.75">
      <c r="A336" s="30" t="s">
        <v>347</v>
      </c>
      <c r="B336" s="147">
        <v>91628</v>
      </c>
      <c r="C336" s="136"/>
      <c r="D336" s="115"/>
      <c r="E336" s="245"/>
      <c r="F336" s="274">
        <f t="shared" si="94"/>
        <v>0</v>
      </c>
      <c r="G336" s="287">
        <f>83617.95</f>
        <v>83617.95</v>
      </c>
      <c r="H336" s="320"/>
      <c r="I336" s="256">
        <f t="shared" si="95"/>
        <v>83617.95</v>
      </c>
      <c r="J336" s="21"/>
      <c r="K336" s="7"/>
      <c r="L336" s="65"/>
      <c r="M336" s="212"/>
      <c r="N336" s="7"/>
      <c r="O336" s="18"/>
      <c r="P336" s="72"/>
      <c r="Q336" s="70"/>
    </row>
    <row r="337" spans="1:17" ht="12.75" hidden="1">
      <c r="A337" s="30" t="s">
        <v>340</v>
      </c>
      <c r="B337" s="147">
        <v>17988</v>
      </c>
      <c r="C337" s="136"/>
      <c r="D337" s="115"/>
      <c r="E337" s="245"/>
      <c r="F337" s="274">
        <f t="shared" si="94"/>
        <v>0</v>
      </c>
      <c r="G337" s="287"/>
      <c r="H337" s="320"/>
      <c r="I337" s="256">
        <f t="shared" si="95"/>
        <v>0</v>
      </c>
      <c r="J337" s="21"/>
      <c r="K337" s="7"/>
      <c r="L337" s="65"/>
      <c r="M337" s="212"/>
      <c r="N337" s="7"/>
      <c r="O337" s="18"/>
      <c r="P337" s="72"/>
      <c r="Q337" s="70"/>
    </row>
    <row r="338" spans="1:17" ht="12.75">
      <c r="A338" s="30" t="s">
        <v>228</v>
      </c>
      <c r="B338" s="88"/>
      <c r="C338" s="136">
        <v>1200</v>
      </c>
      <c r="D338" s="115"/>
      <c r="E338" s="245"/>
      <c r="F338" s="274">
        <f t="shared" si="94"/>
        <v>1200</v>
      </c>
      <c r="G338" s="287"/>
      <c r="H338" s="320"/>
      <c r="I338" s="256">
        <f t="shared" si="95"/>
        <v>1200</v>
      </c>
      <c r="J338" s="21"/>
      <c r="K338" s="7"/>
      <c r="L338" s="65"/>
      <c r="M338" s="212"/>
      <c r="N338" s="7"/>
      <c r="O338" s="18"/>
      <c r="P338" s="72"/>
      <c r="Q338" s="70"/>
    </row>
    <row r="339" spans="1:17" ht="12.75">
      <c r="A339" s="30" t="s">
        <v>186</v>
      </c>
      <c r="B339" s="88"/>
      <c r="C339" s="136">
        <f>SUM(C340:C351)</f>
        <v>273009.9</v>
      </c>
      <c r="D339" s="104">
        <f aca="true" t="shared" si="96" ref="D339:Q339">SUM(D340:D351)</f>
        <v>923774.1700000002</v>
      </c>
      <c r="E339" s="236">
        <f t="shared" si="96"/>
        <v>-2655.07</v>
      </c>
      <c r="F339" s="274">
        <f t="shared" si="96"/>
        <v>1194129</v>
      </c>
      <c r="G339" s="287">
        <f t="shared" si="96"/>
        <v>172411.82999999996</v>
      </c>
      <c r="H339" s="320">
        <f t="shared" si="96"/>
        <v>-877.53</v>
      </c>
      <c r="I339" s="256">
        <f t="shared" si="96"/>
        <v>1365663.3</v>
      </c>
      <c r="J339" s="136">
        <f t="shared" si="96"/>
        <v>0</v>
      </c>
      <c r="K339" s="104">
        <f t="shared" si="96"/>
        <v>0</v>
      </c>
      <c r="L339" s="180">
        <f t="shared" si="96"/>
        <v>0</v>
      </c>
      <c r="M339" s="137">
        <f t="shared" si="96"/>
        <v>0</v>
      </c>
      <c r="N339" s="136">
        <f t="shared" si="96"/>
        <v>0</v>
      </c>
      <c r="O339" s="136">
        <f t="shared" si="96"/>
        <v>0</v>
      </c>
      <c r="P339" s="136">
        <f t="shared" si="96"/>
        <v>0</v>
      </c>
      <c r="Q339" s="136">
        <f t="shared" si="96"/>
        <v>0</v>
      </c>
    </row>
    <row r="340" spans="1:17" ht="12.75">
      <c r="A340" s="30" t="s">
        <v>187</v>
      </c>
      <c r="B340" s="88"/>
      <c r="C340" s="136">
        <f>28200</f>
        <v>28200</v>
      </c>
      <c r="D340" s="115">
        <f>6000+124756.58+12000</f>
        <v>142756.58000000002</v>
      </c>
      <c r="E340" s="236"/>
      <c r="F340" s="274">
        <f t="shared" si="94"/>
        <v>170956.58000000002</v>
      </c>
      <c r="G340" s="287">
        <f>8486.19+17525+499.19+297.65</f>
        <v>26808.030000000002</v>
      </c>
      <c r="H340" s="320"/>
      <c r="I340" s="256">
        <f t="shared" si="95"/>
        <v>197764.61000000002</v>
      </c>
      <c r="J340" s="21"/>
      <c r="K340" s="7"/>
      <c r="L340" s="65"/>
      <c r="M340" s="212"/>
      <c r="N340" s="7"/>
      <c r="O340" s="18"/>
      <c r="P340" s="72"/>
      <c r="Q340" s="70"/>
    </row>
    <row r="341" spans="1:17" ht="12.75" hidden="1">
      <c r="A341" s="30" t="s">
        <v>210</v>
      </c>
      <c r="B341" s="88"/>
      <c r="C341" s="136"/>
      <c r="D341" s="115"/>
      <c r="E341" s="236"/>
      <c r="F341" s="274">
        <f t="shared" si="94"/>
        <v>0</v>
      </c>
      <c r="G341" s="287"/>
      <c r="H341" s="320"/>
      <c r="I341" s="256">
        <f t="shared" si="95"/>
        <v>0</v>
      </c>
      <c r="J341" s="21"/>
      <c r="K341" s="7"/>
      <c r="L341" s="65"/>
      <c r="M341" s="212"/>
      <c r="N341" s="7"/>
      <c r="O341" s="18"/>
      <c r="P341" s="72"/>
      <c r="Q341" s="70"/>
    </row>
    <row r="342" spans="1:17" ht="12.75">
      <c r="A342" s="30" t="s">
        <v>195</v>
      </c>
      <c r="B342" s="88"/>
      <c r="C342" s="136"/>
      <c r="D342" s="115">
        <f>6918.68-4000</f>
        <v>2918.6800000000003</v>
      </c>
      <c r="E342" s="236"/>
      <c r="F342" s="274">
        <f t="shared" si="94"/>
        <v>2918.6800000000003</v>
      </c>
      <c r="G342" s="287">
        <f>-1200</f>
        <v>-1200</v>
      </c>
      <c r="H342" s="320"/>
      <c r="I342" s="256">
        <f t="shared" si="95"/>
        <v>1718.6800000000003</v>
      </c>
      <c r="J342" s="21"/>
      <c r="K342" s="7"/>
      <c r="L342" s="65"/>
      <c r="M342" s="212"/>
      <c r="N342" s="7"/>
      <c r="O342" s="18"/>
      <c r="P342" s="72"/>
      <c r="Q342" s="70"/>
    </row>
    <row r="343" spans="1:17" ht="12.75" hidden="1">
      <c r="A343" s="30" t="s">
        <v>223</v>
      </c>
      <c r="B343" s="88"/>
      <c r="C343" s="136"/>
      <c r="D343" s="115"/>
      <c r="E343" s="236"/>
      <c r="F343" s="274">
        <f t="shared" si="94"/>
        <v>0</v>
      </c>
      <c r="G343" s="287"/>
      <c r="H343" s="320"/>
      <c r="I343" s="256">
        <f t="shared" si="95"/>
        <v>0</v>
      </c>
      <c r="J343" s="21"/>
      <c r="K343" s="7"/>
      <c r="L343" s="65"/>
      <c r="M343" s="212"/>
      <c r="N343" s="7"/>
      <c r="O343" s="18"/>
      <c r="P343" s="72"/>
      <c r="Q343" s="70"/>
    </row>
    <row r="344" spans="1:17" ht="12.75">
      <c r="A344" s="30" t="s">
        <v>188</v>
      </c>
      <c r="B344" s="88"/>
      <c r="C344" s="136">
        <v>105826</v>
      </c>
      <c r="D344" s="115">
        <f>293.65+4388.99+169925.07+3000+1001+999+4295+5000</f>
        <v>188902.71000000002</v>
      </c>
      <c r="E344" s="236"/>
      <c r="F344" s="274">
        <f t="shared" si="94"/>
        <v>294728.71</v>
      </c>
      <c r="G344" s="287">
        <f>392.34+236.73+2144.93+4940.43+62.15+2603</f>
        <v>10379.58</v>
      </c>
      <c r="H344" s="320"/>
      <c r="I344" s="256">
        <f t="shared" si="95"/>
        <v>305108.29000000004</v>
      </c>
      <c r="J344" s="21"/>
      <c r="K344" s="7"/>
      <c r="L344" s="65"/>
      <c r="M344" s="212"/>
      <c r="N344" s="7"/>
      <c r="O344" s="18"/>
      <c r="P344" s="72"/>
      <c r="Q344" s="70"/>
    </row>
    <row r="345" spans="1:17" ht="12.75">
      <c r="A345" s="30" t="s">
        <v>189</v>
      </c>
      <c r="B345" s="88"/>
      <c r="C345" s="136">
        <v>70970</v>
      </c>
      <c r="D345" s="115">
        <f>2785.56+1964.29+16.4+1012.1+24686.08+2900.87-25341+200+2663.24+4000+400+48.79+2011.13</f>
        <v>17347.460000000003</v>
      </c>
      <c r="E345" s="236">
        <v>-32.67</v>
      </c>
      <c r="F345" s="274">
        <f t="shared" si="94"/>
        <v>88284.79000000001</v>
      </c>
      <c r="G345" s="287">
        <f>1525.85+2760.02+2355.48+3533.22+128.24+5000.32+267+2930+545.17+2605.02-1166.33+4649.7+6414.07+448.87+36.81+17.24+3986.74+8573.55</f>
        <v>44610.97</v>
      </c>
      <c r="H345" s="320"/>
      <c r="I345" s="256">
        <f t="shared" si="95"/>
        <v>132895.76</v>
      </c>
      <c r="J345" s="21"/>
      <c r="K345" s="7"/>
      <c r="L345" s="65"/>
      <c r="M345" s="212"/>
      <c r="N345" s="7"/>
      <c r="O345" s="18"/>
      <c r="P345" s="72"/>
      <c r="Q345" s="70"/>
    </row>
    <row r="346" spans="1:17" ht="12.75">
      <c r="A346" s="30" t="s">
        <v>196</v>
      </c>
      <c r="B346" s="88"/>
      <c r="C346" s="136">
        <v>5112</v>
      </c>
      <c r="D346" s="115">
        <f>28155.98+861.34+4000</f>
        <v>33017.32</v>
      </c>
      <c r="E346" s="236"/>
      <c r="F346" s="274">
        <f t="shared" si="94"/>
        <v>38129.32</v>
      </c>
      <c r="G346" s="287"/>
      <c r="H346" s="320"/>
      <c r="I346" s="256">
        <f t="shared" si="95"/>
        <v>38129.32</v>
      </c>
      <c r="J346" s="21"/>
      <c r="K346" s="7"/>
      <c r="L346" s="65"/>
      <c r="M346" s="212"/>
      <c r="N346" s="7"/>
      <c r="O346" s="18"/>
      <c r="P346" s="72"/>
      <c r="Q346" s="70"/>
    </row>
    <row r="347" spans="1:17" ht="12.75">
      <c r="A347" s="30" t="s">
        <v>208</v>
      </c>
      <c r="B347" s="88"/>
      <c r="C347" s="136">
        <v>51388</v>
      </c>
      <c r="D347" s="115">
        <f>27.78+24476.16-3000-4295-5014-11260</f>
        <v>934.9399999999987</v>
      </c>
      <c r="E347" s="236"/>
      <c r="F347" s="274">
        <f t="shared" si="94"/>
        <v>52322.94</v>
      </c>
      <c r="G347" s="287">
        <f>350-4630+752.84</f>
        <v>-3527.16</v>
      </c>
      <c r="H347" s="320">
        <v>266.02</v>
      </c>
      <c r="I347" s="256">
        <f t="shared" si="95"/>
        <v>49061.799999999996</v>
      </c>
      <c r="J347" s="21"/>
      <c r="K347" s="7"/>
      <c r="L347" s="65"/>
      <c r="M347" s="212"/>
      <c r="N347" s="7"/>
      <c r="O347" s="18"/>
      <c r="P347" s="72"/>
      <c r="Q347" s="70"/>
    </row>
    <row r="348" spans="1:17" ht="12.75">
      <c r="A348" s="30" t="s">
        <v>190</v>
      </c>
      <c r="B348" s="88"/>
      <c r="C348" s="136">
        <v>4480</v>
      </c>
      <c r="D348" s="104">
        <f>30457.95+214.56+3157.39+6000</f>
        <v>39829.9</v>
      </c>
      <c r="E348" s="236"/>
      <c r="F348" s="274">
        <f t="shared" si="94"/>
        <v>44309.9</v>
      </c>
      <c r="G348" s="287">
        <f>220</f>
        <v>220</v>
      </c>
      <c r="H348" s="320"/>
      <c r="I348" s="256">
        <f t="shared" si="95"/>
        <v>44529.9</v>
      </c>
      <c r="J348" s="21"/>
      <c r="K348" s="7"/>
      <c r="L348" s="65"/>
      <c r="M348" s="212"/>
      <c r="N348" s="7"/>
      <c r="O348" s="18"/>
      <c r="P348" s="72"/>
      <c r="Q348" s="70"/>
    </row>
    <row r="349" spans="1:17" ht="12.75">
      <c r="A349" s="30" t="s">
        <v>272</v>
      </c>
      <c r="B349" s="88">
        <v>2088</v>
      </c>
      <c r="C349" s="136"/>
      <c r="D349" s="104">
        <f>70948.69</f>
        <v>70948.69</v>
      </c>
      <c r="E349" s="236"/>
      <c r="F349" s="274">
        <f t="shared" si="94"/>
        <v>70948.69</v>
      </c>
      <c r="G349" s="287">
        <f>12284.06+17096.88+3934.39+1706.91+20683.32+18227.47+23024.59</f>
        <v>96957.62</v>
      </c>
      <c r="H349" s="320"/>
      <c r="I349" s="256">
        <f t="shared" si="95"/>
        <v>167906.31</v>
      </c>
      <c r="J349" s="21"/>
      <c r="K349" s="7"/>
      <c r="L349" s="65"/>
      <c r="M349" s="212"/>
      <c r="N349" s="7"/>
      <c r="O349" s="18"/>
      <c r="P349" s="72"/>
      <c r="Q349" s="70"/>
    </row>
    <row r="350" spans="1:17" ht="12.75">
      <c r="A350" s="30" t="s">
        <v>273</v>
      </c>
      <c r="B350" s="88">
        <v>2077</v>
      </c>
      <c r="C350" s="136">
        <v>7033.9</v>
      </c>
      <c r="D350" s="104">
        <f>-1671.34-27.78-9.84+115737.11-999+5014+11260+25341-2663.24-120-1330-620-650+96.67</f>
        <v>149357.58000000002</v>
      </c>
      <c r="E350" s="236"/>
      <c r="F350" s="274">
        <f t="shared" si="94"/>
        <v>156391.48</v>
      </c>
      <c r="G350" s="287">
        <f>-3533.22-720.65-327.1-1563.01+450+1166.33-745.72-3074.02-1290.71-269.32-22.09</f>
        <v>-9929.510000000002</v>
      </c>
      <c r="H350" s="320">
        <f>-266.02</f>
        <v>-266.02</v>
      </c>
      <c r="I350" s="256">
        <f t="shared" si="95"/>
        <v>146195.95</v>
      </c>
      <c r="J350" s="21"/>
      <c r="K350" s="7"/>
      <c r="L350" s="65"/>
      <c r="M350" s="212"/>
      <c r="N350" s="7"/>
      <c r="O350" s="18"/>
      <c r="P350" s="72"/>
      <c r="Q350" s="70"/>
    </row>
    <row r="351" spans="1:17" ht="13.5" thickBot="1">
      <c r="A351" s="135" t="s">
        <v>274</v>
      </c>
      <c r="B351" s="133">
        <v>2099</v>
      </c>
      <c r="C351" s="166"/>
      <c r="D351" s="134">
        <f>-1114.22-293.65-1964.29-6.56+198823.65+0.98+342.09-13.59-1012.1-2900.87-1600-4840+350+94000-2011.13</f>
        <v>277760.31</v>
      </c>
      <c r="E351" s="268">
        <v>-2622.4</v>
      </c>
      <c r="F351" s="280">
        <f t="shared" si="94"/>
        <v>275137.91</v>
      </c>
      <c r="G351" s="315">
        <f>36.59+39.76-1525.85-2760.02-2355.48-128.24-5000.32+18.3+5884.47+2843.17-764.85+40000-218.07-1042.01-6711.47-4649.7-2049.34-179.55-14.72-17.24-3986.74-752.84-8573.55</f>
        <v>8092.299999999996</v>
      </c>
      <c r="H351" s="325">
        <f>-877.53</f>
        <v>-877.53</v>
      </c>
      <c r="I351" s="317">
        <f t="shared" si="95"/>
        <v>282352.67999999993</v>
      </c>
      <c r="J351" s="21"/>
      <c r="K351" s="7"/>
      <c r="L351" s="65"/>
      <c r="M351" s="212"/>
      <c r="N351" s="7"/>
      <c r="O351" s="18"/>
      <c r="P351" s="72"/>
      <c r="Q351" s="70"/>
    </row>
    <row r="352" spans="1:17" ht="12.75">
      <c r="A352" s="23" t="s">
        <v>106</v>
      </c>
      <c r="B352" s="92"/>
      <c r="C352" s="143">
        <f>C353+C374</f>
        <v>228860</v>
      </c>
      <c r="D352" s="103">
        <f aca="true" t="shared" si="97" ref="D352:Q352">D353+D374</f>
        <v>934685.3900000001</v>
      </c>
      <c r="E352" s="233">
        <f t="shared" si="97"/>
        <v>0</v>
      </c>
      <c r="F352" s="254">
        <f t="shared" si="97"/>
        <v>1163545.39</v>
      </c>
      <c r="G352" s="286">
        <f t="shared" si="97"/>
        <v>1875.59</v>
      </c>
      <c r="H352" s="319">
        <f t="shared" si="97"/>
        <v>0</v>
      </c>
      <c r="I352" s="257">
        <f t="shared" si="97"/>
        <v>1165420.98</v>
      </c>
      <c r="J352" s="143">
        <f t="shared" si="97"/>
        <v>0</v>
      </c>
      <c r="K352" s="103">
        <f t="shared" si="97"/>
        <v>0</v>
      </c>
      <c r="L352" s="158">
        <f t="shared" si="97"/>
        <v>211928.34</v>
      </c>
      <c r="M352" s="128">
        <f t="shared" si="97"/>
        <v>0</v>
      </c>
      <c r="N352" s="102">
        <f t="shared" si="97"/>
        <v>0</v>
      </c>
      <c r="O352" s="102">
        <f t="shared" si="97"/>
        <v>211928.34</v>
      </c>
      <c r="P352" s="102">
        <f t="shared" si="97"/>
        <v>0</v>
      </c>
      <c r="Q352" s="102">
        <f t="shared" si="97"/>
        <v>211928.34</v>
      </c>
    </row>
    <row r="353" spans="1:17" ht="12.75">
      <c r="A353" s="32" t="s">
        <v>55</v>
      </c>
      <c r="B353" s="92"/>
      <c r="C353" s="163">
        <f>SUM(C355:C373)</f>
        <v>228860</v>
      </c>
      <c r="D353" s="111">
        <f aca="true" t="shared" si="98" ref="D353:Q353">SUM(D355:D373)</f>
        <v>931185.3900000001</v>
      </c>
      <c r="E353" s="241">
        <f t="shared" si="98"/>
        <v>0</v>
      </c>
      <c r="F353" s="277">
        <f t="shared" si="98"/>
        <v>1160045.39</v>
      </c>
      <c r="G353" s="291">
        <f t="shared" si="98"/>
        <v>1875.59</v>
      </c>
      <c r="H353" s="324">
        <f t="shared" si="98"/>
        <v>0</v>
      </c>
      <c r="I353" s="260">
        <f t="shared" si="98"/>
        <v>1161920.98</v>
      </c>
      <c r="J353" s="163">
        <f t="shared" si="98"/>
        <v>0</v>
      </c>
      <c r="K353" s="111">
        <f t="shared" si="98"/>
        <v>0</v>
      </c>
      <c r="L353" s="183">
        <f t="shared" si="98"/>
        <v>208428.34</v>
      </c>
      <c r="M353" s="154">
        <f t="shared" si="98"/>
        <v>0</v>
      </c>
      <c r="N353" s="110">
        <f t="shared" si="98"/>
        <v>0</v>
      </c>
      <c r="O353" s="110">
        <f t="shared" si="98"/>
        <v>208428.34</v>
      </c>
      <c r="P353" s="110">
        <f t="shared" si="98"/>
        <v>0</v>
      </c>
      <c r="Q353" s="110">
        <f t="shared" si="98"/>
        <v>208428.34</v>
      </c>
    </row>
    <row r="354" spans="1:17" ht="12.75">
      <c r="A354" s="28" t="s">
        <v>27</v>
      </c>
      <c r="B354" s="88"/>
      <c r="C354" s="136"/>
      <c r="D354" s="104"/>
      <c r="E354" s="236"/>
      <c r="F354" s="274"/>
      <c r="G354" s="287"/>
      <c r="H354" s="320"/>
      <c r="I354" s="256"/>
      <c r="J354" s="21"/>
      <c r="K354" s="7"/>
      <c r="L354" s="65"/>
      <c r="M354" s="127"/>
      <c r="N354" s="7"/>
      <c r="O354" s="18"/>
      <c r="P354" s="72"/>
      <c r="Q354" s="70"/>
    </row>
    <row r="355" spans="1:17" ht="12.75">
      <c r="A355" s="39" t="s">
        <v>107</v>
      </c>
      <c r="B355" s="94"/>
      <c r="C355" s="136">
        <v>176000</v>
      </c>
      <c r="D355" s="104"/>
      <c r="E355" s="236"/>
      <c r="F355" s="274">
        <f aca="true" t="shared" si="99" ref="F355:F373">C355+D355+E355</f>
        <v>176000</v>
      </c>
      <c r="G355" s="287"/>
      <c r="H355" s="320"/>
      <c r="I355" s="256">
        <f>F355+G355+H355</f>
        <v>176000</v>
      </c>
      <c r="J355" s="21"/>
      <c r="K355" s="7"/>
      <c r="L355" s="65">
        <f>I355+J355+K355</f>
        <v>176000</v>
      </c>
      <c r="M355" s="127"/>
      <c r="N355" s="7"/>
      <c r="O355" s="18">
        <f>L355+M355+N355</f>
        <v>176000</v>
      </c>
      <c r="P355" s="72"/>
      <c r="Q355" s="70">
        <f>O355+P355</f>
        <v>176000</v>
      </c>
    </row>
    <row r="356" spans="1:17" ht="12.75" hidden="1">
      <c r="A356" s="89" t="s">
        <v>234</v>
      </c>
      <c r="B356" s="94"/>
      <c r="C356" s="136"/>
      <c r="D356" s="104"/>
      <c r="E356" s="236"/>
      <c r="F356" s="274">
        <f t="shared" si="99"/>
        <v>0</v>
      </c>
      <c r="G356" s="287"/>
      <c r="H356" s="320"/>
      <c r="I356" s="256">
        <f aca="true" t="shared" si="100" ref="I356:I370">F356+G356+H356</f>
        <v>0</v>
      </c>
      <c r="J356" s="21"/>
      <c r="K356" s="7"/>
      <c r="L356" s="65"/>
      <c r="M356" s="127"/>
      <c r="N356" s="7"/>
      <c r="O356" s="18"/>
      <c r="P356" s="72"/>
      <c r="Q356" s="70"/>
    </row>
    <row r="357" spans="1:17" ht="12.75" hidden="1">
      <c r="A357" s="26" t="s">
        <v>160</v>
      </c>
      <c r="B357" s="88"/>
      <c r="C357" s="136"/>
      <c r="D357" s="104"/>
      <c r="E357" s="236"/>
      <c r="F357" s="274">
        <f t="shared" si="99"/>
        <v>0</v>
      </c>
      <c r="G357" s="287"/>
      <c r="H357" s="320"/>
      <c r="I357" s="256">
        <f t="shared" si="100"/>
        <v>0</v>
      </c>
      <c r="J357" s="21"/>
      <c r="K357" s="7"/>
      <c r="L357" s="65">
        <f aca="true" t="shared" si="101" ref="L357:L373">I357+J357+K357</f>
        <v>0</v>
      </c>
      <c r="M357" s="127"/>
      <c r="N357" s="7"/>
      <c r="O357" s="18">
        <f aca="true" t="shared" si="102" ref="O357:O373">L357+M357+N357</f>
        <v>0</v>
      </c>
      <c r="P357" s="72"/>
      <c r="Q357" s="70">
        <f>O357+P357</f>
        <v>0</v>
      </c>
    </row>
    <row r="358" spans="1:17" ht="12.75">
      <c r="A358" s="26" t="s">
        <v>177</v>
      </c>
      <c r="B358" s="88"/>
      <c r="C358" s="136">
        <v>42500</v>
      </c>
      <c r="D358" s="104"/>
      <c r="E358" s="236"/>
      <c r="F358" s="274">
        <f t="shared" si="99"/>
        <v>42500</v>
      </c>
      <c r="G358" s="287"/>
      <c r="H358" s="320"/>
      <c r="I358" s="256">
        <f t="shared" si="100"/>
        <v>42500</v>
      </c>
      <c r="J358" s="21"/>
      <c r="K358" s="7"/>
      <c r="L358" s="65"/>
      <c r="M358" s="127"/>
      <c r="N358" s="7"/>
      <c r="O358" s="18"/>
      <c r="P358" s="72"/>
      <c r="Q358" s="70"/>
    </row>
    <row r="359" spans="1:17" ht="12.75">
      <c r="A359" s="26" t="s">
        <v>57</v>
      </c>
      <c r="B359" s="88"/>
      <c r="C359" s="136">
        <v>10360</v>
      </c>
      <c r="D359" s="104">
        <f>30+508.41</f>
        <v>538.4100000000001</v>
      </c>
      <c r="E359" s="236"/>
      <c r="F359" s="274">
        <f t="shared" si="99"/>
        <v>10898.41</v>
      </c>
      <c r="G359" s="287"/>
      <c r="H359" s="320"/>
      <c r="I359" s="256">
        <f t="shared" si="100"/>
        <v>10898.41</v>
      </c>
      <c r="J359" s="21"/>
      <c r="K359" s="7"/>
      <c r="L359" s="65">
        <f t="shared" si="101"/>
        <v>10898.41</v>
      </c>
      <c r="M359" s="127"/>
      <c r="N359" s="7"/>
      <c r="O359" s="18">
        <f t="shared" si="102"/>
        <v>10898.41</v>
      </c>
      <c r="P359" s="72"/>
      <c r="Q359" s="70">
        <f>O359+P359</f>
        <v>10898.41</v>
      </c>
    </row>
    <row r="360" spans="1:17" ht="12.75" hidden="1">
      <c r="A360" s="26" t="s">
        <v>71</v>
      </c>
      <c r="B360" s="88"/>
      <c r="C360" s="136"/>
      <c r="D360" s="104"/>
      <c r="E360" s="236"/>
      <c r="F360" s="274">
        <f t="shared" si="99"/>
        <v>0</v>
      </c>
      <c r="G360" s="287"/>
      <c r="H360" s="320"/>
      <c r="I360" s="256">
        <f t="shared" si="100"/>
        <v>0</v>
      </c>
      <c r="J360" s="21"/>
      <c r="K360" s="7"/>
      <c r="L360" s="65">
        <f t="shared" si="101"/>
        <v>0</v>
      </c>
      <c r="M360" s="127"/>
      <c r="N360" s="7"/>
      <c r="O360" s="18">
        <f t="shared" si="102"/>
        <v>0</v>
      </c>
      <c r="P360" s="72"/>
      <c r="Q360" s="70">
        <f>O360+P360</f>
        <v>0</v>
      </c>
    </row>
    <row r="361" spans="1:17" ht="12.75">
      <c r="A361" s="26" t="s">
        <v>321</v>
      </c>
      <c r="B361" s="88">
        <v>13013</v>
      </c>
      <c r="C361" s="136"/>
      <c r="D361" s="104">
        <f>566.83</f>
        <v>566.83</v>
      </c>
      <c r="E361" s="236"/>
      <c r="F361" s="274">
        <f t="shared" si="99"/>
        <v>566.83</v>
      </c>
      <c r="G361" s="287">
        <f>570+631.78+585.81</f>
        <v>1787.59</v>
      </c>
      <c r="H361" s="320"/>
      <c r="I361" s="256">
        <f t="shared" si="100"/>
        <v>2354.42</v>
      </c>
      <c r="J361" s="21"/>
      <c r="K361" s="7"/>
      <c r="L361" s="65"/>
      <c r="M361" s="127"/>
      <c r="N361" s="7"/>
      <c r="O361" s="18"/>
      <c r="P361" s="72"/>
      <c r="Q361" s="70"/>
    </row>
    <row r="362" spans="1:17" ht="12.75">
      <c r="A362" s="89" t="s">
        <v>306</v>
      </c>
      <c r="B362" s="88">
        <v>2043</v>
      </c>
      <c r="C362" s="136"/>
      <c r="D362" s="104">
        <f>1452.22</f>
        <v>1452.22</v>
      </c>
      <c r="E362" s="236"/>
      <c r="F362" s="274">
        <f t="shared" si="99"/>
        <v>1452.22</v>
      </c>
      <c r="G362" s="287"/>
      <c r="H362" s="320"/>
      <c r="I362" s="256">
        <f t="shared" si="100"/>
        <v>1452.22</v>
      </c>
      <c r="J362" s="21"/>
      <c r="K362" s="7"/>
      <c r="L362" s="65"/>
      <c r="M362" s="127"/>
      <c r="N362" s="7"/>
      <c r="O362" s="18"/>
      <c r="P362" s="72"/>
      <c r="Q362" s="70"/>
    </row>
    <row r="363" spans="1:17" ht="12.75">
      <c r="A363" s="26" t="s">
        <v>307</v>
      </c>
      <c r="B363" s="88">
        <v>2050</v>
      </c>
      <c r="C363" s="136"/>
      <c r="D363" s="104">
        <f>36714.98+825.31</f>
        <v>37540.29</v>
      </c>
      <c r="E363" s="236"/>
      <c r="F363" s="274">
        <f t="shared" si="99"/>
        <v>37540.29</v>
      </c>
      <c r="G363" s="287"/>
      <c r="H363" s="320"/>
      <c r="I363" s="256">
        <f t="shared" si="100"/>
        <v>37540.29</v>
      </c>
      <c r="J363" s="21"/>
      <c r="K363" s="7"/>
      <c r="L363" s="65"/>
      <c r="M363" s="127"/>
      <c r="N363" s="7"/>
      <c r="O363" s="18"/>
      <c r="P363" s="72"/>
      <c r="Q363" s="70"/>
    </row>
    <row r="364" spans="1:17" ht="12.75">
      <c r="A364" s="26" t="s">
        <v>279</v>
      </c>
      <c r="B364" s="88">
        <v>2050</v>
      </c>
      <c r="C364" s="136"/>
      <c r="D364" s="104">
        <f>57358.39</f>
        <v>57358.39</v>
      </c>
      <c r="E364" s="236"/>
      <c r="F364" s="274">
        <f t="shared" si="99"/>
        <v>57358.39</v>
      </c>
      <c r="G364" s="287"/>
      <c r="H364" s="320"/>
      <c r="I364" s="256">
        <f t="shared" si="100"/>
        <v>57358.39</v>
      </c>
      <c r="J364" s="21"/>
      <c r="K364" s="7"/>
      <c r="L364" s="65"/>
      <c r="M364" s="127"/>
      <c r="N364" s="7"/>
      <c r="O364" s="18"/>
      <c r="P364" s="72"/>
      <c r="Q364" s="70"/>
    </row>
    <row r="365" spans="1:17" ht="12.75">
      <c r="A365" s="26" t="s">
        <v>322</v>
      </c>
      <c r="B365" s="88">
        <v>2073</v>
      </c>
      <c r="C365" s="136"/>
      <c r="D365" s="104">
        <f>29847.76</f>
        <v>29847.76</v>
      </c>
      <c r="E365" s="236"/>
      <c r="F365" s="274">
        <f t="shared" si="99"/>
        <v>29847.76</v>
      </c>
      <c r="G365" s="287"/>
      <c r="H365" s="320"/>
      <c r="I365" s="256">
        <f t="shared" si="100"/>
        <v>29847.76</v>
      </c>
      <c r="J365" s="21"/>
      <c r="K365" s="7"/>
      <c r="L365" s="65"/>
      <c r="M365" s="127"/>
      <c r="N365" s="7"/>
      <c r="O365" s="18"/>
      <c r="P365" s="72"/>
      <c r="Q365" s="70"/>
    </row>
    <row r="366" spans="1:17" ht="12.75">
      <c r="A366" s="35" t="s">
        <v>308</v>
      </c>
      <c r="B366" s="88">
        <v>2044</v>
      </c>
      <c r="C366" s="136"/>
      <c r="D366" s="104">
        <f>315.76</f>
        <v>315.76</v>
      </c>
      <c r="E366" s="236"/>
      <c r="F366" s="274">
        <f t="shared" si="99"/>
        <v>315.76</v>
      </c>
      <c r="G366" s="287"/>
      <c r="H366" s="320"/>
      <c r="I366" s="256">
        <f t="shared" si="100"/>
        <v>315.76</v>
      </c>
      <c r="J366" s="21"/>
      <c r="K366" s="7"/>
      <c r="L366" s="65"/>
      <c r="M366" s="127"/>
      <c r="N366" s="7"/>
      <c r="O366" s="18"/>
      <c r="P366" s="72"/>
      <c r="Q366" s="70"/>
    </row>
    <row r="367" spans="1:17" ht="12.75" hidden="1">
      <c r="A367" s="35" t="s">
        <v>264</v>
      </c>
      <c r="B367" s="88">
        <v>2063</v>
      </c>
      <c r="C367" s="136"/>
      <c r="D367" s="104"/>
      <c r="E367" s="236"/>
      <c r="F367" s="274">
        <f t="shared" si="99"/>
        <v>0</v>
      </c>
      <c r="G367" s="287"/>
      <c r="H367" s="320"/>
      <c r="I367" s="256">
        <f t="shared" si="100"/>
        <v>0</v>
      </c>
      <c r="J367" s="21"/>
      <c r="K367" s="7"/>
      <c r="L367" s="65">
        <f t="shared" si="101"/>
        <v>0</v>
      </c>
      <c r="M367" s="127"/>
      <c r="N367" s="7"/>
      <c r="O367" s="18">
        <f t="shared" si="102"/>
        <v>0</v>
      </c>
      <c r="P367" s="72"/>
      <c r="Q367" s="70">
        <f aca="true" t="shared" si="103" ref="Q367:Q373">O367+P367</f>
        <v>0</v>
      </c>
    </row>
    <row r="368" spans="1:17" ht="12.75" hidden="1">
      <c r="A368" s="35" t="s">
        <v>265</v>
      </c>
      <c r="B368" s="88">
        <v>2048</v>
      </c>
      <c r="C368" s="136"/>
      <c r="D368" s="104"/>
      <c r="E368" s="236"/>
      <c r="F368" s="274">
        <f t="shared" si="99"/>
        <v>0</v>
      </c>
      <c r="G368" s="287"/>
      <c r="H368" s="320"/>
      <c r="I368" s="256">
        <f t="shared" si="100"/>
        <v>0</v>
      </c>
      <c r="J368" s="21"/>
      <c r="K368" s="7"/>
      <c r="L368" s="65"/>
      <c r="M368" s="127"/>
      <c r="N368" s="7"/>
      <c r="O368" s="18"/>
      <c r="P368" s="72"/>
      <c r="Q368" s="70"/>
    </row>
    <row r="369" spans="1:17" ht="12.75">
      <c r="A369" s="35" t="s">
        <v>229</v>
      </c>
      <c r="B369" s="88">
        <v>13305</v>
      </c>
      <c r="C369" s="136"/>
      <c r="D369" s="104">
        <f>782123.8</f>
        <v>782123.8</v>
      </c>
      <c r="E369" s="236"/>
      <c r="F369" s="274">
        <f t="shared" si="99"/>
        <v>782123.8</v>
      </c>
      <c r="G369" s="287"/>
      <c r="H369" s="320"/>
      <c r="I369" s="256">
        <f t="shared" si="100"/>
        <v>782123.8</v>
      </c>
      <c r="J369" s="21"/>
      <c r="K369" s="7"/>
      <c r="L369" s="65"/>
      <c r="M369" s="127"/>
      <c r="N369" s="7"/>
      <c r="O369" s="18"/>
      <c r="P369" s="72"/>
      <c r="Q369" s="70"/>
    </row>
    <row r="370" spans="1:17" ht="12.75">
      <c r="A370" s="26" t="s">
        <v>108</v>
      </c>
      <c r="B370" s="88">
        <v>13307</v>
      </c>
      <c r="C370" s="136"/>
      <c r="D370" s="104">
        <f>7000</f>
        <v>7000</v>
      </c>
      <c r="E370" s="236"/>
      <c r="F370" s="274">
        <f t="shared" si="99"/>
        <v>7000</v>
      </c>
      <c r="G370" s="287"/>
      <c r="H370" s="320"/>
      <c r="I370" s="256">
        <f t="shared" si="100"/>
        <v>7000</v>
      </c>
      <c r="J370" s="21"/>
      <c r="K370" s="7"/>
      <c r="L370" s="65">
        <f t="shared" si="101"/>
        <v>7000</v>
      </c>
      <c r="M370" s="127"/>
      <c r="N370" s="7"/>
      <c r="O370" s="18">
        <f t="shared" si="102"/>
        <v>7000</v>
      </c>
      <c r="P370" s="72"/>
      <c r="Q370" s="70">
        <f t="shared" si="103"/>
        <v>7000</v>
      </c>
    </row>
    <row r="371" spans="1:17" ht="12.75" hidden="1">
      <c r="A371" s="26" t="s">
        <v>159</v>
      </c>
      <c r="B371" s="88">
        <v>14032</v>
      </c>
      <c r="C371" s="136"/>
      <c r="D371" s="104"/>
      <c r="E371" s="236"/>
      <c r="F371" s="274">
        <f t="shared" si="99"/>
        <v>0</v>
      </c>
      <c r="G371" s="287"/>
      <c r="H371" s="320"/>
      <c r="I371" s="256">
        <f>F371+G371+H371</f>
        <v>0</v>
      </c>
      <c r="J371" s="21"/>
      <c r="K371" s="7"/>
      <c r="L371" s="65">
        <f t="shared" si="101"/>
        <v>0</v>
      </c>
      <c r="M371" s="127"/>
      <c r="N371" s="7"/>
      <c r="O371" s="18">
        <f t="shared" si="102"/>
        <v>0</v>
      </c>
      <c r="P371" s="72"/>
      <c r="Q371" s="70">
        <f t="shared" si="103"/>
        <v>0</v>
      </c>
    </row>
    <row r="372" spans="1:17" ht="12.75">
      <c r="A372" s="35" t="s">
        <v>165</v>
      </c>
      <c r="B372" s="88">
        <v>4359</v>
      </c>
      <c r="C372" s="136"/>
      <c r="D372" s="104"/>
      <c r="E372" s="236"/>
      <c r="F372" s="274">
        <f t="shared" si="99"/>
        <v>0</v>
      </c>
      <c r="G372" s="287">
        <f>88</f>
        <v>88</v>
      </c>
      <c r="H372" s="320"/>
      <c r="I372" s="256">
        <f>F372+G372+H372</f>
        <v>88</v>
      </c>
      <c r="J372" s="21"/>
      <c r="K372" s="7"/>
      <c r="L372" s="65">
        <f t="shared" si="101"/>
        <v>88</v>
      </c>
      <c r="M372" s="127"/>
      <c r="N372" s="7"/>
      <c r="O372" s="18">
        <f t="shared" si="102"/>
        <v>88</v>
      </c>
      <c r="P372" s="72"/>
      <c r="Q372" s="70">
        <f t="shared" si="103"/>
        <v>88</v>
      </c>
    </row>
    <row r="373" spans="1:17" ht="12.75">
      <c r="A373" s="26" t="s">
        <v>86</v>
      </c>
      <c r="B373" s="88"/>
      <c r="C373" s="136"/>
      <c r="D373" s="104">
        <f>9250+1200+85.48+294+1969.01+1600+43.44</f>
        <v>14441.93</v>
      </c>
      <c r="E373" s="236"/>
      <c r="F373" s="274">
        <f t="shared" si="99"/>
        <v>14441.93</v>
      </c>
      <c r="G373" s="287"/>
      <c r="H373" s="320"/>
      <c r="I373" s="256">
        <f>F373+G373+H373</f>
        <v>14441.93</v>
      </c>
      <c r="J373" s="21"/>
      <c r="K373" s="7"/>
      <c r="L373" s="65">
        <f t="shared" si="101"/>
        <v>14441.93</v>
      </c>
      <c r="M373" s="127"/>
      <c r="N373" s="7"/>
      <c r="O373" s="18">
        <f t="shared" si="102"/>
        <v>14441.93</v>
      </c>
      <c r="P373" s="72"/>
      <c r="Q373" s="70">
        <f t="shared" si="103"/>
        <v>14441.93</v>
      </c>
    </row>
    <row r="374" spans="1:17" ht="12.75">
      <c r="A374" s="32" t="s">
        <v>60</v>
      </c>
      <c r="B374" s="92"/>
      <c r="C374" s="163">
        <f>SUM(C376:C378)</f>
        <v>0</v>
      </c>
      <c r="D374" s="111">
        <f aca="true" t="shared" si="104" ref="D374:Q374">SUM(D376:D378)</f>
        <v>3500</v>
      </c>
      <c r="E374" s="241">
        <f t="shared" si="104"/>
        <v>0</v>
      </c>
      <c r="F374" s="277">
        <f t="shared" si="104"/>
        <v>3500</v>
      </c>
      <c r="G374" s="291">
        <f t="shared" si="104"/>
        <v>0</v>
      </c>
      <c r="H374" s="324">
        <f t="shared" si="104"/>
        <v>0</v>
      </c>
      <c r="I374" s="260">
        <f t="shared" si="104"/>
        <v>3500</v>
      </c>
      <c r="J374" s="163">
        <f t="shared" si="104"/>
        <v>0</v>
      </c>
      <c r="K374" s="111">
        <f t="shared" si="104"/>
        <v>0</v>
      </c>
      <c r="L374" s="183">
        <f t="shared" si="104"/>
        <v>3500</v>
      </c>
      <c r="M374" s="154">
        <f t="shared" si="104"/>
        <v>0</v>
      </c>
      <c r="N374" s="110">
        <f t="shared" si="104"/>
        <v>0</v>
      </c>
      <c r="O374" s="110">
        <f t="shared" si="104"/>
        <v>3500</v>
      </c>
      <c r="P374" s="110">
        <f t="shared" si="104"/>
        <v>0</v>
      </c>
      <c r="Q374" s="110">
        <f t="shared" si="104"/>
        <v>3500</v>
      </c>
    </row>
    <row r="375" spans="1:17" ht="12.75">
      <c r="A375" s="28" t="s">
        <v>27</v>
      </c>
      <c r="B375" s="88"/>
      <c r="C375" s="136"/>
      <c r="D375" s="104"/>
      <c r="E375" s="236"/>
      <c r="F375" s="274"/>
      <c r="G375" s="287"/>
      <c r="H375" s="320"/>
      <c r="I375" s="256"/>
      <c r="J375" s="21"/>
      <c r="K375" s="7"/>
      <c r="L375" s="65"/>
      <c r="M375" s="127"/>
      <c r="N375" s="7"/>
      <c r="O375" s="18"/>
      <c r="P375" s="72"/>
      <c r="Q375" s="70"/>
    </row>
    <row r="376" spans="1:17" ht="12.75" hidden="1">
      <c r="A376" s="26" t="s">
        <v>99</v>
      </c>
      <c r="B376" s="88"/>
      <c r="C376" s="136"/>
      <c r="D376" s="104"/>
      <c r="E376" s="236"/>
      <c r="F376" s="274">
        <f>C376+D376+E376</f>
        <v>0</v>
      </c>
      <c r="G376" s="287"/>
      <c r="H376" s="320"/>
      <c r="I376" s="256">
        <f>F376+G376+H376</f>
        <v>0</v>
      </c>
      <c r="J376" s="21"/>
      <c r="K376" s="7"/>
      <c r="L376" s="65">
        <f>I376+J376+K376</f>
        <v>0</v>
      </c>
      <c r="M376" s="127"/>
      <c r="N376" s="7"/>
      <c r="O376" s="18">
        <f>L376+M376+N376</f>
        <v>0</v>
      </c>
      <c r="P376" s="72"/>
      <c r="Q376" s="70">
        <f>O376+P376</f>
        <v>0</v>
      </c>
    </row>
    <row r="377" spans="1:17" ht="12.75">
      <c r="A377" s="29" t="s">
        <v>61</v>
      </c>
      <c r="B377" s="91"/>
      <c r="C377" s="164"/>
      <c r="D377" s="112">
        <f>3500</f>
        <v>3500</v>
      </c>
      <c r="E377" s="267"/>
      <c r="F377" s="279">
        <f>C377+D377+E377</f>
        <v>3500</v>
      </c>
      <c r="G377" s="294"/>
      <c r="H377" s="318"/>
      <c r="I377" s="262">
        <f>F377+G377+H377</f>
        <v>3500</v>
      </c>
      <c r="J377" s="21"/>
      <c r="K377" s="7"/>
      <c r="L377" s="65">
        <f>I377+J377+K377</f>
        <v>3500</v>
      </c>
      <c r="M377" s="127"/>
      <c r="N377" s="7"/>
      <c r="O377" s="18">
        <f>L377+M377+N377</f>
        <v>3500</v>
      </c>
      <c r="P377" s="72"/>
      <c r="Q377" s="70">
        <f>O377+P377</f>
        <v>3500</v>
      </c>
    </row>
    <row r="378" spans="1:17" ht="12.75" hidden="1">
      <c r="A378" s="29" t="s">
        <v>86</v>
      </c>
      <c r="B378" s="91"/>
      <c r="C378" s="164"/>
      <c r="D378" s="112">
        <f>342.09-342.09</f>
        <v>0</v>
      </c>
      <c r="E378" s="267"/>
      <c r="F378" s="279">
        <f>C378+D378+E378</f>
        <v>0</v>
      </c>
      <c r="G378" s="294"/>
      <c r="H378" s="318"/>
      <c r="I378" s="262">
        <f>F378+G378+H378</f>
        <v>0</v>
      </c>
      <c r="J378" s="21"/>
      <c r="K378" s="7"/>
      <c r="L378" s="65">
        <f>I378+J378+K378</f>
        <v>0</v>
      </c>
      <c r="M378" s="127"/>
      <c r="N378" s="7"/>
      <c r="O378" s="18">
        <f>L378+M378+N378</f>
        <v>0</v>
      </c>
      <c r="P378" s="72"/>
      <c r="Q378" s="70">
        <f>O378+P378</f>
        <v>0</v>
      </c>
    </row>
    <row r="379" spans="1:17" ht="12.75">
      <c r="A379" s="27" t="s">
        <v>204</v>
      </c>
      <c r="B379" s="92"/>
      <c r="C379" s="143">
        <f>C380+C392</f>
        <v>10860</v>
      </c>
      <c r="D379" s="103">
        <f aca="true" t="shared" si="105" ref="D379:Q379">D380+D392</f>
        <v>19685.129999999997</v>
      </c>
      <c r="E379" s="233">
        <f t="shared" si="105"/>
        <v>2622.4</v>
      </c>
      <c r="F379" s="254">
        <f t="shared" si="105"/>
        <v>33167.53</v>
      </c>
      <c r="G379" s="286">
        <f t="shared" si="105"/>
        <v>642.8699999999999</v>
      </c>
      <c r="H379" s="319">
        <f t="shared" si="105"/>
        <v>877.53</v>
      </c>
      <c r="I379" s="257">
        <f t="shared" si="105"/>
        <v>34687.92999999999</v>
      </c>
      <c r="J379" s="143">
        <f t="shared" si="105"/>
        <v>0</v>
      </c>
      <c r="K379" s="103">
        <f t="shared" si="105"/>
        <v>0</v>
      </c>
      <c r="L379" s="158">
        <f t="shared" si="105"/>
        <v>33330.06</v>
      </c>
      <c r="M379" s="128">
        <f t="shared" si="105"/>
        <v>0</v>
      </c>
      <c r="N379" s="102">
        <f t="shared" si="105"/>
        <v>0</v>
      </c>
      <c r="O379" s="102">
        <f t="shared" si="105"/>
        <v>33330.06</v>
      </c>
      <c r="P379" s="102">
        <f t="shared" si="105"/>
        <v>0</v>
      </c>
      <c r="Q379" s="102">
        <f t="shared" si="105"/>
        <v>33330.06</v>
      </c>
    </row>
    <row r="380" spans="1:17" ht="12.75">
      <c r="A380" s="32" t="s">
        <v>55</v>
      </c>
      <c r="B380" s="92"/>
      <c r="C380" s="163">
        <f>SUM(C382:C391)</f>
        <v>9360</v>
      </c>
      <c r="D380" s="111">
        <f aca="true" t="shared" si="106" ref="D380:Q380">SUM(D382:D391)</f>
        <v>2249.85</v>
      </c>
      <c r="E380" s="241">
        <f t="shared" si="106"/>
        <v>2622.4</v>
      </c>
      <c r="F380" s="277">
        <f t="shared" si="106"/>
        <v>14232.25</v>
      </c>
      <c r="G380" s="291">
        <f t="shared" si="106"/>
        <v>1642.87</v>
      </c>
      <c r="H380" s="324">
        <f t="shared" si="106"/>
        <v>877.53</v>
      </c>
      <c r="I380" s="260">
        <f t="shared" si="106"/>
        <v>16752.649999999998</v>
      </c>
      <c r="J380" s="163">
        <f t="shared" si="106"/>
        <v>0</v>
      </c>
      <c r="K380" s="111">
        <f t="shared" si="106"/>
        <v>0</v>
      </c>
      <c r="L380" s="183">
        <f t="shared" si="106"/>
        <v>15394.779999999999</v>
      </c>
      <c r="M380" s="154">
        <f t="shared" si="106"/>
        <v>0</v>
      </c>
      <c r="N380" s="110">
        <f t="shared" si="106"/>
        <v>0</v>
      </c>
      <c r="O380" s="110">
        <f t="shared" si="106"/>
        <v>15394.779999999999</v>
      </c>
      <c r="P380" s="110">
        <f t="shared" si="106"/>
        <v>0</v>
      </c>
      <c r="Q380" s="110">
        <f t="shared" si="106"/>
        <v>15394.779999999999</v>
      </c>
    </row>
    <row r="381" spans="1:17" ht="12.75">
      <c r="A381" s="28" t="s">
        <v>27</v>
      </c>
      <c r="B381" s="88"/>
      <c r="C381" s="136"/>
      <c r="D381" s="104"/>
      <c r="E381" s="236"/>
      <c r="F381" s="254"/>
      <c r="G381" s="287"/>
      <c r="H381" s="320"/>
      <c r="I381" s="257"/>
      <c r="J381" s="21"/>
      <c r="K381" s="7"/>
      <c r="L381" s="61"/>
      <c r="M381" s="127"/>
      <c r="N381" s="7"/>
      <c r="O381" s="17"/>
      <c r="P381" s="72"/>
      <c r="Q381" s="70"/>
    </row>
    <row r="382" spans="1:17" ht="12.75">
      <c r="A382" s="26" t="s">
        <v>57</v>
      </c>
      <c r="B382" s="88"/>
      <c r="C382" s="136">
        <v>9360</v>
      </c>
      <c r="D382" s="104">
        <f>1857.7+70.1</f>
        <v>1927.8</v>
      </c>
      <c r="E382" s="236"/>
      <c r="F382" s="274">
        <f aca="true" t="shared" si="107" ref="F382:F391">C382+D382+E382</f>
        <v>11287.8</v>
      </c>
      <c r="G382" s="287">
        <f>435</f>
        <v>435</v>
      </c>
      <c r="H382" s="320"/>
      <c r="I382" s="256">
        <f>F382+G382+H382</f>
        <v>11722.8</v>
      </c>
      <c r="J382" s="21"/>
      <c r="K382" s="7"/>
      <c r="L382" s="65">
        <f>I382+J382+K382</f>
        <v>11722.8</v>
      </c>
      <c r="M382" s="127"/>
      <c r="N382" s="7"/>
      <c r="O382" s="18">
        <f>L382+M382+N382</f>
        <v>11722.8</v>
      </c>
      <c r="P382" s="72"/>
      <c r="Q382" s="70">
        <f>O382+P382</f>
        <v>11722.8</v>
      </c>
    </row>
    <row r="383" spans="1:17" ht="12.75" hidden="1">
      <c r="A383" s="30" t="s">
        <v>231</v>
      </c>
      <c r="B383" s="88"/>
      <c r="C383" s="136"/>
      <c r="D383" s="104"/>
      <c r="E383" s="236"/>
      <c r="F383" s="274">
        <f t="shared" si="107"/>
        <v>0</v>
      </c>
      <c r="G383" s="287"/>
      <c r="H383" s="320"/>
      <c r="I383" s="256">
        <f aca="true" t="shared" si="108" ref="I383:I391">F383+G383+H383</f>
        <v>0</v>
      </c>
      <c r="J383" s="21"/>
      <c r="K383" s="7"/>
      <c r="L383" s="65">
        <f aca="true" t="shared" si="109" ref="L383:L388">I383+J383+K383</f>
        <v>0</v>
      </c>
      <c r="M383" s="127"/>
      <c r="N383" s="7"/>
      <c r="O383" s="18">
        <f aca="true" t="shared" si="110" ref="O383:O388">L383+M383+N383</f>
        <v>0</v>
      </c>
      <c r="P383" s="72"/>
      <c r="Q383" s="70">
        <f>O383+P383</f>
        <v>0</v>
      </c>
    </row>
    <row r="384" spans="1:17" ht="12.75" hidden="1">
      <c r="A384" s="30" t="s">
        <v>232</v>
      </c>
      <c r="B384" s="88"/>
      <c r="C384" s="136"/>
      <c r="D384" s="104"/>
      <c r="E384" s="236"/>
      <c r="F384" s="274">
        <f t="shared" si="107"/>
        <v>0</v>
      </c>
      <c r="G384" s="287"/>
      <c r="H384" s="320"/>
      <c r="I384" s="256">
        <f t="shared" si="108"/>
        <v>0</v>
      </c>
      <c r="J384" s="21"/>
      <c r="K384" s="7"/>
      <c r="L384" s="65"/>
      <c r="M384" s="127"/>
      <c r="N384" s="7"/>
      <c r="O384" s="18"/>
      <c r="P384" s="72"/>
      <c r="Q384" s="70"/>
    </row>
    <row r="385" spans="1:17" ht="12.75" hidden="1">
      <c r="A385" s="30" t="s">
        <v>235</v>
      </c>
      <c r="B385" s="88">
        <v>1400</v>
      </c>
      <c r="C385" s="136"/>
      <c r="D385" s="115"/>
      <c r="E385" s="236"/>
      <c r="F385" s="274">
        <f t="shared" si="107"/>
        <v>0</v>
      </c>
      <c r="G385" s="287"/>
      <c r="H385" s="320"/>
      <c r="I385" s="256">
        <f t="shared" si="108"/>
        <v>0</v>
      </c>
      <c r="J385" s="21"/>
      <c r="K385" s="7"/>
      <c r="L385" s="65"/>
      <c r="M385" s="127"/>
      <c r="N385" s="7"/>
      <c r="O385" s="18"/>
      <c r="P385" s="72"/>
      <c r="Q385" s="70"/>
    </row>
    <row r="386" spans="1:17" ht="12.75">
      <c r="A386" s="26" t="s">
        <v>86</v>
      </c>
      <c r="B386" s="88"/>
      <c r="C386" s="136"/>
      <c r="D386" s="126">
        <f>13.32+158.73</f>
        <v>172.04999999999998</v>
      </c>
      <c r="E386" s="236">
        <v>2622.4</v>
      </c>
      <c r="F386" s="274">
        <f t="shared" si="107"/>
        <v>2794.4500000000003</v>
      </c>
      <c r="G386" s="287"/>
      <c r="H386" s="320">
        <f>877.53</f>
        <v>877.53</v>
      </c>
      <c r="I386" s="256">
        <f t="shared" si="108"/>
        <v>3671.9800000000005</v>
      </c>
      <c r="J386" s="21"/>
      <c r="K386" s="7"/>
      <c r="L386" s="65">
        <f t="shared" si="109"/>
        <v>3671.9800000000005</v>
      </c>
      <c r="M386" s="127"/>
      <c r="N386" s="7"/>
      <c r="O386" s="18">
        <f t="shared" si="110"/>
        <v>3671.9800000000005</v>
      </c>
      <c r="P386" s="72"/>
      <c r="Q386" s="70">
        <f>O386+P386</f>
        <v>3671.9800000000005</v>
      </c>
    </row>
    <row r="387" spans="1:17" ht="12.75" hidden="1">
      <c r="A387" s="26" t="s">
        <v>71</v>
      </c>
      <c r="B387" s="88"/>
      <c r="C387" s="136"/>
      <c r="D387" s="104"/>
      <c r="E387" s="236"/>
      <c r="F387" s="274">
        <f t="shared" si="107"/>
        <v>0</v>
      </c>
      <c r="G387" s="287"/>
      <c r="H387" s="320"/>
      <c r="I387" s="256">
        <f t="shared" si="108"/>
        <v>0</v>
      </c>
      <c r="J387" s="197"/>
      <c r="K387" s="7"/>
      <c r="L387" s="65">
        <f t="shared" si="109"/>
        <v>0</v>
      </c>
      <c r="M387" s="127"/>
      <c r="N387" s="7"/>
      <c r="O387" s="18">
        <f t="shared" si="110"/>
        <v>0</v>
      </c>
      <c r="P387" s="72"/>
      <c r="Q387" s="70">
        <f>O387+P387</f>
        <v>0</v>
      </c>
    </row>
    <row r="388" spans="1:17" ht="12.75" hidden="1">
      <c r="A388" s="26" t="s">
        <v>173</v>
      </c>
      <c r="B388" s="88"/>
      <c r="C388" s="136"/>
      <c r="D388" s="104"/>
      <c r="E388" s="236"/>
      <c r="F388" s="274">
        <f t="shared" si="107"/>
        <v>0</v>
      </c>
      <c r="G388" s="287"/>
      <c r="H388" s="320"/>
      <c r="I388" s="256">
        <f t="shared" si="108"/>
        <v>0</v>
      </c>
      <c r="J388" s="197"/>
      <c r="K388" s="7"/>
      <c r="L388" s="65">
        <f t="shared" si="109"/>
        <v>0</v>
      </c>
      <c r="M388" s="127"/>
      <c r="N388" s="7"/>
      <c r="O388" s="18">
        <f t="shared" si="110"/>
        <v>0</v>
      </c>
      <c r="P388" s="72"/>
      <c r="Q388" s="70">
        <f>O388+P388</f>
        <v>0</v>
      </c>
    </row>
    <row r="389" spans="1:17" ht="12.75">
      <c r="A389" s="26" t="s">
        <v>302</v>
      </c>
      <c r="B389" s="88">
        <v>98035</v>
      </c>
      <c r="C389" s="136"/>
      <c r="D389" s="104">
        <v>150</v>
      </c>
      <c r="E389" s="236"/>
      <c r="F389" s="274">
        <f t="shared" si="107"/>
        <v>150</v>
      </c>
      <c r="G389" s="287"/>
      <c r="H389" s="320"/>
      <c r="I389" s="256">
        <f t="shared" si="108"/>
        <v>150</v>
      </c>
      <c r="J389" s="197"/>
      <c r="K389" s="7"/>
      <c r="L389" s="65"/>
      <c r="M389" s="127"/>
      <c r="N389" s="7"/>
      <c r="O389" s="18"/>
      <c r="P389" s="72"/>
      <c r="Q389" s="70"/>
    </row>
    <row r="390" spans="1:17" ht="12.75">
      <c r="A390" s="26" t="s">
        <v>269</v>
      </c>
      <c r="B390" s="150" t="s">
        <v>270</v>
      </c>
      <c r="C390" s="136"/>
      <c r="D390" s="104"/>
      <c r="E390" s="236"/>
      <c r="F390" s="274">
        <f t="shared" si="107"/>
        <v>0</v>
      </c>
      <c r="G390" s="287">
        <f>846.6</f>
        <v>846.6</v>
      </c>
      <c r="H390" s="320"/>
      <c r="I390" s="256">
        <f t="shared" si="108"/>
        <v>846.6</v>
      </c>
      <c r="J390" s="197"/>
      <c r="K390" s="7"/>
      <c r="L390" s="65"/>
      <c r="M390" s="127"/>
      <c r="N390" s="7"/>
      <c r="O390" s="18"/>
      <c r="P390" s="72"/>
      <c r="Q390" s="70"/>
    </row>
    <row r="391" spans="1:17" ht="12.75">
      <c r="A391" s="26" t="s">
        <v>268</v>
      </c>
      <c r="B391" s="88">
        <v>33064</v>
      </c>
      <c r="C391" s="136"/>
      <c r="D391" s="104"/>
      <c r="E391" s="236"/>
      <c r="F391" s="274">
        <f t="shared" si="107"/>
        <v>0</v>
      </c>
      <c r="G391" s="287">
        <f>361.27</f>
        <v>361.27</v>
      </c>
      <c r="H391" s="320"/>
      <c r="I391" s="256">
        <f t="shared" si="108"/>
        <v>361.27</v>
      </c>
      <c r="J391" s="197"/>
      <c r="K391" s="7"/>
      <c r="L391" s="65"/>
      <c r="M391" s="127"/>
      <c r="N391" s="7"/>
      <c r="O391" s="18"/>
      <c r="P391" s="72"/>
      <c r="Q391" s="70"/>
    </row>
    <row r="392" spans="1:17" ht="12.75">
      <c r="A392" s="32" t="s">
        <v>60</v>
      </c>
      <c r="B392" s="92"/>
      <c r="C392" s="163">
        <f>SUM(C394:C400)</f>
        <v>1500</v>
      </c>
      <c r="D392" s="111">
        <f aca="true" t="shared" si="111" ref="D392:Q392">SUM(D394:D400)</f>
        <v>17435.28</v>
      </c>
      <c r="E392" s="241">
        <f t="shared" si="111"/>
        <v>0</v>
      </c>
      <c r="F392" s="277">
        <f t="shared" si="111"/>
        <v>18935.28</v>
      </c>
      <c r="G392" s="291">
        <f t="shared" si="111"/>
        <v>-1000</v>
      </c>
      <c r="H392" s="324">
        <f t="shared" si="111"/>
        <v>0</v>
      </c>
      <c r="I392" s="260">
        <f t="shared" si="111"/>
        <v>17935.28</v>
      </c>
      <c r="J392" s="163">
        <f t="shared" si="111"/>
        <v>0</v>
      </c>
      <c r="K392" s="111">
        <f t="shared" si="111"/>
        <v>0</v>
      </c>
      <c r="L392" s="183">
        <f t="shared" si="111"/>
        <v>17935.28</v>
      </c>
      <c r="M392" s="154">
        <f t="shared" si="111"/>
        <v>0</v>
      </c>
      <c r="N392" s="110">
        <f t="shared" si="111"/>
        <v>0</v>
      </c>
      <c r="O392" s="110">
        <f t="shared" si="111"/>
        <v>17935.28</v>
      </c>
      <c r="P392" s="110">
        <f t="shared" si="111"/>
        <v>0</v>
      </c>
      <c r="Q392" s="110">
        <f t="shared" si="111"/>
        <v>17935.28</v>
      </c>
    </row>
    <row r="393" spans="1:17" ht="12.75">
      <c r="A393" s="28" t="s">
        <v>27</v>
      </c>
      <c r="B393" s="88"/>
      <c r="C393" s="136"/>
      <c r="D393" s="104"/>
      <c r="E393" s="236"/>
      <c r="F393" s="274"/>
      <c r="G393" s="287"/>
      <c r="H393" s="320"/>
      <c r="I393" s="256"/>
      <c r="J393" s="21"/>
      <c r="K393" s="7"/>
      <c r="L393" s="65"/>
      <c r="M393" s="127"/>
      <c r="N393" s="7"/>
      <c r="O393" s="18"/>
      <c r="P393" s="72"/>
      <c r="Q393" s="70"/>
    </row>
    <row r="394" spans="1:17" ht="12.75">
      <c r="A394" s="30" t="s">
        <v>75</v>
      </c>
      <c r="B394" s="88"/>
      <c r="C394" s="136"/>
      <c r="D394" s="104">
        <f>2000</f>
        <v>2000</v>
      </c>
      <c r="E394" s="236"/>
      <c r="F394" s="274">
        <f aca="true" t="shared" si="112" ref="F394:F400">C394+D394+E394</f>
        <v>2000</v>
      </c>
      <c r="G394" s="287"/>
      <c r="H394" s="320"/>
      <c r="I394" s="256">
        <f>F394+G394+H394</f>
        <v>2000</v>
      </c>
      <c r="J394" s="21"/>
      <c r="K394" s="7"/>
      <c r="L394" s="65">
        <f>I394+J394+K394</f>
        <v>2000</v>
      </c>
      <c r="M394" s="127"/>
      <c r="N394" s="7"/>
      <c r="O394" s="18">
        <f>L394+M394+N394</f>
        <v>2000</v>
      </c>
      <c r="P394" s="72"/>
      <c r="Q394" s="70">
        <f>O394+P394</f>
        <v>2000</v>
      </c>
    </row>
    <row r="395" spans="1:17" ht="12.75" hidden="1">
      <c r="A395" s="30" t="s">
        <v>217</v>
      </c>
      <c r="B395" s="88"/>
      <c r="C395" s="136"/>
      <c r="D395" s="104"/>
      <c r="E395" s="236"/>
      <c r="F395" s="274">
        <f t="shared" si="112"/>
        <v>0</v>
      </c>
      <c r="G395" s="287"/>
      <c r="H395" s="320"/>
      <c r="I395" s="256"/>
      <c r="J395" s="21"/>
      <c r="K395" s="7"/>
      <c r="L395" s="65"/>
      <c r="M395" s="127"/>
      <c r="N395" s="7"/>
      <c r="O395" s="18"/>
      <c r="P395" s="72"/>
      <c r="Q395" s="70"/>
    </row>
    <row r="396" spans="1:17" ht="12.75" hidden="1">
      <c r="A396" s="30" t="s">
        <v>218</v>
      </c>
      <c r="B396" s="88"/>
      <c r="C396" s="136"/>
      <c r="D396" s="104"/>
      <c r="E396" s="236"/>
      <c r="F396" s="274">
        <f t="shared" si="112"/>
        <v>0</v>
      </c>
      <c r="G396" s="287"/>
      <c r="H396" s="320"/>
      <c r="I396" s="256"/>
      <c r="J396" s="21"/>
      <c r="K396" s="7"/>
      <c r="L396" s="65"/>
      <c r="M396" s="127"/>
      <c r="N396" s="7"/>
      <c r="O396" s="18"/>
      <c r="P396" s="72"/>
      <c r="Q396" s="70"/>
    </row>
    <row r="397" spans="1:17" ht="12.75" hidden="1">
      <c r="A397" s="30" t="s">
        <v>205</v>
      </c>
      <c r="B397" s="88"/>
      <c r="C397" s="136"/>
      <c r="D397" s="104"/>
      <c r="E397" s="236"/>
      <c r="F397" s="274">
        <f t="shared" si="112"/>
        <v>0</v>
      </c>
      <c r="G397" s="287"/>
      <c r="H397" s="320"/>
      <c r="I397" s="256"/>
      <c r="J397" s="21"/>
      <c r="K397" s="7"/>
      <c r="L397" s="65"/>
      <c r="M397" s="127"/>
      <c r="N397" s="7"/>
      <c r="O397" s="18"/>
      <c r="P397" s="72"/>
      <c r="Q397" s="70"/>
    </row>
    <row r="398" spans="1:17" ht="12.75">
      <c r="A398" s="26" t="s">
        <v>61</v>
      </c>
      <c r="B398" s="88"/>
      <c r="C398" s="136">
        <v>1500</v>
      </c>
      <c r="D398" s="104">
        <f>1000</f>
        <v>1000</v>
      </c>
      <c r="E398" s="236"/>
      <c r="F398" s="274">
        <f t="shared" si="112"/>
        <v>2500</v>
      </c>
      <c r="G398" s="287">
        <f>-1000</f>
        <v>-1000</v>
      </c>
      <c r="H398" s="320"/>
      <c r="I398" s="256">
        <f>F398+G398+H398</f>
        <v>1500</v>
      </c>
      <c r="J398" s="21"/>
      <c r="K398" s="7"/>
      <c r="L398" s="65">
        <f>I398+J398+K398</f>
        <v>1500</v>
      </c>
      <c r="M398" s="127"/>
      <c r="N398" s="7"/>
      <c r="O398" s="18">
        <f>L398+M398+N398</f>
        <v>1500</v>
      </c>
      <c r="P398" s="72"/>
      <c r="Q398" s="70">
        <f>O398+P398</f>
        <v>1500</v>
      </c>
    </row>
    <row r="399" spans="1:17" ht="12.75">
      <c r="A399" s="29" t="s">
        <v>86</v>
      </c>
      <c r="B399" s="91"/>
      <c r="C399" s="164"/>
      <c r="D399" s="112">
        <f>14435.28</f>
        <v>14435.28</v>
      </c>
      <c r="E399" s="267"/>
      <c r="F399" s="279">
        <f t="shared" si="112"/>
        <v>14435.28</v>
      </c>
      <c r="G399" s="294"/>
      <c r="H399" s="318"/>
      <c r="I399" s="262">
        <f>F399+G399+H399</f>
        <v>14435.28</v>
      </c>
      <c r="J399" s="21"/>
      <c r="K399" s="7"/>
      <c r="L399" s="65">
        <f>I399+J399+K399</f>
        <v>14435.28</v>
      </c>
      <c r="M399" s="127"/>
      <c r="N399" s="7"/>
      <c r="O399" s="18">
        <f>L399+M399+N399</f>
        <v>14435.28</v>
      </c>
      <c r="P399" s="72"/>
      <c r="Q399" s="70">
        <f>O399+P399</f>
        <v>14435.28</v>
      </c>
    </row>
    <row r="400" spans="1:17" ht="12.75" hidden="1">
      <c r="A400" s="36" t="s">
        <v>206</v>
      </c>
      <c r="B400" s="91"/>
      <c r="C400" s="164"/>
      <c r="D400" s="112"/>
      <c r="E400" s="267"/>
      <c r="F400" s="279">
        <f t="shared" si="112"/>
        <v>0</v>
      </c>
      <c r="G400" s="294"/>
      <c r="H400" s="318"/>
      <c r="I400" s="262">
        <f>F400+G400+H400</f>
        <v>0</v>
      </c>
      <c r="J400" s="199"/>
      <c r="K400" s="10"/>
      <c r="L400" s="64">
        <f>I400+J400+K400</f>
        <v>0</v>
      </c>
      <c r="M400" s="214"/>
      <c r="N400" s="10"/>
      <c r="O400" s="20">
        <f>L400+M400+N400</f>
        <v>0</v>
      </c>
      <c r="P400" s="75"/>
      <c r="Q400" s="76">
        <f>O400+P400</f>
        <v>0</v>
      </c>
    </row>
    <row r="401" spans="1:17" ht="12.75">
      <c r="A401" s="23" t="s">
        <v>109</v>
      </c>
      <c r="B401" s="92"/>
      <c r="C401" s="143">
        <f>C402+C405</f>
        <v>3304.9</v>
      </c>
      <c r="D401" s="103">
        <f aca="true" t="shared" si="113" ref="D401:Q401">D402+D405</f>
        <v>0</v>
      </c>
      <c r="E401" s="233">
        <f t="shared" si="113"/>
        <v>0</v>
      </c>
      <c r="F401" s="254">
        <f t="shared" si="113"/>
        <v>3304.9</v>
      </c>
      <c r="G401" s="286">
        <f t="shared" si="113"/>
        <v>0</v>
      </c>
      <c r="H401" s="319">
        <f t="shared" si="113"/>
        <v>0</v>
      </c>
      <c r="I401" s="257">
        <f t="shared" si="113"/>
        <v>3304.9</v>
      </c>
      <c r="J401" s="143">
        <f t="shared" si="113"/>
        <v>0</v>
      </c>
      <c r="K401" s="103">
        <f t="shared" si="113"/>
        <v>0</v>
      </c>
      <c r="L401" s="158">
        <f t="shared" si="113"/>
        <v>3304.9</v>
      </c>
      <c r="M401" s="128">
        <f t="shared" si="113"/>
        <v>0</v>
      </c>
      <c r="N401" s="102">
        <f t="shared" si="113"/>
        <v>0</v>
      </c>
      <c r="O401" s="102">
        <f t="shared" si="113"/>
        <v>3304.9</v>
      </c>
      <c r="P401" s="102">
        <f t="shared" si="113"/>
        <v>0</v>
      </c>
      <c r="Q401" s="102">
        <f t="shared" si="113"/>
        <v>3304.9</v>
      </c>
    </row>
    <row r="402" spans="1:17" ht="12.75">
      <c r="A402" s="32" t="s">
        <v>55</v>
      </c>
      <c r="B402" s="92"/>
      <c r="C402" s="163">
        <f>SUM(C404:C404)</f>
        <v>3304.9</v>
      </c>
      <c r="D402" s="111">
        <f aca="true" t="shared" si="114" ref="D402:Q402">SUM(D404:D404)</f>
        <v>0</v>
      </c>
      <c r="E402" s="241">
        <f t="shared" si="114"/>
        <v>0</v>
      </c>
      <c r="F402" s="277">
        <f t="shared" si="114"/>
        <v>3304.9</v>
      </c>
      <c r="G402" s="291">
        <f t="shared" si="114"/>
        <v>0</v>
      </c>
      <c r="H402" s="324">
        <f t="shared" si="114"/>
        <v>0</v>
      </c>
      <c r="I402" s="260">
        <f t="shared" si="114"/>
        <v>3304.9</v>
      </c>
      <c r="J402" s="163">
        <f t="shared" si="114"/>
        <v>0</v>
      </c>
      <c r="K402" s="111">
        <f t="shared" si="114"/>
        <v>0</v>
      </c>
      <c r="L402" s="183">
        <f t="shared" si="114"/>
        <v>3304.9</v>
      </c>
      <c r="M402" s="154">
        <f t="shared" si="114"/>
        <v>0</v>
      </c>
      <c r="N402" s="110">
        <f t="shared" si="114"/>
        <v>0</v>
      </c>
      <c r="O402" s="110">
        <f t="shared" si="114"/>
        <v>3304.9</v>
      </c>
      <c r="P402" s="110">
        <f t="shared" si="114"/>
        <v>0</v>
      </c>
      <c r="Q402" s="110">
        <f t="shared" si="114"/>
        <v>3304.9</v>
      </c>
    </row>
    <row r="403" spans="1:17" ht="12.75">
      <c r="A403" s="28" t="s">
        <v>27</v>
      </c>
      <c r="B403" s="88"/>
      <c r="C403" s="136"/>
      <c r="D403" s="104"/>
      <c r="E403" s="236"/>
      <c r="F403" s="254"/>
      <c r="G403" s="287"/>
      <c r="H403" s="320"/>
      <c r="I403" s="257"/>
      <c r="J403" s="21"/>
      <c r="K403" s="7"/>
      <c r="L403" s="61"/>
      <c r="M403" s="127"/>
      <c r="N403" s="7"/>
      <c r="O403" s="17"/>
      <c r="P403" s="72"/>
      <c r="Q403" s="70"/>
    </row>
    <row r="404" spans="1:17" ht="12.75">
      <c r="A404" s="29" t="s">
        <v>57</v>
      </c>
      <c r="B404" s="91"/>
      <c r="C404" s="167">
        <v>3304.9</v>
      </c>
      <c r="D404" s="112"/>
      <c r="E404" s="267"/>
      <c r="F404" s="279">
        <f>C404+D404+E404</f>
        <v>3304.9</v>
      </c>
      <c r="G404" s="294"/>
      <c r="H404" s="318"/>
      <c r="I404" s="262">
        <f>F404+G404+H404</f>
        <v>3304.9</v>
      </c>
      <c r="J404" s="21"/>
      <c r="K404" s="7"/>
      <c r="L404" s="65">
        <f>I404+J404+K404</f>
        <v>3304.9</v>
      </c>
      <c r="M404" s="127"/>
      <c r="N404" s="7"/>
      <c r="O404" s="18">
        <f>L404+M404+N404</f>
        <v>3304.9</v>
      </c>
      <c r="P404" s="72"/>
      <c r="Q404" s="70">
        <f>O404+P404</f>
        <v>3304.9</v>
      </c>
    </row>
    <row r="405" spans="1:17" ht="12.75" hidden="1">
      <c r="A405" s="32" t="s">
        <v>60</v>
      </c>
      <c r="B405" s="92"/>
      <c r="C405" s="163">
        <f aca="true" t="shared" si="115" ref="C405:Q405">SUM(C407:C407)</f>
        <v>0</v>
      </c>
      <c r="D405" s="111">
        <f t="shared" si="115"/>
        <v>0</v>
      </c>
      <c r="E405" s="241">
        <f t="shared" si="115"/>
        <v>0</v>
      </c>
      <c r="F405" s="277">
        <f t="shared" si="115"/>
        <v>0</v>
      </c>
      <c r="G405" s="291">
        <f t="shared" si="115"/>
        <v>0</v>
      </c>
      <c r="H405" s="324">
        <f t="shared" si="115"/>
        <v>0</v>
      </c>
      <c r="I405" s="260">
        <f t="shared" si="115"/>
        <v>0</v>
      </c>
      <c r="J405" s="163">
        <f t="shared" si="115"/>
        <v>0</v>
      </c>
      <c r="K405" s="111">
        <f t="shared" si="115"/>
        <v>0</v>
      </c>
      <c r="L405" s="183">
        <f t="shared" si="115"/>
        <v>0</v>
      </c>
      <c r="M405" s="154">
        <f t="shared" si="115"/>
        <v>0</v>
      </c>
      <c r="N405" s="110">
        <f t="shared" si="115"/>
        <v>0</v>
      </c>
      <c r="O405" s="110">
        <f t="shared" si="115"/>
        <v>0</v>
      </c>
      <c r="P405" s="110">
        <f t="shared" si="115"/>
        <v>0</v>
      </c>
      <c r="Q405" s="110">
        <f t="shared" si="115"/>
        <v>0</v>
      </c>
    </row>
    <row r="406" spans="1:17" ht="12.75" hidden="1">
      <c r="A406" s="28" t="s">
        <v>27</v>
      </c>
      <c r="B406" s="88"/>
      <c r="C406" s="136"/>
      <c r="D406" s="104"/>
      <c r="E406" s="236"/>
      <c r="F406" s="274"/>
      <c r="G406" s="287"/>
      <c r="H406" s="320"/>
      <c r="I406" s="256"/>
      <c r="J406" s="21"/>
      <c r="K406" s="7"/>
      <c r="L406" s="65"/>
      <c r="M406" s="127"/>
      <c r="N406" s="7"/>
      <c r="O406" s="18"/>
      <c r="P406" s="72"/>
      <c r="Q406" s="70"/>
    </row>
    <row r="407" spans="1:17" ht="12.75" hidden="1">
      <c r="A407" s="29" t="s">
        <v>61</v>
      </c>
      <c r="B407" s="91"/>
      <c r="C407" s="164"/>
      <c r="D407" s="112"/>
      <c r="E407" s="267"/>
      <c r="F407" s="279">
        <f>C407+D407+E407</f>
        <v>0</v>
      </c>
      <c r="G407" s="294"/>
      <c r="H407" s="318"/>
      <c r="I407" s="262">
        <f>F407+G407+H407</f>
        <v>0</v>
      </c>
      <c r="J407" s="199"/>
      <c r="K407" s="10"/>
      <c r="L407" s="64">
        <f>I407+J407+K407</f>
        <v>0</v>
      </c>
      <c r="M407" s="214"/>
      <c r="N407" s="10"/>
      <c r="O407" s="20">
        <f>L407+M407+N407</f>
        <v>0</v>
      </c>
      <c r="P407" s="75"/>
      <c r="Q407" s="76">
        <f>O407+P407</f>
        <v>0</v>
      </c>
    </row>
    <row r="408" spans="1:17" ht="12.75">
      <c r="A408" s="23" t="s">
        <v>110</v>
      </c>
      <c r="B408" s="92"/>
      <c r="C408" s="143">
        <f aca="true" t="shared" si="116" ref="C408:Q408">C409</f>
        <v>39482.44</v>
      </c>
      <c r="D408" s="103">
        <f t="shared" si="116"/>
        <v>25118.32</v>
      </c>
      <c r="E408" s="233">
        <f t="shared" si="116"/>
        <v>0</v>
      </c>
      <c r="F408" s="254">
        <f t="shared" si="116"/>
        <v>64600.759999999995</v>
      </c>
      <c r="G408" s="286">
        <f t="shared" si="116"/>
        <v>-1564</v>
      </c>
      <c r="H408" s="319">
        <f t="shared" si="116"/>
        <v>582.71</v>
      </c>
      <c r="I408" s="257">
        <f t="shared" si="116"/>
        <v>63619.47</v>
      </c>
      <c r="J408" s="143">
        <f t="shared" si="116"/>
        <v>0</v>
      </c>
      <c r="K408" s="103">
        <f t="shared" si="116"/>
        <v>0</v>
      </c>
      <c r="L408" s="158">
        <f t="shared" si="116"/>
        <v>63619.47</v>
      </c>
      <c r="M408" s="128">
        <f t="shared" si="116"/>
        <v>0</v>
      </c>
      <c r="N408" s="102">
        <f t="shared" si="116"/>
        <v>0</v>
      </c>
      <c r="O408" s="102">
        <f t="shared" si="116"/>
        <v>63619.47</v>
      </c>
      <c r="P408" s="102">
        <f t="shared" si="116"/>
        <v>0</v>
      </c>
      <c r="Q408" s="102">
        <f t="shared" si="116"/>
        <v>63619.47</v>
      </c>
    </row>
    <row r="409" spans="1:17" ht="12.75">
      <c r="A409" s="32" t="s">
        <v>55</v>
      </c>
      <c r="B409" s="92"/>
      <c r="C409" s="163">
        <f>SUM(C411:C414)</f>
        <v>39482.44</v>
      </c>
      <c r="D409" s="111">
        <f aca="true" t="shared" si="117" ref="D409:Q409">SUM(D411:D414)</f>
        <v>25118.32</v>
      </c>
      <c r="E409" s="241">
        <f t="shared" si="117"/>
        <v>0</v>
      </c>
      <c r="F409" s="277">
        <f t="shared" si="117"/>
        <v>64600.759999999995</v>
      </c>
      <c r="G409" s="291">
        <f t="shared" si="117"/>
        <v>-1564</v>
      </c>
      <c r="H409" s="324">
        <f t="shared" si="117"/>
        <v>582.71</v>
      </c>
      <c r="I409" s="260">
        <f t="shared" si="117"/>
        <v>63619.47</v>
      </c>
      <c r="J409" s="163">
        <f t="shared" si="117"/>
        <v>0</v>
      </c>
      <c r="K409" s="111">
        <f t="shared" si="117"/>
        <v>0</v>
      </c>
      <c r="L409" s="183">
        <f t="shared" si="117"/>
        <v>63619.47</v>
      </c>
      <c r="M409" s="154">
        <f t="shared" si="117"/>
        <v>0</v>
      </c>
      <c r="N409" s="110">
        <f t="shared" si="117"/>
        <v>0</v>
      </c>
      <c r="O409" s="110">
        <f t="shared" si="117"/>
        <v>63619.47</v>
      </c>
      <c r="P409" s="110">
        <f t="shared" si="117"/>
        <v>0</v>
      </c>
      <c r="Q409" s="110">
        <f t="shared" si="117"/>
        <v>63619.47</v>
      </c>
    </row>
    <row r="410" spans="1:17" ht="12.75">
      <c r="A410" s="28" t="s">
        <v>27</v>
      </c>
      <c r="B410" s="88"/>
      <c r="C410" s="143"/>
      <c r="D410" s="103"/>
      <c r="E410" s="233"/>
      <c r="F410" s="254"/>
      <c r="G410" s="286"/>
      <c r="H410" s="319"/>
      <c r="I410" s="257"/>
      <c r="J410" s="196"/>
      <c r="K410" s="6"/>
      <c r="L410" s="61"/>
      <c r="M410" s="211"/>
      <c r="N410" s="6"/>
      <c r="O410" s="17"/>
      <c r="P410" s="72"/>
      <c r="Q410" s="70"/>
    </row>
    <row r="411" spans="1:17" ht="12.75">
      <c r="A411" s="89" t="s">
        <v>219</v>
      </c>
      <c r="B411" s="88"/>
      <c r="C411" s="136">
        <v>10000</v>
      </c>
      <c r="D411" s="104"/>
      <c r="E411" s="236"/>
      <c r="F411" s="274">
        <f>C411+D411+E411</f>
        <v>10000</v>
      </c>
      <c r="G411" s="287">
        <f>-600-40-408-516</f>
        <v>-1564</v>
      </c>
      <c r="H411" s="320">
        <f>582.71</f>
        <v>582.71</v>
      </c>
      <c r="I411" s="256">
        <f>F411+G411+H411</f>
        <v>9018.71</v>
      </c>
      <c r="J411" s="197"/>
      <c r="K411" s="7"/>
      <c r="L411" s="65">
        <f>I411+J411+K411</f>
        <v>9018.71</v>
      </c>
      <c r="M411" s="127"/>
      <c r="N411" s="7"/>
      <c r="O411" s="18">
        <f>L411+M411+N411</f>
        <v>9018.71</v>
      </c>
      <c r="P411" s="72"/>
      <c r="Q411" s="70">
        <f>O411+P411</f>
        <v>9018.71</v>
      </c>
    </row>
    <row r="412" spans="1:17" ht="12.75">
      <c r="A412" s="89" t="s">
        <v>111</v>
      </c>
      <c r="B412" s="88"/>
      <c r="C412" s="136"/>
      <c r="D412" s="115">
        <f>19085.93</f>
        <v>19085.93</v>
      </c>
      <c r="E412" s="236"/>
      <c r="F412" s="274">
        <f>C412+D412+E412</f>
        <v>19085.93</v>
      </c>
      <c r="G412" s="287"/>
      <c r="H412" s="320"/>
      <c r="I412" s="256">
        <f>F412+G412+H412</f>
        <v>19085.93</v>
      </c>
      <c r="J412" s="21"/>
      <c r="K412" s="7"/>
      <c r="L412" s="65">
        <f>I412+J412+K412</f>
        <v>19085.93</v>
      </c>
      <c r="M412" s="127"/>
      <c r="N412" s="7"/>
      <c r="O412" s="18">
        <f>L412+M412+N412</f>
        <v>19085.93</v>
      </c>
      <c r="P412" s="72"/>
      <c r="Q412" s="70">
        <f>O412+P412</f>
        <v>19085.93</v>
      </c>
    </row>
    <row r="413" spans="1:17" ht="12.75">
      <c r="A413" s="89" t="s">
        <v>112</v>
      </c>
      <c r="B413" s="88"/>
      <c r="C413" s="136"/>
      <c r="D413" s="104">
        <f>6032.39</f>
        <v>6032.39</v>
      </c>
      <c r="E413" s="236"/>
      <c r="F413" s="274">
        <f>C413+D413+E413</f>
        <v>6032.39</v>
      </c>
      <c r="G413" s="287"/>
      <c r="H413" s="320"/>
      <c r="I413" s="256">
        <f>F413+G413+H413</f>
        <v>6032.39</v>
      </c>
      <c r="J413" s="21"/>
      <c r="K413" s="7"/>
      <c r="L413" s="65">
        <f>I413+J413+K413</f>
        <v>6032.39</v>
      </c>
      <c r="M413" s="127"/>
      <c r="N413" s="7"/>
      <c r="O413" s="18">
        <f>L413+M413+N413</f>
        <v>6032.39</v>
      </c>
      <c r="P413" s="72"/>
      <c r="Q413" s="70">
        <f>O413+P413</f>
        <v>6032.39</v>
      </c>
    </row>
    <row r="414" spans="1:17" ht="12.75">
      <c r="A414" s="29" t="s">
        <v>57</v>
      </c>
      <c r="B414" s="91"/>
      <c r="C414" s="164">
        <v>29482.44</v>
      </c>
      <c r="D414" s="112"/>
      <c r="E414" s="267"/>
      <c r="F414" s="279">
        <f>C414+D414+E414</f>
        <v>29482.44</v>
      </c>
      <c r="G414" s="294"/>
      <c r="H414" s="318"/>
      <c r="I414" s="262">
        <f>F414+G414+H414</f>
        <v>29482.44</v>
      </c>
      <c r="J414" s="199"/>
      <c r="K414" s="10"/>
      <c r="L414" s="64">
        <f>I414+J414+K414</f>
        <v>29482.44</v>
      </c>
      <c r="M414" s="214"/>
      <c r="N414" s="10"/>
      <c r="O414" s="20">
        <f>L414+M414+N414</f>
        <v>29482.44</v>
      </c>
      <c r="P414" s="75"/>
      <c r="Q414" s="76">
        <f>O414+P414</f>
        <v>29482.44</v>
      </c>
    </row>
    <row r="415" spans="1:17" ht="12.75">
      <c r="A415" s="23" t="s">
        <v>183</v>
      </c>
      <c r="B415" s="92"/>
      <c r="C415" s="143">
        <f aca="true" t="shared" si="118" ref="C415:Q415">C416+C430</f>
        <v>101456.4</v>
      </c>
      <c r="D415" s="103">
        <f t="shared" si="118"/>
        <v>81260.92</v>
      </c>
      <c r="E415" s="233">
        <f t="shared" si="118"/>
        <v>3100</v>
      </c>
      <c r="F415" s="254">
        <f t="shared" si="118"/>
        <v>185817.32</v>
      </c>
      <c r="G415" s="286">
        <f t="shared" si="118"/>
        <v>33518</v>
      </c>
      <c r="H415" s="319">
        <f t="shared" si="118"/>
        <v>0</v>
      </c>
      <c r="I415" s="257">
        <f t="shared" si="118"/>
        <v>219335.32</v>
      </c>
      <c r="J415" s="143">
        <f t="shared" si="118"/>
        <v>0</v>
      </c>
      <c r="K415" s="103">
        <f t="shared" si="118"/>
        <v>0</v>
      </c>
      <c r="L415" s="158">
        <f t="shared" si="118"/>
        <v>0</v>
      </c>
      <c r="M415" s="128">
        <f t="shared" si="118"/>
        <v>0</v>
      </c>
      <c r="N415" s="102">
        <f t="shared" si="118"/>
        <v>0</v>
      </c>
      <c r="O415" s="102">
        <f t="shared" si="118"/>
        <v>0</v>
      </c>
      <c r="P415" s="102">
        <f t="shared" si="118"/>
        <v>0</v>
      </c>
      <c r="Q415" s="102">
        <f t="shared" si="118"/>
        <v>0</v>
      </c>
    </row>
    <row r="416" spans="1:17" ht="12.75">
      <c r="A416" s="32" t="s">
        <v>55</v>
      </c>
      <c r="B416" s="92"/>
      <c r="C416" s="163">
        <f>SUM(C418:C429)</f>
        <v>66631.4</v>
      </c>
      <c r="D416" s="111">
        <f>SUM(D418:D429)</f>
        <v>24807.72</v>
      </c>
      <c r="E416" s="241">
        <f>SUM(E417:E429)</f>
        <v>-250</v>
      </c>
      <c r="F416" s="277">
        <f>SUM(F418:F429)</f>
        <v>91189.12</v>
      </c>
      <c r="G416" s="291">
        <f aca="true" t="shared" si="119" ref="G416:Q416">SUM(G417:G429)</f>
        <v>1981.5</v>
      </c>
      <c r="H416" s="324">
        <f t="shared" si="119"/>
        <v>0</v>
      </c>
      <c r="I416" s="260">
        <f t="shared" si="119"/>
        <v>93170.62</v>
      </c>
      <c r="J416" s="163">
        <f t="shared" si="119"/>
        <v>0</v>
      </c>
      <c r="K416" s="111">
        <f t="shared" si="119"/>
        <v>0</v>
      </c>
      <c r="L416" s="183">
        <f t="shared" si="119"/>
        <v>0</v>
      </c>
      <c r="M416" s="154">
        <f t="shared" si="119"/>
        <v>0</v>
      </c>
      <c r="N416" s="110">
        <f t="shared" si="119"/>
        <v>0</v>
      </c>
      <c r="O416" s="110">
        <f t="shared" si="119"/>
        <v>0</v>
      </c>
      <c r="P416" s="110">
        <f t="shared" si="119"/>
        <v>0</v>
      </c>
      <c r="Q416" s="110">
        <f t="shared" si="119"/>
        <v>0</v>
      </c>
    </row>
    <row r="417" spans="1:17" ht="12.75">
      <c r="A417" s="28" t="s">
        <v>27</v>
      </c>
      <c r="B417" s="88"/>
      <c r="C417" s="136"/>
      <c r="D417" s="104"/>
      <c r="E417" s="236"/>
      <c r="F417" s="274"/>
      <c r="G417" s="287"/>
      <c r="H417" s="320"/>
      <c r="I417" s="256"/>
      <c r="J417" s="21"/>
      <c r="K417" s="7"/>
      <c r="L417" s="65"/>
      <c r="M417" s="127"/>
      <c r="N417" s="7"/>
      <c r="O417" s="18"/>
      <c r="P417" s="72"/>
      <c r="Q417" s="70"/>
    </row>
    <row r="418" spans="1:17" ht="12.75">
      <c r="A418" s="26" t="s">
        <v>296</v>
      </c>
      <c r="B418" s="88">
        <v>1202</v>
      </c>
      <c r="C418" s="136">
        <v>4025</v>
      </c>
      <c r="D418" s="104">
        <f>485.09-205</f>
        <v>280.09</v>
      </c>
      <c r="E418" s="236"/>
      <c r="F418" s="274">
        <f aca="true" t="shared" si="120" ref="F418:F429">C418+D418+E418</f>
        <v>4305.09</v>
      </c>
      <c r="G418" s="287">
        <f>4.15</f>
        <v>4.15</v>
      </c>
      <c r="H418" s="320"/>
      <c r="I418" s="256">
        <f>F418+G418+H418</f>
        <v>4309.24</v>
      </c>
      <c r="J418" s="21"/>
      <c r="K418" s="7"/>
      <c r="L418" s="65"/>
      <c r="M418" s="127"/>
      <c r="N418" s="7"/>
      <c r="O418" s="18"/>
      <c r="P418" s="72"/>
      <c r="Q418" s="70"/>
    </row>
    <row r="419" spans="1:17" ht="12.75">
      <c r="A419" s="26" t="s">
        <v>211</v>
      </c>
      <c r="B419" s="88">
        <v>1208</v>
      </c>
      <c r="C419" s="136">
        <v>2500</v>
      </c>
      <c r="D419" s="104">
        <f>18</f>
        <v>18</v>
      </c>
      <c r="E419" s="236"/>
      <c r="F419" s="274">
        <f t="shared" si="120"/>
        <v>2518</v>
      </c>
      <c r="G419" s="287"/>
      <c r="H419" s="320"/>
      <c r="I419" s="256">
        <f aca="true" t="shared" si="121" ref="I419:I429">F419+G419+H419</f>
        <v>2518</v>
      </c>
      <c r="J419" s="21"/>
      <c r="K419" s="7"/>
      <c r="L419" s="65"/>
      <c r="M419" s="127"/>
      <c r="N419" s="7"/>
      <c r="O419" s="18"/>
      <c r="P419" s="72"/>
      <c r="Q419" s="70"/>
    </row>
    <row r="420" spans="1:17" ht="12.75">
      <c r="A420" s="26" t="s">
        <v>212</v>
      </c>
      <c r="B420" s="88">
        <v>1207</v>
      </c>
      <c r="C420" s="136">
        <v>5420</v>
      </c>
      <c r="D420" s="104">
        <f>250.66</f>
        <v>250.66</v>
      </c>
      <c r="E420" s="236"/>
      <c r="F420" s="274">
        <f t="shared" si="120"/>
        <v>5670.66</v>
      </c>
      <c r="G420" s="287">
        <f>2287.4</f>
        <v>2287.4</v>
      </c>
      <c r="H420" s="320"/>
      <c r="I420" s="256">
        <f t="shared" si="121"/>
        <v>7958.0599999999995</v>
      </c>
      <c r="J420" s="21"/>
      <c r="K420" s="7"/>
      <c r="L420" s="65"/>
      <c r="M420" s="127"/>
      <c r="N420" s="7"/>
      <c r="O420" s="18"/>
      <c r="P420" s="72"/>
      <c r="Q420" s="70"/>
    </row>
    <row r="421" spans="1:17" ht="12.75">
      <c r="A421" s="26" t="s">
        <v>244</v>
      </c>
      <c r="B421" s="88">
        <v>1209</v>
      </c>
      <c r="C421" s="136">
        <v>2860</v>
      </c>
      <c r="D421" s="104">
        <f>65.68</f>
        <v>65.68</v>
      </c>
      <c r="E421" s="236"/>
      <c r="F421" s="274">
        <f t="shared" si="120"/>
        <v>2925.68</v>
      </c>
      <c r="G421" s="287"/>
      <c r="H421" s="320"/>
      <c r="I421" s="256">
        <f t="shared" si="121"/>
        <v>2925.68</v>
      </c>
      <c r="J421" s="21"/>
      <c r="K421" s="7"/>
      <c r="L421" s="65"/>
      <c r="M421" s="127"/>
      <c r="N421" s="7"/>
      <c r="O421" s="18"/>
      <c r="P421" s="72"/>
      <c r="Q421" s="70"/>
    </row>
    <row r="422" spans="1:17" ht="12.75">
      <c r="A422" s="26" t="s">
        <v>213</v>
      </c>
      <c r="B422" s="88">
        <v>1211</v>
      </c>
      <c r="C422" s="136">
        <v>4779</v>
      </c>
      <c r="D422" s="115">
        <f>88.16</f>
        <v>88.16</v>
      </c>
      <c r="E422" s="245"/>
      <c r="F422" s="274">
        <f t="shared" si="120"/>
        <v>4867.16</v>
      </c>
      <c r="G422" s="287"/>
      <c r="H422" s="320"/>
      <c r="I422" s="256">
        <f t="shared" si="121"/>
        <v>4867.16</v>
      </c>
      <c r="J422" s="21"/>
      <c r="K422" s="7"/>
      <c r="L422" s="65"/>
      <c r="M422" s="127"/>
      <c r="N422" s="7"/>
      <c r="O422" s="18"/>
      <c r="P422" s="72"/>
      <c r="Q422" s="70"/>
    </row>
    <row r="423" spans="1:17" ht="12.75">
      <c r="A423" s="26" t="s">
        <v>276</v>
      </c>
      <c r="B423" s="88">
        <v>1214</v>
      </c>
      <c r="C423" s="136">
        <v>1409</v>
      </c>
      <c r="D423" s="115">
        <f>21+185</f>
        <v>206</v>
      </c>
      <c r="E423" s="236"/>
      <c r="F423" s="274">
        <f t="shared" si="120"/>
        <v>1615</v>
      </c>
      <c r="G423" s="287"/>
      <c r="H423" s="320"/>
      <c r="I423" s="256">
        <f t="shared" si="121"/>
        <v>1615</v>
      </c>
      <c r="J423" s="21"/>
      <c r="K423" s="7"/>
      <c r="L423" s="65"/>
      <c r="M423" s="127"/>
      <c r="N423" s="7"/>
      <c r="O423" s="18"/>
      <c r="P423" s="72"/>
      <c r="Q423" s="70"/>
    </row>
    <row r="424" spans="1:17" ht="12.75">
      <c r="A424" s="26" t="s">
        <v>277</v>
      </c>
      <c r="B424" s="88">
        <v>1213</v>
      </c>
      <c r="C424" s="136">
        <v>641</v>
      </c>
      <c r="D424" s="115">
        <f>500+38.27</f>
        <v>538.27</v>
      </c>
      <c r="E424" s="236"/>
      <c r="F424" s="274">
        <f t="shared" si="120"/>
        <v>1179.27</v>
      </c>
      <c r="G424" s="287"/>
      <c r="H424" s="320"/>
      <c r="I424" s="256">
        <f t="shared" si="121"/>
        <v>1179.27</v>
      </c>
      <c r="J424" s="21"/>
      <c r="K424" s="7"/>
      <c r="L424" s="65"/>
      <c r="M424" s="127"/>
      <c r="N424" s="7"/>
      <c r="O424" s="18"/>
      <c r="P424" s="72"/>
      <c r="Q424" s="70"/>
    </row>
    <row r="425" spans="1:17" ht="12.75">
      <c r="A425" s="26" t="s">
        <v>293</v>
      </c>
      <c r="B425" s="88">
        <v>1216</v>
      </c>
      <c r="C425" s="136">
        <v>11190</v>
      </c>
      <c r="D425" s="104">
        <f>822.07+1000</f>
        <v>1822.0700000000002</v>
      </c>
      <c r="E425" s="236"/>
      <c r="F425" s="274">
        <f t="shared" si="120"/>
        <v>13012.07</v>
      </c>
      <c r="G425" s="287">
        <f>2</f>
        <v>2</v>
      </c>
      <c r="H425" s="320"/>
      <c r="I425" s="256">
        <f t="shared" si="121"/>
        <v>13014.07</v>
      </c>
      <c r="J425" s="21"/>
      <c r="K425" s="7"/>
      <c r="L425" s="65"/>
      <c r="M425" s="127"/>
      <c r="N425" s="7"/>
      <c r="O425" s="18"/>
      <c r="P425" s="72"/>
      <c r="Q425" s="70"/>
    </row>
    <row r="426" spans="1:17" ht="12.75">
      <c r="A426" s="26" t="s">
        <v>214</v>
      </c>
      <c r="B426" s="88">
        <v>1239</v>
      </c>
      <c r="C426" s="136">
        <v>5269.7</v>
      </c>
      <c r="D426" s="104">
        <f>2709.79</f>
        <v>2709.79</v>
      </c>
      <c r="E426" s="236"/>
      <c r="F426" s="274">
        <f t="shared" si="120"/>
        <v>7979.49</v>
      </c>
      <c r="G426" s="287">
        <f>-4431.9+2.45</f>
        <v>-4429.45</v>
      </c>
      <c r="H426" s="320"/>
      <c r="I426" s="256">
        <f t="shared" si="121"/>
        <v>3550.04</v>
      </c>
      <c r="J426" s="21"/>
      <c r="K426" s="7"/>
      <c r="L426" s="65"/>
      <c r="M426" s="127"/>
      <c r="N426" s="7"/>
      <c r="O426" s="18"/>
      <c r="P426" s="72"/>
      <c r="Q426" s="70"/>
    </row>
    <row r="427" spans="1:17" ht="12.75">
      <c r="A427" s="26" t="s">
        <v>236</v>
      </c>
      <c r="B427" s="88">
        <v>1300</v>
      </c>
      <c r="C427" s="136">
        <v>14025.7</v>
      </c>
      <c r="D427" s="104">
        <f>3710.03+15034</f>
        <v>18744.03</v>
      </c>
      <c r="E427" s="236">
        <v>-250</v>
      </c>
      <c r="F427" s="274">
        <f t="shared" si="120"/>
        <v>32519.729999999996</v>
      </c>
      <c r="G427" s="296">
        <f>4984.4</f>
        <v>4984.4</v>
      </c>
      <c r="H427" s="320"/>
      <c r="I427" s="256">
        <f t="shared" si="121"/>
        <v>37504.13</v>
      </c>
      <c r="J427" s="21"/>
      <c r="K427" s="7"/>
      <c r="L427" s="65"/>
      <c r="M427" s="127"/>
      <c r="N427" s="7"/>
      <c r="O427" s="18"/>
      <c r="P427" s="72"/>
      <c r="Q427" s="70"/>
    </row>
    <row r="428" spans="1:17" ht="12.75">
      <c r="A428" s="26" t="s">
        <v>215</v>
      </c>
      <c r="B428" s="88">
        <v>1110</v>
      </c>
      <c r="C428" s="136">
        <v>14500</v>
      </c>
      <c r="D428" s="104"/>
      <c r="E428" s="236"/>
      <c r="F428" s="274">
        <f t="shared" si="120"/>
        <v>14500</v>
      </c>
      <c r="G428" s="287">
        <f>-873+6</f>
        <v>-867</v>
      </c>
      <c r="H428" s="320"/>
      <c r="I428" s="256">
        <f t="shared" si="121"/>
        <v>13633</v>
      </c>
      <c r="J428" s="21"/>
      <c r="K428" s="7"/>
      <c r="L428" s="65"/>
      <c r="M428" s="127"/>
      <c r="N428" s="7"/>
      <c r="O428" s="18"/>
      <c r="P428" s="72"/>
      <c r="Q428" s="70"/>
    </row>
    <row r="429" spans="1:17" ht="12.75">
      <c r="A429" s="26" t="s">
        <v>294</v>
      </c>
      <c r="B429" s="88"/>
      <c r="C429" s="136">
        <v>12</v>
      </c>
      <c r="D429" s="104">
        <f>84.97</f>
        <v>84.97</v>
      </c>
      <c r="E429" s="236"/>
      <c r="F429" s="274">
        <f t="shared" si="120"/>
        <v>96.97</v>
      </c>
      <c r="G429" s="287"/>
      <c r="H429" s="320"/>
      <c r="I429" s="256">
        <f t="shared" si="121"/>
        <v>96.97</v>
      </c>
      <c r="J429" s="21"/>
      <c r="K429" s="7"/>
      <c r="L429" s="65"/>
      <c r="M429" s="127"/>
      <c r="N429" s="7"/>
      <c r="O429" s="18"/>
      <c r="P429" s="72"/>
      <c r="Q429" s="70"/>
    </row>
    <row r="430" spans="1:17" ht="12.75">
      <c r="A430" s="32" t="s">
        <v>60</v>
      </c>
      <c r="B430" s="92"/>
      <c r="C430" s="163">
        <f>SUM(C432:C437)</f>
        <v>34825</v>
      </c>
      <c r="D430" s="111">
        <f aca="true" t="shared" si="122" ref="D430:Q430">SUM(D432:D437)</f>
        <v>56453.2</v>
      </c>
      <c r="E430" s="241">
        <f t="shared" si="122"/>
        <v>3350</v>
      </c>
      <c r="F430" s="277">
        <f t="shared" si="122"/>
        <v>94628.20000000001</v>
      </c>
      <c r="G430" s="291">
        <f t="shared" si="122"/>
        <v>31536.5</v>
      </c>
      <c r="H430" s="324">
        <f t="shared" si="122"/>
        <v>0</v>
      </c>
      <c r="I430" s="260">
        <f t="shared" si="122"/>
        <v>126164.7</v>
      </c>
      <c r="J430" s="163">
        <f t="shared" si="122"/>
        <v>0</v>
      </c>
      <c r="K430" s="111">
        <f t="shared" si="122"/>
        <v>0</v>
      </c>
      <c r="L430" s="183">
        <f t="shared" si="122"/>
        <v>0</v>
      </c>
      <c r="M430" s="154">
        <f t="shared" si="122"/>
        <v>0</v>
      </c>
      <c r="N430" s="110">
        <f t="shared" si="122"/>
        <v>0</v>
      </c>
      <c r="O430" s="110">
        <f t="shared" si="122"/>
        <v>0</v>
      </c>
      <c r="P430" s="110">
        <f t="shared" si="122"/>
        <v>0</v>
      </c>
      <c r="Q430" s="110">
        <f t="shared" si="122"/>
        <v>0</v>
      </c>
    </row>
    <row r="431" spans="1:17" ht="12.75">
      <c r="A431" s="28" t="s">
        <v>27</v>
      </c>
      <c r="B431" s="88"/>
      <c r="C431" s="136"/>
      <c r="D431" s="104"/>
      <c r="E431" s="236"/>
      <c r="F431" s="274"/>
      <c r="G431" s="287"/>
      <c r="H431" s="320"/>
      <c r="I431" s="256"/>
      <c r="J431" s="21"/>
      <c r="K431" s="7"/>
      <c r="L431" s="65"/>
      <c r="M431" s="127"/>
      <c r="N431" s="7"/>
      <c r="O431" s="18"/>
      <c r="P431" s="72"/>
      <c r="Q431" s="70"/>
    </row>
    <row r="432" spans="1:17" ht="12.75">
      <c r="A432" s="30" t="s">
        <v>227</v>
      </c>
      <c r="B432" s="88">
        <v>1239</v>
      </c>
      <c r="C432" s="136"/>
      <c r="D432" s="104">
        <f>1914+28000</f>
        <v>29914</v>
      </c>
      <c r="E432" s="236"/>
      <c r="F432" s="274">
        <f aca="true" t="shared" si="123" ref="F432:F437">C432+D432+E432</f>
        <v>29914</v>
      </c>
      <c r="G432" s="287">
        <f>4431.9+3000</f>
        <v>7431.9</v>
      </c>
      <c r="H432" s="320"/>
      <c r="I432" s="256">
        <f aca="true" t="shared" si="124" ref="I432:I437">F432+G432+H432</f>
        <v>37345.9</v>
      </c>
      <c r="J432" s="21"/>
      <c r="K432" s="7"/>
      <c r="L432" s="65"/>
      <c r="M432" s="127"/>
      <c r="N432" s="7"/>
      <c r="O432" s="18"/>
      <c r="P432" s="72"/>
      <c r="Q432" s="70"/>
    </row>
    <row r="433" spans="1:17" ht="12.75" hidden="1">
      <c r="A433" s="30" t="s">
        <v>123</v>
      </c>
      <c r="B433" s="88">
        <v>1214</v>
      </c>
      <c r="C433" s="136"/>
      <c r="D433" s="104"/>
      <c r="E433" s="236"/>
      <c r="F433" s="274">
        <f t="shared" si="123"/>
        <v>0</v>
      </c>
      <c r="G433" s="287"/>
      <c r="H433" s="320"/>
      <c r="I433" s="256">
        <f t="shared" si="124"/>
        <v>0</v>
      </c>
      <c r="J433" s="21"/>
      <c r="K433" s="7"/>
      <c r="L433" s="65"/>
      <c r="M433" s="127"/>
      <c r="N433" s="7"/>
      <c r="O433" s="18"/>
      <c r="P433" s="72"/>
      <c r="Q433" s="70"/>
    </row>
    <row r="434" spans="1:17" ht="12.75">
      <c r="A434" s="30" t="s">
        <v>295</v>
      </c>
      <c r="B434" s="88">
        <v>1209</v>
      </c>
      <c r="C434" s="136">
        <v>600</v>
      </c>
      <c r="D434" s="104"/>
      <c r="E434" s="236"/>
      <c r="F434" s="274">
        <f t="shared" si="123"/>
        <v>600</v>
      </c>
      <c r="G434" s="287"/>
      <c r="H434" s="320"/>
      <c r="I434" s="256">
        <f t="shared" si="124"/>
        <v>600</v>
      </c>
      <c r="J434" s="21"/>
      <c r="K434" s="7"/>
      <c r="L434" s="65"/>
      <c r="M434" s="127"/>
      <c r="N434" s="7"/>
      <c r="O434" s="18"/>
      <c r="P434" s="72"/>
      <c r="Q434" s="70"/>
    </row>
    <row r="435" spans="1:17" ht="12.75">
      <c r="A435" s="30" t="s">
        <v>178</v>
      </c>
      <c r="B435" s="88">
        <v>1202</v>
      </c>
      <c r="C435" s="136"/>
      <c r="D435" s="104">
        <f>205</f>
        <v>205</v>
      </c>
      <c r="E435" s="236"/>
      <c r="F435" s="274">
        <f t="shared" si="123"/>
        <v>205</v>
      </c>
      <c r="G435" s="287"/>
      <c r="H435" s="320"/>
      <c r="I435" s="256">
        <f t="shared" si="124"/>
        <v>205</v>
      </c>
      <c r="J435" s="21"/>
      <c r="K435" s="7"/>
      <c r="L435" s="65"/>
      <c r="M435" s="127"/>
      <c r="N435" s="7"/>
      <c r="O435" s="18"/>
      <c r="P435" s="72"/>
      <c r="Q435" s="70"/>
    </row>
    <row r="436" spans="1:17" ht="12.75">
      <c r="A436" s="30" t="s">
        <v>242</v>
      </c>
      <c r="B436" s="88">
        <v>1300</v>
      </c>
      <c r="C436" s="136">
        <v>4225</v>
      </c>
      <c r="D436" s="104">
        <f>1000+8748.4</f>
        <v>9748.4</v>
      </c>
      <c r="E436" s="236">
        <v>3350</v>
      </c>
      <c r="F436" s="274">
        <f t="shared" si="123"/>
        <v>17323.4</v>
      </c>
      <c r="G436" s="296">
        <f>1000+22231.6</f>
        <v>23231.6</v>
      </c>
      <c r="H436" s="320"/>
      <c r="I436" s="256">
        <f t="shared" si="124"/>
        <v>40555</v>
      </c>
      <c r="J436" s="21"/>
      <c r="K436" s="7"/>
      <c r="L436" s="65"/>
      <c r="M436" s="127"/>
      <c r="N436" s="7"/>
      <c r="O436" s="18"/>
      <c r="P436" s="72"/>
      <c r="Q436" s="70"/>
    </row>
    <row r="437" spans="1:17" ht="12.75">
      <c r="A437" s="37" t="s">
        <v>91</v>
      </c>
      <c r="B437" s="91">
        <v>1110</v>
      </c>
      <c r="C437" s="164">
        <v>30000</v>
      </c>
      <c r="D437" s="112">
        <f>16585.8</f>
        <v>16585.8</v>
      </c>
      <c r="E437" s="267"/>
      <c r="F437" s="279">
        <f t="shared" si="123"/>
        <v>46585.8</v>
      </c>
      <c r="G437" s="294">
        <f>873</f>
        <v>873</v>
      </c>
      <c r="H437" s="318"/>
      <c r="I437" s="262">
        <f t="shared" si="124"/>
        <v>47458.8</v>
      </c>
      <c r="J437" s="21"/>
      <c r="K437" s="7"/>
      <c r="L437" s="65"/>
      <c r="M437" s="127"/>
      <c r="N437" s="7"/>
      <c r="O437" s="18"/>
      <c r="P437" s="72"/>
      <c r="Q437" s="70"/>
    </row>
    <row r="438" spans="1:17" ht="12.75">
      <c r="A438" s="23" t="s">
        <v>156</v>
      </c>
      <c r="B438" s="92"/>
      <c r="C438" s="143">
        <f aca="true" t="shared" si="125" ref="C438:Q438">C439</f>
        <v>1</v>
      </c>
      <c r="D438" s="103">
        <f t="shared" si="125"/>
        <v>7280.35</v>
      </c>
      <c r="E438" s="233">
        <f t="shared" si="125"/>
        <v>0</v>
      </c>
      <c r="F438" s="254">
        <f t="shared" si="125"/>
        <v>7281.35</v>
      </c>
      <c r="G438" s="286">
        <f t="shared" si="125"/>
        <v>0</v>
      </c>
      <c r="H438" s="319">
        <f t="shared" si="125"/>
        <v>0</v>
      </c>
      <c r="I438" s="257">
        <f t="shared" si="125"/>
        <v>7281.35</v>
      </c>
      <c r="J438" s="143">
        <f t="shared" si="125"/>
        <v>0</v>
      </c>
      <c r="K438" s="103">
        <f t="shared" si="125"/>
        <v>0</v>
      </c>
      <c r="L438" s="158">
        <f t="shared" si="125"/>
        <v>7281.35</v>
      </c>
      <c r="M438" s="128">
        <f t="shared" si="125"/>
        <v>0</v>
      </c>
      <c r="N438" s="102">
        <f t="shared" si="125"/>
        <v>0</v>
      </c>
      <c r="O438" s="102">
        <f t="shared" si="125"/>
        <v>7281.35</v>
      </c>
      <c r="P438" s="102">
        <f t="shared" si="125"/>
        <v>0</v>
      </c>
      <c r="Q438" s="102">
        <f t="shared" si="125"/>
        <v>7281.35</v>
      </c>
    </row>
    <row r="439" spans="1:17" ht="12.75">
      <c r="A439" s="32" t="s">
        <v>55</v>
      </c>
      <c r="B439" s="92"/>
      <c r="C439" s="163">
        <f>C441</f>
        <v>1</v>
      </c>
      <c r="D439" s="111">
        <f aca="true" t="shared" si="126" ref="D439:Q439">D441</f>
        <v>7280.35</v>
      </c>
      <c r="E439" s="241">
        <f t="shared" si="126"/>
        <v>0</v>
      </c>
      <c r="F439" s="277">
        <f t="shared" si="126"/>
        <v>7281.35</v>
      </c>
      <c r="G439" s="291">
        <f t="shared" si="126"/>
        <v>0</v>
      </c>
      <c r="H439" s="324">
        <f t="shared" si="126"/>
        <v>0</v>
      </c>
      <c r="I439" s="260">
        <f t="shared" si="126"/>
        <v>7281.35</v>
      </c>
      <c r="J439" s="163">
        <f t="shared" si="126"/>
        <v>0</v>
      </c>
      <c r="K439" s="111">
        <f t="shared" si="126"/>
        <v>0</v>
      </c>
      <c r="L439" s="183">
        <f t="shared" si="126"/>
        <v>7281.35</v>
      </c>
      <c r="M439" s="154">
        <f t="shared" si="126"/>
        <v>0</v>
      </c>
      <c r="N439" s="110">
        <f t="shared" si="126"/>
        <v>0</v>
      </c>
      <c r="O439" s="110">
        <f t="shared" si="126"/>
        <v>7281.35</v>
      </c>
      <c r="P439" s="110">
        <f t="shared" si="126"/>
        <v>0</v>
      </c>
      <c r="Q439" s="110">
        <f t="shared" si="126"/>
        <v>7281.35</v>
      </c>
    </row>
    <row r="440" spans="1:17" ht="12.75">
      <c r="A440" s="28" t="s">
        <v>27</v>
      </c>
      <c r="B440" s="88"/>
      <c r="C440" s="136"/>
      <c r="D440" s="104"/>
      <c r="E440" s="236"/>
      <c r="F440" s="274"/>
      <c r="G440" s="287"/>
      <c r="H440" s="320"/>
      <c r="I440" s="256"/>
      <c r="J440" s="21"/>
      <c r="K440" s="7"/>
      <c r="L440" s="65"/>
      <c r="M440" s="127"/>
      <c r="N440" s="7"/>
      <c r="O440" s="18"/>
      <c r="P440" s="72"/>
      <c r="Q440" s="70"/>
    </row>
    <row r="441" spans="1:17" ht="12.75">
      <c r="A441" s="29" t="s">
        <v>57</v>
      </c>
      <c r="B441" s="91"/>
      <c r="C441" s="164">
        <v>1</v>
      </c>
      <c r="D441" s="112">
        <v>7280.35</v>
      </c>
      <c r="E441" s="267"/>
      <c r="F441" s="279">
        <f>C441+D441+E441</f>
        <v>7281.35</v>
      </c>
      <c r="G441" s="294"/>
      <c r="H441" s="318"/>
      <c r="I441" s="262">
        <f>F441+G441+H441</f>
        <v>7281.35</v>
      </c>
      <c r="J441" s="199"/>
      <c r="K441" s="10"/>
      <c r="L441" s="64">
        <f>I441+J441+K441</f>
        <v>7281.35</v>
      </c>
      <c r="M441" s="214"/>
      <c r="N441" s="10"/>
      <c r="O441" s="20">
        <f>L441+M441+N441</f>
        <v>7281.35</v>
      </c>
      <c r="P441" s="75"/>
      <c r="Q441" s="76">
        <f>O441+P441</f>
        <v>7281.35</v>
      </c>
    </row>
    <row r="442" spans="1:17" ht="12.75">
      <c r="A442" s="23" t="s">
        <v>113</v>
      </c>
      <c r="B442" s="92"/>
      <c r="C442" s="143">
        <f>C444+C445</f>
        <v>500010</v>
      </c>
      <c r="D442" s="103">
        <f aca="true" t="shared" si="127" ref="D442:Q442">D444+D445</f>
        <v>417149.95</v>
      </c>
      <c r="E442" s="233">
        <f t="shared" si="127"/>
        <v>78219.54</v>
      </c>
      <c r="F442" s="254">
        <f t="shared" si="127"/>
        <v>995379.49</v>
      </c>
      <c r="G442" s="286">
        <f t="shared" si="127"/>
        <v>1241.0799999999995</v>
      </c>
      <c r="H442" s="319">
        <f t="shared" si="127"/>
        <v>25500</v>
      </c>
      <c r="I442" s="257">
        <f t="shared" si="127"/>
        <v>1022120.5700000001</v>
      </c>
      <c r="J442" s="143">
        <f t="shared" si="127"/>
        <v>0</v>
      </c>
      <c r="K442" s="103">
        <f t="shared" si="127"/>
        <v>0</v>
      </c>
      <c r="L442" s="158">
        <f t="shared" si="127"/>
        <v>1016901.31</v>
      </c>
      <c r="M442" s="128">
        <f t="shared" si="127"/>
        <v>0</v>
      </c>
      <c r="N442" s="102">
        <f t="shared" si="127"/>
        <v>0</v>
      </c>
      <c r="O442" s="102">
        <f t="shared" si="127"/>
        <v>1016901.31</v>
      </c>
      <c r="P442" s="102">
        <f t="shared" si="127"/>
        <v>0</v>
      </c>
      <c r="Q442" s="102">
        <f t="shared" si="127"/>
        <v>1016901.31</v>
      </c>
    </row>
    <row r="443" spans="1:17" ht="12.75">
      <c r="A443" s="25" t="s">
        <v>27</v>
      </c>
      <c r="B443" s="88"/>
      <c r="C443" s="143"/>
      <c r="D443" s="103"/>
      <c r="E443" s="233"/>
      <c r="F443" s="254"/>
      <c r="G443" s="286"/>
      <c r="H443" s="319"/>
      <c r="I443" s="257"/>
      <c r="J443" s="143"/>
      <c r="K443" s="103"/>
      <c r="L443" s="158"/>
      <c r="M443" s="128"/>
      <c r="N443" s="102"/>
      <c r="O443" s="102"/>
      <c r="P443" s="102"/>
      <c r="Q443" s="102"/>
    </row>
    <row r="444" spans="1:17" ht="12.75">
      <c r="A444" s="23" t="s">
        <v>55</v>
      </c>
      <c r="B444" s="92"/>
      <c r="C444" s="130">
        <f>C459+C461+C473+C475+C480+C485+C476+C466+C487+C468+C491</f>
        <v>193060</v>
      </c>
      <c r="D444" s="107">
        <f aca="true" t="shared" si="128" ref="D444:Q444">D459+D461+D473+D475+D480+D485+D476+D466+D487+D468+D491</f>
        <v>6865.51</v>
      </c>
      <c r="E444" s="238">
        <f t="shared" si="128"/>
        <v>1160</v>
      </c>
      <c r="F444" s="275">
        <f t="shared" si="128"/>
        <v>201085.51</v>
      </c>
      <c r="G444" s="289">
        <f t="shared" si="128"/>
        <v>3615</v>
      </c>
      <c r="H444" s="322">
        <f t="shared" si="128"/>
        <v>0</v>
      </c>
      <c r="I444" s="258">
        <f t="shared" si="128"/>
        <v>204700.51</v>
      </c>
      <c r="J444" s="130">
        <f t="shared" si="128"/>
        <v>0</v>
      </c>
      <c r="K444" s="107">
        <f t="shared" si="128"/>
        <v>0</v>
      </c>
      <c r="L444" s="181">
        <f t="shared" si="128"/>
        <v>199890.51</v>
      </c>
      <c r="M444" s="152">
        <f t="shared" si="128"/>
        <v>0</v>
      </c>
      <c r="N444" s="106">
        <f t="shared" si="128"/>
        <v>0</v>
      </c>
      <c r="O444" s="106">
        <f t="shared" si="128"/>
        <v>199890.51</v>
      </c>
      <c r="P444" s="106">
        <f t="shared" si="128"/>
        <v>0</v>
      </c>
      <c r="Q444" s="106">
        <f t="shared" si="128"/>
        <v>199890.51</v>
      </c>
    </row>
    <row r="445" spans="1:17" ht="12.75">
      <c r="A445" s="23" t="s">
        <v>60</v>
      </c>
      <c r="B445" s="92"/>
      <c r="C445" s="130">
        <f>C448+C449+C451+C452+C454+C456+C457+C458+C462+C463+C465+C467+C469+C471+C472+C474+C477+C479+C481+C482+C484+C486+C488+C490</f>
        <v>306950</v>
      </c>
      <c r="D445" s="107">
        <f aca="true" t="shared" si="129" ref="D445:Q445">D448+D449+D451+D452+D454+D456+D457+D458+D462+D463+D465+D467+D469+D471+D472+D474+D477+D479+D481+D482+D484+D486+D488+D490</f>
        <v>410284.44</v>
      </c>
      <c r="E445" s="238">
        <f t="shared" si="129"/>
        <v>77059.54</v>
      </c>
      <c r="F445" s="275">
        <f t="shared" si="129"/>
        <v>794293.98</v>
      </c>
      <c r="G445" s="289">
        <f t="shared" si="129"/>
        <v>-2373.9200000000005</v>
      </c>
      <c r="H445" s="322">
        <f t="shared" si="129"/>
        <v>25500</v>
      </c>
      <c r="I445" s="258">
        <f t="shared" si="129"/>
        <v>817420.06</v>
      </c>
      <c r="J445" s="130">
        <f t="shared" si="129"/>
        <v>0</v>
      </c>
      <c r="K445" s="107">
        <f t="shared" si="129"/>
        <v>0</v>
      </c>
      <c r="L445" s="181">
        <f t="shared" si="129"/>
        <v>817010.8</v>
      </c>
      <c r="M445" s="152">
        <f t="shared" si="129"/>
        <v>0</v>
      </c>
      <c r="N445" s="106">
        <f t="shared" si="129"/>
        <v>0</v>
      </c>
      <c r="O445" s="106">
        <f t="shared" si="129"/>
        <v>817010.8</v>
      </c>
      <c r="P445" s="106">
        <f t="shared" si="129"/>
        <v>0</v>
      </c>
      <c r="Q445" s="106">
        <f t="shared" si="129"/>
        <v>817010.8</v>
      </c>
    </row>
    <row r="446" spans="1:17" ht="12.75">
      <c r="A446" s="24" t="s">
        <v>114</v>
      </c>
      <c r="B446" s="88"/>
      <c r="C446" s="143"/>
      <c r="D446" s="103"/>
      <c r="E446" s="233"/>
      <c r="F446" s="254"/>
      <c r="G446" s="286"/>
      <c r="H446" s="319"/>
      <c r="I446" s="257"/>
      <c r="J446" s="196"/>
      <c r="K446" s="6"/>
      <c r="L446" s="61"/>
      <c r="M446" s="211"/>
      <c r="N446" s="6"/>
      <c r="O446" s="17"/>
      <c r="P446" s="72"/>
      <c r="Q446" s="70"/>
    </row>
    <row r="447" spans="1:17" ht="12.75" hidden="1">
      <c r="A447" s="25" t="s">
        <v>115</v>
      </c>
      <c r="B447" s="88">
        <v>18</v>
      </c>
      <c r="C447" s="136">
        <f>C448+C449</f>
        <v>0</v>
      </c>
      <c r="D447" s="104">
        <f aca="true" t="shared" si="130" ref="D447:Q447">D448+D449</f>
        <v>0</v>
      </c>
      <c r="E447" s="236">
        <f t="shared" si="130"/>
        <v>0</v>
      </c>
      <c r="F447" s="274">
        <f t="shared" si="130"/>
        <v>0</v>
      </c>
      <c r="G447" s="287">
        <f t="shared" si="130"/>
        <v>0</v>
      </c>
      <c r="H447" s="320">
        <f t="shared" si="130"/>
        <v>0</v>
      </c>
      <c r="I447" s="256">
        <f t="shared" si="130"/>
        <v>0</v>
      </c>
      <c r="J447" s="136">
        <f t="shared" si="130"/>
        <v>0</v>
      </c>
      <c r="K447" s="104">
        <f t="shared" si="130"/>
        <v>0</v>
      </c>
      <c r="L447" s="180">
        <f t="shared" si="130"/>
        <v>0</v>
      </c>
      <c r="M447" s="151">
        <f t="shared" si="130"/>
        <v>0</v>
      </c>
      <c r="N447" s="105">
        <f t="shared" si="130"/>
        <v>0</v>
      </c>
      <c r="O447" s="105">
        <f t="shared" si="130"/>
        <v>0</v>
      </c>
      <c r="P447" s="105">
        <f t="shared" si="130"/>
        <v>0</v>
      </c>
      <c r="Q447" s="105">
        <f t="shared" si="130"/>
        <v>0</v>
      </c>
    </row>
    <row r="448" spans="1:17" ht="12.75" hidden="1">
      <c r="A448" s="25" t="s">
        <v>116</v>
      </c>
      <c r="B448" s="88"/>
      <c r="C448" s="136"/>
      <c r="D448" s="104">
        <f>1000-1000</f>
        <v>0</v>
      </c>
      <c r="E448" s="236"/>
      <c r="F448" s="274">
        <f aca="true" t="shared" si="131" ref="F448:F494">C448+D448+E448</f>
        <v>0</v>
      </c>
      <c r="G448" s="287"/>
      <c r="H448" s="319"/>
      <c r="I448" s="256">
        <f>F448+G448+H448</f>
        <v>0</v>
      </c>
      <c r="J448" s="21"/>
      <c r="K448" s="6"/>
      <c r="L448" s="65">
        <f>I448+J448+K448</f>
        <v>0</v>
      </c>
      <c r="M448" s="127"/>
      <c r="N448" s="6"/>
      <c r="O448" s="18">
        <f>L448+M448+N448</f>
        <v>0</v>
      </c>
      <c r="P448" s="72"/>
      <c r="Q448" s="70">
        <f>O448+P448</f>
        <v>0</v>
      </c>
    </row>
    <row r="449" spans="1:17" ht="12.75" hidden="1">
      <c r="A449" s="25" t="s">
        <v>117</v>
      </c>
      <c r="B449" s="88"/>
      <c r="C449" s="136"/>
      <c r="D449" s="104"/>
      <c r="E449" s="236"/>
      <c r="F449" s="274">
        <f t="shared" si="131"/>
        <v>0</v>
      </c>
      <c r="G449" s="287"/>
      <c r="H449" s="319"/>
      <c r="I449" s="256">
        <f>F449+G449+H449</f>
        <v>0</v>
      </c>
      <c r="J449" s="21"/>
      <c r="K449" s="6"/>
      <c r="L449" s="65">
        <f>I449+J449+K449</f>
        <v>0</v>
      </c>
      <c r="M449" s="127"/>
      <c r="N449" s="6"/>
      <c r="O449" s="18">
        <f>L449+M449+N449</f>
        <v>0</v>
      </c>
      <c r="P449" s="72"/>
      <c r="Q449" s="70">
        <f>O449+P449</f>
        <v>0</v>
      </c>
    </row>
    <row r="450" spans="1:17" ht="12.75">
      <c r="A450" s="89" t="s">
        <v>297</v>
      </c>
      <c r="B450" s="88">
        <v>19</v>
      </c>
      <c r="C450" s="136">
        <f>C451+C452</f>
        <v>22500</v>
      </c>
      <c r="D450" s="104">
        <f aca="true" t="shared" si="132" ref="D450:Q450">D451+D452</f>
        <v>13458.31</v>
      </c>
      <c r="E450" s="236">
        <f t="shared" si="132"/>
        <v>0</v>
      </c>
      <c r="F450" s="274">
        <f t="shared" si="132"/>
        <v>35958.31</v>
      </c>
      <c r="G450" s="287">
        <f t="shared" si="132"/>
        <v>0</v>
      </c>
      <c r="H450" s="320">
        <f t="shared" si="132"/>
        <v>0</v>
      </c>
      <c r="I450" s="256">
        <f t="shared" si="132"/>
        <v>35958.31</v>
      </c>
      <c r="J450" s="136">
        <f t="shared" si="132"/>
        <v>0</v>
      </c>
      <c r="K450" s="104">
        <f t="shared" si="132"/>
        <v>0</v>
      </c>
      <c r="L450" s="180">
        <f t="shared" si="132"/>
        <v>35958.31</v>
      </c>
      <c r="M450" s="151">
        <f t="shared" si="132"/>
        <v>0</v>
      </c>
      <c r="N450" s="105">
        <f t="shared" si="132"/>
        <v>0</v>
      </c>
      <c r="O450" s="105">
        <f t="shared" si="132"/>
        <v>35958.31</v>
      </c>
      <c r="P450" s="105">
        <f t="shared" si="132"/>
        <v>0</v>
      </c>
      <c r="Q450" s="105">
        <f t="shared" si="132"/>
        <v>35958.31</v>
      </c>
    </row>
    <row r="451" spans="1:17" ht="12.75">
      <c r="A451" s="25" t="s">
        <v>116</v>
      </c>
      <c r="B451" s="88"/>
      <c r="C451" s="136">
        <v>22500</v>
      </c>
      <c r="D451" s="104">
        <f>6018+2750+90+1000+3300</f>
        <v>13158</v>
      </c>
      <c r="E451" s="236"/>
      <c r="F451" s="274">
        <f t="shared" si="131"/>
        <v>35658</v>
      </c>
      <c r="G451" s="287"/>
      <c r="H451" s="319"/>
      <c r="I451" s="256">
        <f>F451+G451+H451</f>
        <v>35658</v>
      </c>
      <c r="J451" s="21"/>
      <c r="K451" s="6"/>
      <c r="L451" s="65">
        <f>I451+J451+K451</f>
        <v>35658</v>
      </c>
      <c r="M451" s="127"/>
      <c r="N451" s="6"/>
      <c r="O451" s="18">
        <f>L451+M451+N451</f>
        <v>35658</v>
      </c>
      <c r="P451" s="72"/>
      <c r="Q451" s="70">
        <f>O451+P451</f>
        <v>35658</v>
      </c>
    </row>
    <row r="452" spans="1:17" ht="12.75">
      <c r="A452" s="25" t="s">
        <v>117</v>
      </c>
      <c r="B452" s="88"/>
      <c r="C452" s="136"/>
      <c r="D452" s="104">
        <f>390.31-90</f>
        <v>300.31</v>
      </c>
      <c r="E452" s="236"/>
      <c r="F452" s="274">
        <f t="shared" si="131"/>
        <v>300.31</v>
      </c>
      <c r="G452" s="287"/>
      <c r="H452" s="319"/>
      <c r="I452" s="256">
        <f>F452+G452+H452</f>
        <v>300.31</v>
      </c>
      <c r="J452" s="21"/>
      <c r="K452" s="6"/>
      <c r="L452" s="65">
        <f>I452+J452+K452</f>
        <v>300.31</v>
      </c>
      <c r="M452" s="127"/>
      <c r="N452" s="6"/>
      <c r="O452" s="18">
        <f>L452+M452+N452</f>
        <v>300.31</v>
      </c>
      <c r="P452" s="72"/>
      <c r="Q452" s="70">
        <f>O452+P452</f>
        <v>300.31</v>
      </c>
    </row>
    <row r="453" spans="1:17" ht="12.75" hidden="1">
      <c r="A453" s="26" t="s">
        <v>178</v>
      </c>
      <c r="B453" s="88">
        <v>2</v>
      </c>
      <c r="C453" s="136">
        <f>C454</f>
        <v>0</v>
      </c>
      <c r="D453" s="104">
        <f aca="true" t="shared" si="133" ref="D453:O453">D454</f>
        <v>0</v>
      </c>
      <c r="E453" s="236">
        <f t="shared" si="133"/>
        <v>0</v>
      </c>
      <c r="F453" s="274">
        <f t="shared" si="133"/>
        <v>0</v>
      </c>
      <c r="G453" s="287">
        <f t="shared" si="133"/>
        <v>0</v>
      </c>
      <c r="H453" s="320">
        <f t="shared" si="133"/>
        <v>0</v>
      </c>
      <c r="I453" s="256">
        <f t="shared" si="133"/>
        <v>0</v>
      </c>
      <c r="J453" s="136">
        <f t="shared" si="133"/>
        <v>0</v>
      </c>
      <c r="K453" s="104">
        <f t="shared" si="133"/>
        <v>0</v>
      </c>
      <c r="L453" s="180">
        <f t="shared" si="133"/>
        <v>0</v>
      </c>
      <c r="M453" s="151">
        <f t="shared" si="133"/>
        <v>0</v>
      </c>
      <c r="N453" s="105">
        <f t="shared" si="133"/>
        <v>0</v>
      </c>
      <c r="O453" s="105">
        <f t="shared" si="133"/>
        <v>0</v>
      </c>
      <c r="P453" s="72"/>
      <c r="Q453" s="70"/>
    </row>
    <row r="454" spans="1:17" ht="12.75" hidden="1">
      <c r="A454" s="26" t="s">
        <v>179</v>
      </c>
      <c r="B454" s="88"/>
      <c r="C454" s="136"/>
      <c r="D454" s="104"/>
      <c r="E454" s="236"/>
      <c r="F454" s="274">
        <f t="shared" si="131"/>
        <v>0</v>
      </c>
      <c r="G454" s="287"/>
      <c r="H454" s="319"/>
      <c r="I454" s="256"/>
      <c r="J454" s="21"/>
      <c r="K454" s="6"/>
      <c r="L454" s="65"/>
      <c r="M454" s="127"/>
      <c r="N454" s="6"/>
      <c r="O454" s="18"/>
      <c r="P454" s="72"/>
      <c r="Q454" s="70"/>
    </row>
    <row r="455" spans="1:17" ht="12.75">
      <c r="A455" s="25" t="s">
        <v>118</v>
      </c>
      <c r="B455" s="88">
        <v>10</v>
      </c>
      <c r="C455" s="136">
        <f>SUM(C456:C459)</f>
        <v>150000</v>
      </c>
      <c r="D455" s="104">
        <f aca="true" t="shared" si="134" ref="D455:Q455">SUM(D456:D459)</f>
        <v>17657.870000000006</v>
      </c>
      <c r="E455" s="236">
        <f t="shared" si="134"/>
        <v>78219.54</v>
      </c>
      <c r="F455" s="274">
        <f t="shared" si="134"/>
        <v>245877.41</v>
      </c>
      <c r="G455" s="287">
        <f t="shared" si="134"/>
        <v>0</v>
      </c>
      <c r="H455" s="320">
        <f t="shared" si="134"/>
        <v>25500</v>
      </c>
      <c r="I455" s="256">
        <f t="shared" si="134"/>
        <v>271377.41</v>
      </c>
      <c r="J455" s="136">
        <f t="shared" si="134"/>
        <v>0</v>
      </c>
      <c r="K455" s="104">
        <f t="shared" si="134"/>
        <v>0</v>
      </c>
      <c r="L455" s="180">
        <f t="shared" si="134"/>
        <v>271377.41</v>
      </c>
      <c r="M455" s="151">
        <f t="shared" si="134"/>
        <v>0</v>
      </c>
      <c r="N455" s="105">
        <f t="shared" si="134"/>
        <v>0</v>
      </c>
      <c r="O455" s="105">
        <f t="shared" si="134"/>
        <v>271377.41</v>
      </c>
      <c r="P455" s="105">
        <f t="shared" si="134"/>
        <v>0</v>
      </c>
      <c r="Q455" s="105">
        <f t="shared" si="134"/>
        <v>271377.41</v>
      </c>
    </row>
    <row r="456" spans="1:17" ht="12.75">
      <c r="A456" s="25" t="s">
        <v>119</v>
      </c>
      <c r="B456" s="88"/>
      <c r="C456" s="136"/>
      <c r="D456" s="104"/>
      <c r="E456" s="236"/>
      <c r="F456" s="274">
        <f t="shared" si="131"/>
        <v>0</v>
      </c>
      <c r="G456" s="287"/>
      <c r="H456" s="320"/>
      <c r="I456" s="256">
        <f>F456+G456+H456</f>
        <v>0</v>
      </c>
      <c r="J456" s="21"/>
      <c r="K456" s="7"/>
      <c r="L456" s="65">
        <f>I456+J456+K456</f>
        <v>0</v>
      </c>
      <c r="M456" s="127"/>
      <c r="N456" s="7"/>
      <c r="O456" s="18">
        <f>L456+M456+N456</f>
        <v>0</v>
      </c>
      <c r="P456" s="72"/>
      <c r="Q456" s="70">
        <f>O456+P456</f>
        <v>0</v>
      </c>
    </row>
    <row r="457" spans="1:17" ht="12.75">
      <c r="A457" s="25" t="s">
        <v>120</v>
      </c>
      <c r="B457" s="88"/>
      <c r="C457" s="136"/>
      <c r="D457" s="115">
        <f>39934.19</f>
        <v>39934.19</v>
      </c>
      <c r="E457" s="245">
        <v>78219.54</v>
      </c>
      <c r="F457" s="274">
        <f t="shared" si="131"/>
        <v>118153.73</v>
      </c>
      <c r="G457" s="287"/>
      <c r="H457" s="320">
        <f>25500</f>
        <v>25500</v>
      </c>
      <c r="I457" s="256">
        <f>F457+G457+H457</f>
        <v>143653.72999999998</v>
      </c>
      <c r="J457" s="21"/>
      <c r="K457" s="7"/>
      <c r="L457" s="65">
        <f>I457+J457+K457</f>
        <v>143653.72999999998</v>
      </c>
      <c r="M457" s="127"/>
      <c r="N457" s="7"/>
      <c r="O457" s="18">
        <f>L457+M457+N457</f>
        <v>143653.72999999998</v>
      </c>
      <c r="P457" s="72"/>
      <c r="Q457" s="70">
        <f>O457+P457</f>
        <v>143653.72999999998</v>
      </c>
    </row>
    <row r="458" spans="1:17" ht="12.75">
      <c r="A458" s="25" t="s">
        <v>117</v>
      </c>
      <c r="B458" s="88"/>
      <c r="C458" s="136"/>
      <c r="D458" s="104">
        <f>1000+164.8</f>
        <v>1164.8</v>
      </c>
      <c r="E458" s="236"/>
      <c r="F458" s="274">
        <f t="shared" si="131"/>
        <v>1164.8</v>
      </c>
      <c r="G458" s="287"/>
      <c r="H458" s="320"/>
      <c r="I458" s="256">
        <f>F458+G458+H458</f>
        <v>1164.8</v>
      </c>
      <c r="J458" s="21"/>
      <c r="K458" s="7"/>
      <c r="L458" s="65">
        <f>I458+J458+K458</f>
        <v>1164.8</v>
      </c>
      <c r="M458" s="127"/>
      <c r="N458" s="7"/>
      <c r="O458" s="18">
        <f>L458+M458+N458</f>
        <v>1164.8</v>
      </c>
      <c r="P458" s="72"/>
      <c r="Q458" s="70">
        <f>O458+P458</f>
        <v>1164.8</v>
      </c>
    </row>
    <row r="459" spans="1:17" ht="12.75">
      <c r="A459" s="26" t="s">
        <v>146</v>
      </c>
      <c r="B459" s="88"/>
      <c r="C459" s="136">
        <v>150000</v>
      </c>
      <c r="D459" s="132">
        <f>-23441.12</f>
        <v>-23441.12</v>
      </c>
      <c r="E459" s="236"/>
      <c r="F459" s="274">
        <f t="shared" si="131"/>
        <v>126558.88</v>
      </c>
      <c r="G459" s="287"/>
      <c r="H459" s="320"/>
      <c r="I459" s="256">
        <f>F459+G459+H459</f>
        <v>126558.88</v>
      </c>
      <c r="J459" s="21"/>
      <c r="K459" s="7"/>
      <c r="L459" s="65">
        <f>I459+J459+K459</f>
        <v>126558.88</v>
      </c>
      <c r="M459" s="127"/>
      <c r="N459" s="7"/>
      <c r="O459" s="18">
        <f>L459+M459+N459</f>
        <v>126558.88</v>
      </c>
      <c r="P459" s="72"/>
      <c r="Q459" s="70">
        <f>O459+P459</f>
        <v>126558.88</v>
      </c>
    </row>
    <row r="460" spans="1:17" ht="12.75">
      <c r="A460" s="25" t="s">
        <v>121</v>
      </c>
      <c r="B460" s="88">
        <v>12</v>
      </c>
      <c r="C460" s="136">
        <f aca="true" t="shared" si="135" ref="C460:Q460">C461+C462+C463</f>
        <v>32500</v>
      </c>
      <c r="D460" s="104">
        <f t="shared" si="135"/>
        <v>53799.600000000006</v>
      </c>
      <c r="E460" s="236">
        <f t="shared" si="135"/>
        <v>0</v>
      </c>
      <c r="F460" s="274">
        <f t="shared" si="135"/>
        <v>86299.6</v>
      </c>
      <c r="G460" s="287">
        <f t="shared" si="135"/>
        <v>-2800</v>
      </c>
      <c r="H460" s="320">
        <f t="shared" si="135"/>
        <v>0</v>
      </c>
      <c r="I460" s="256">
        <f t="shared" si="135"/>
        <v>83499.6</v>
      </c>
      <c r="J460" s="136">
        <f t="shared" si="135"/>
        <v>0</v>
      </c>
      <c r="K460" s="104">
        <f t="shared" si="135"/>
        <v>0</v>
      </c>
      <c r="L460" s="180">
        <f t="shared" si="135"/>
        <v>83499.6</v>
      </c>
      <c r="M460" s="151">
        <f t="shared" si="135"/>
        <v>0</v>
      </c>
      <c r="N460" s="105">
        <f t="shared" si="135"/>
        <v>0</v>
      </c>
      <c r="O460" s="105">
        <f t="shared" si="135"/>
        <v>83499.6</v>
      </c>
      <c r="P460" s="105">
        <f t="shared" si="135"/>
        <v>0</v>
      </c>
      <c r="Q460" s="105">
        <f t="shared" si="135"/>
        <v>83499.6</v>
      </c>
    </row>
    <row r="461" spans="1:17" ht="12.75">
      <c r="A461" s="25" t="s">
        <v>122</v>
      </c>
      <c r="B461" s="88"/>
      <c r="C461" s="136">
        <v>1500</v>
      </c>
      <c r="D461" s="104">
        <f>2132.41-600</f>
        <v>1532.4099999999999</v>
      </c>
      <c r="E461" s="236"/>
      <c r="F461" s="274">
        <f t="shared" si="131"/>
        <v>3032.41</v>
      </c>
      <c r="G461" s="287">
        <f>-300</f>
        <v>-300</v>
      </c>
      <c r="H461" s="320"/>
      <c r="I461" s="256">
        <f>F461+G461+H461</f>
        <v>2732.41</v>
      </c>
      <c r="J461" s="21"/>
      <c r="K461" s="7"/>
      <c r="L461" s="65">
        <f>I461+J461+K461</f>
        <v>2732.41</v>
      </c>
      <c r="M461" s="127"/>
      <c r="N461" s="7"/>
      <c r="O461" s="18">
        <f>L461+M461+N461</f>
        <v>2732.41</v>
      </c>
      <c r="P461" s="72"/>
      <c r="Q461" s="70">
        <f>O461+P461</f>
        <v>2732.41</v>
      </c>
    </row>
    <row r="462" spans="1:17" ht="12.75">
      <c r="A462" s="25" t="s">
        <v>120</v>
      </c>
      <c r="B462" s="88"/>
      <c r="C462" s="136">
        <v>31000</v>
      </c>
      <c r="D462" s="104">
        <f>20000+31167.19+1100</f>
        <v>52267.19</v>
      </c>
      <c r="E462" s="236"/>
      <c r="F462" s="274">
        <f t="shared" si="131"/>
        <v>83267.19</v>
      </c>
      <c r="G462" s="287">
        <f>-2500</f>
        <v>-2500</v>
      </c>
      <c r="H462" s="320"/>
      <c r="I462" s="256">
        <f>F462+G462+H462</f>
        <v>80767.19</v>
      </c>
      <c r="J462" s="21"/>
      <c r="K462" s="7"/>
      <c r="L462" s="65">
        <f>I462+J462+K462</f>
        <v>80767.19</v>
      </c>
      <c r="M462" s="127"/>
      <c r="N462" s="7"/>
      <c r="O462" s="18">
        <f>L462+M462+N462</f>
        <v>80767.19</v>
      </c>
      <c r="P462" s="72"/>
      <c r="Q462" s="70">
        <f>O462+P462</f>
        <v>80767.19</v>
      </c>
    </row>
    <row r="463" spans="1:17" ht="12.75" customHeight="1" hidden="1">
      <c r="A463" s="25" t="s">
        <v>117</v>
      </c>
      <c r="B463" s="88"/>
      <c r="C463" s="136"/>
      <c r="D463" s="104"/>
      <c r="E463" s="236"/>
      <c r="F463" s="274">
        <f t="shared" si="131"/>
        <v>0</v>
      </c>
      <c r="G463" s="287"/>
      <c r="H463" s="320"/>
      <c r="I463" s="256">
        <f>F463+G463+H463</f>
        <v>0</v>
      </c>
      <c r="J463" s="21"/>
      <c r="K463" s="7"/>
      <c r="L463" s="65">
        <f>I463+J463+K463</f>
        <v>0</v>
      </c>
      <c r="M463" s="127"/>
      <c r="N463" s="7"/>
      <c r="O463" s="18">
        <f>L463+M463+N463</f>
        <v>0</v>
      </c>
      <c r="P463" s="72"/>
      <c r="Q463" s="70">
        <f>O463+P463</f>
        <v>0</v>
      </c>
    </row>
    <row r="464" spans="1:17" ht="12.75">
      <c r="A464" s="25" t="s">
        <v>123</v>
      </c>
      <c r="B464" s="88">
        <v>14</v>
      </c>
      <c r="C464" s="136">
        <f>SUM(C465:C469)</f>
        <v>92000</v>
      </c>
      <c r="D464" s="104">
        <f aca="true" t="shared" si="136" ref="D464:Q464">SUM(D465:D469)</f>
        <v>35526.1</v>
      </c>
      <c r="E464" s="236">
        <f t="shared" si="136"/>
        <v>0</v>
      </c>
      <c r="F464" s="274">
        <f t="shared" si="136"/>
        <v>127526.1</v>
      </c>
      <c r="G464" s="287">
        <f t="shared" si="136"/>
        <v>4609.39</v>
      </c>
      <c r="H464" s="320">
        <f t="shared" si="136"/>
        <v>0</v>
      </c>
      <c r="I464" s="256">
        <f t="shared" si="136"/>
        <v>132135.49</v>
      </c>
      <c r="J464" s="136">
        <f t="shared" si="136"/>
        <v>0</v>
      </c>
      <c r="K464" s="104">
        <f t="shared" si="136"/>
        <v>0</v>
      </c>
      <c r="L464" s="180">
        <f t="shared" si="136"/>
        <v>132135.49</v>
      </c>
      <c r="M464" s="151">
        <f t="shared" si="136"/>
        <v>0</v>
      </c>
      <c r="N464" s="105">
        <f t="shared" si="136"/>
        <v>0</v>
      </c>
      <c r="O464" s="105">
        <f t="shared" si="136"/>
        <v>132135.49</v>
      </c>
      <c r="P464" s="105">
        <f t="shared" si="136"/>
        <v>0</v>
      </c>
      <c r="Q464" s="105">
        <f t="shared" si="136"/>
        <v>132135.49</v>
      </c>
    </row>
    <row r="465" spans="1:17" ht="12.75">
      <c r="A465" s="25" t="s">
        <v>124</v>
      </c>
      <c r="B465" s="88"/>
      <c r="C465" s="136">
        <v>57300</v>
      </c>
      <c r="D465" s="115">
        <f>18532+4700</f>
        <v>23232</v>
      </c>
      <c r="E465" s="245"/>
      <c r="F465" s="274">
        <f t="shared" si="131"/>
        <v>80532</v>
      </c>
      <c r="G465" s="287">
        <f>1569.39+2397</f>
        <v>3966.3900000000003</v>
      </c>
      <c r="H465" s="320"/>
      <c r="I465" s="256">
        <f>F465+G465+H465</f>
        <v>84498.39</v>
      </c>
      <c r="J465" s="21"/>
      <c r="K465" s="7"/>
      <c r="L465" s="65">
        <f>I465+J465+K465</f>
        <v>84498.39</v>
      </c>
      <c r="M465" s="127"/>
      <c r="N465" s="7"/>
      <c r="O465" s="18">
        <f>L465+M465+N465</f>
        <v>84498.39</v>
      </c>
      <c r="P465" s="72"/>
      <c r="Q465" s="70">
        <f aca="true" t="shared" si="137" ref="Q465:Q505">O465+P465</f>
        <v>84498.39</v>
      </c>
    </row>
    <row r="466" spans="1:17" ht="12.75">
      <c r="A466" s="25" t="s">
        <v>125</v>
      </c>
      <c r="B466" s="88"/>
      <c r="C466" s="136">
        <v>27050</v>
      </c>
      <c r="D466" s="104">
        <f>4191+650+55.1</f>
        <v>4896.1</v>
      </c>
      <c r="E466" s="236"/>
      <c r="F466" s="274">
        <f t="shared" si="131"/>
        <v>31946.1</v>
      </c>
      <c r="G466" s="287">
        <f>1840+603</f>
        <v>2443</v>
      </c>
      <c r="H466" s="320"/>
      <c r="I466" s="256">
        <f>F466+G466+H466</f>
        <v>34389.1</v>
      </c>
      <c r="J466" s="21"/>
      <c r="K466" s="7"/>
      <c r="L466" s="65">
        <f>I466+J466+K466</f>
        <v>34389.1</v>
      </c>
      <c r="M466" s="127"/>
      <c r="N466" s="7"/>
      <c r="O466" s="18">
        <f>L466+M466+N466</f>
        <v>34389.1</v>
      </c>
      <c r="P466" s="72"/>
      <c r="Q466" s="70">
        <f t="shared" si="137"/>
        <v>34389.1</v>
      </c>
    </row>
    <row r="467" spans="1:17" ht="13.5" customHeight="1">
      <c r="A467" s="25" t="s">
        <v>126</v>
      </c>
      <c r="B467" s="88"/>
      <c r="C467" s="136">
        <v>2000</v>
      </c>
      <c r="D467" s="104">
        <f>12948-33-200</f>
        <v>12715</v>
      </c>
      <c r="E467" s="236"/>
      <c r="F467" s="274">
        <f t="shared" si="131"/>
        <v>14715</v>
      </c>
      <c r="G467" s="287">
        <f>-2000</f>
        <v>-2000</v>
      </c>
      <c r="H467" s="320"/>
      <c r="I467" s="256">
        <f>F467+G467+H467</f>
        <v>12715</v>
      </c>
      <c r="J467" s="21"/>
      <c r="K467" s="7"/>
      <c r="L467" s="65">
        <f>I467+J467+K467</f>
        <v>12715</v>
      </c>
      <c r="M467" s="127"/>
      <c r="N467" s="7"/>
      <c r="O467" s="18">
        <f>L467+M467+N467</f>
        <v>12715</v>
      </c>
      <c r="P467" s="72"/>
      <c r="Q467" s="70">
        <f t="shared" si="137"/>
        <v>12715</v>
      </c>
    </row>
    <row r="468" spans="1:17" ht="13.5" customHeight="1">
      <c r="A468" s="26" t="s">
        <v>146</v>
      </c>
      <c r="B468" s="88"/>
      <c r="C468" s="136">
        <v>300</v>
      </c>
      <c r="D468" s="104">
        <f>33</f>
        <v>33</v>
      </c>
      <c r="E468" s="236"/>
      <c r="F468" s="274">
        <f t="shared" si="131"/>
        <v>333</v>
      </c>
      <c r="G468" s="287">
        <f>200</f>
        <v>200</v>
      </c>
      <c r="H468" s="320"/>
      <c r="I468" s="256">
        <f>F468+G468+H468</f>
        <v>533</v>
      </c>
      <c r="J468" s="21"/>
      <c r="K468" s="7"/>
      <c r="L468" s="65">
        <f>I468+J468+K468</f>
        <v>533</v>
      </c>
      <c r="M468" s="127"/>
      <c r="N468" s="7"/>
      <c r="O468" s="18">
        <f>L468+M468+N468</f>
        <v>533</v>
      </c>
      <c r="P468" s="72"/>
      <c r="Q468" s="70">
        <f t="shared" si="137"/>
        <v>533</v>
      </c>
    </row>
    <row r="469" spans="1:17" ht="12.75">
      <c r="A469" s="25" t="s">
        <v>127</v>
      </c>
      <c r="B469" s="88"/>
      <c r="C469" s="136">
        <v>5350</v>
      </c>
      <c r="D469" s="104">
        <f>-5350</f>
        <v>-5350</v>
      </c>
      <c r="E469" s="236"/>
      <c r="F469" s="274">
        <f t="shared" si="131"/>
        <v>0</v>
      </c>
      <c r="G469" s="287"/>
      <c r="H469" s="320"/>
      <c r="I469" s="256">
        <f>F469+G469+H469</f>
        <v>0</v>
      </c>
      <c r="J469" s="21"/>
      <c r="K469" s="7"/>
      <c r="L469" s="65">
        <f>I469+J469+K469</f>
        <v>0</v>
      </c>
      <c r="M469" s="127"/>
      <c r="N469" s="7"/>
      <c r="O469" s="18">
        <f>L469+M469+N469</f>
        <v>0</v>
      </c>
      <c r="P469" s="72"/>
      <c r="Q469" s="70">
        <f t="shared" si="137"/>
        <v>0</v>
      </c>
    </row>
    <row r="470" spans="1:17" ht="12.75">
      <c r="A470" s="25" t="s">
        <v>128</v>
      </c>
      <c r="B470" s="88">
        <v>15</v>
      </c>
      <c r="C470" s="136">
        <f>SUM(C471:C477)</f>
        <v>150000</v>
      </c>
      <c r="D470" s="104">
        <f aca="true" t="shared" si="138" ref="D470:Q470">SUM(D471:D477)</f>
        <v>244780.86</v>
      </c>
      <c r="E470" s="236">
        <f t="shared" si="138"/>
        <v>0</v>
      </c>
      <c r="F470" s="274">
        <f t="shared" si="138"/>
        <v>394780.86</v>
      </c>
      <c r="G470" s="287">
        <f t="shared" si="138"/>
        <v>-260</v>
      </c>
      <c r="H470" s="320">
        <f t="shared" si="138"/>
        <v>0</v>
      </c>
      <c r="I470" s="256">
        <f t="shared" si="138"/>
        <v>394520.86</v>
      </c>
      <c r="J470" s="136">
        <f t="shared" si="138"/>
        <v>0</v>
      </c>
      <c r="K470" s="104">
        <f t="shared" si="138"/>
        <v>0</v>
      </c>
      <c r="L470" s="180">
        <f t="shared" si="138"/>
        <v>394520.86</v>
      </c>
      <c r="M470" s="151">
        <f t="shared" si="138"/>
        <v>0</v>
      </c>
      <c r="N470" s="105">
        <f t="shared" si="138"/>
        <v>0</v>
      </c>
      <c r="O470" s="105">
        <f t="shared" si="138"/>
        <v>394520.86</v>
      </c>
      <c r="P470" s="105">
        <f t="shared" si="138"/>
        <v>0</v>
      </c>
      <c r="Q470" s="105">
        <f t="shared" si="138"/>
        <v>394520.86</v>
      </c>
    </row>
    <row r="471" spans="1:17" ht="12.75">
      <c r="A471" s="25" t="s">
        <v>129</v>
      </c>
      <c r="B471" s="88"/>
      <c r="C471" s="136">
        <v>124380</v>
      </c>
      <c r="D471" s="104">
        <f>-500+192468.93</f>
        <v>191968.93</v>
      </c>
      <c r="E471" s="236">
        <v>385</v>
      </c>
      <c r="F471" s="274">
        <f t="shared" si="131"/>
        <v>316733.93</v>
      </c>
      <c r="G471" s="287">
        <f>90</f>
        <v>90</v>
      </c>
      <c r="H471" s="320">
        <f>1114.42</f>
        <v>1114.42</v>
      </c>
      <c r="I471" s="256">
        <f aca="true" t="shared" si="139" ref="I471:I477">F471+G471+H471</f>
        <v>317938.35</v>
      </c>
      <c r="J471" s="21"/>
      <c r="K471" s="7"/>
      <c r="L471" s="65">
        <f aca="true" t="shared" si="140" ref="L471:L477">I471+J471+K471</f>
        <v>317938.35</v>
      </c>
      <c r="M471" s="127"/>
      <c r="N471" s="7"/>
      <c r="O471" s="18">
        <f aca="true" t="shared" si="141" ref="O471:O477">L471+M471+N471</f>
        <v>317938.35</v>
      </c>
      <c r="P471" s="72"/>
      <c r="Q471" s="70">
        <f t="shared" si="137"/>
        <v>317938.35</v>
      </c>
    </row>
    <row r="472" spans="1:17" ht="12.75" hidden="1">
      <c r="A472" s="25" t="s">
        <v>130</v>
      </c>
      <c r="B472" s="88"/>
      <c r="C472" s="136"/>
      <c r="D472" s="104"/>
      <c r="E472" s="236"/>
      <c r="F472" s="274">
        <f t="shared" si="131"/>
        <v>0</v>
      </c>
      <c r="G472" s="287"/>
      <c r="H472" s="320"/>
      <c r="I472" s="256">
        <f t="shared" si="139"/>
        <v>0</v>
      </c>
      <c r="J472" s="21"/>
      <c r="K472" s="7"/>
      <c r="L472" s="65">
        <f t="shared" si="140"/>
        <v>0</v>
      </c>
      <c r="M472" s="127"/>
      <c r="N472" s="7"/>
      <c r="O472" s="18">
        <f t="shared" si="141"/>
        <v>0</v>
      </c>
      <c r="P472" s="72"/>
      <c r="Q472" s="70">
        <f t="shared" si="137"/>
        <v>0</v>
      </c>
    </row>
    <row r="473" spans="1:17" ht="12.75" hidden="1">
      <c r="A473" s="25" t="s">
        <v>131</v>
      </c>
      <c r="B473" s="88"/>
      <c r="C473" s="136"/>
      <c r="D473" s="115"/>
      <c r="E473" s="245"/>
      <c r="F473" s="274">
        <f t="shared" si="131"/>
        <v>0</v>
      </c>
      <c r="G473" s="287"/>
      <c r="H473" s="320"/>
      <c r="I473" s="256">
        <f t="shared" si="139"/>
        <v>0</v>
      </c>
      <c r="J473" s="21"/>
      <c r="K473" s="7"/>
      <c r="L473" s="65">
        <f t="shared" si="140"/>
        <v>0</v>
      </c>
      <c r="M473" s="127"/>
      <c r="N473" s="7"/>
      <c r="O473" s="18">
        <f t="shared" si="141"/>
        <v>0</v>
      </c>
      <c r="P473" s="72"/>
      <c r="Q473" s="70">
        <f t="shared" si="137"/>
        <v>0</v>
      </c>
    </row>
    <row r="474" spans="1:17" ht="12.75">
      <c r="A474" s="25" t="s">
        <v>132</v>
      </c>
      <c r="B474" s="88"/>
      <c r="C474" s="136">
        <v>17100</v>
      </c>
      <c r="D474" s="104">
        <f>28807.16</f>
        <v>28807.16</v>
      </c>
      <c r="E474" s="236"/>
      <c r="F474" s="274">
        <f t="shared" si="131"/>
        <v>45907.16</v>
      </c>
      <c r="G474" s="287">
        <f>-1822</f>
        <v>-1822</v>
      </c>
      <c r="H474" s="320"/>
      <c r="I474" s="256">
        <f t="shared" si="139"/>
        <v>44085.16</v>
      </c>
      <c r="J474" s="21"/>
      <c r="K474" s="7"/>
      <c r="L474" s="65">
        <f t="shared" si="140"/>
        <v>44085.16</v>
      </c>
      <c r="M474" s="127"/>
      <c r="N474" s="7"/>
      <c r="O474" s="18">
        <f t="shared" si="141"/>
        <v>44085.16</v>
      </c>
      <c r="P474" s="72"/>
      <c r="Q474" s="70">
        <f t="shared" si="137"/>
        <v>44085.16</v>
      </c>
    </row>
    <row r="475" spans="1:17" ht="12.75">
      <c r="A475" s="25" t="s">
        <v>133</v>
      </c>
      <c r="B475" s="88"/>
      <c r="C475" s="136"/>
      <c r="D475" s="104">
        <f>5444.91+757</f>
        <v>6201.91</v>
      </c>
      <c r="E475" s="236"/>
      <c r="F475" s="274">
        <f t="shared" si="131"/>
        <v>6201.91</v>
      </c>
      <c r="G475" s="287">
        <f>1822-350</f>
        <v>1472</v>
      </c>
      <c r="H475" s="320"/>
      <c r="I475" s="256">
        <f t="shared" si="139"/>
        <v>7673.91</v>
      </c>
      <c r="J475" s="197"/>
      <c r="K475" s="7"/>
      <c r="L475" s="65">
        <f t="shared" si="140"/>
        <v>7673.91</v>
      </c>
      <c r="M475" s="127"/>
      <c r="N475" s="7"/>
      <c r="O475" s="18">
        <f t="shared" si="141"/>
        <v>7673.91</v>
      </c>
      <c r="P475" s="72"/>
      <c r="Q475" s="70">
        <f t="shared" si="137"/>
        <v>7673.91</v>
      </c>
    </row>
    <row r="476" spans="1:17" ht="12.75">
      <c r="A476" s="25" t="s">
        <v>134</v>
      </c>
      <c r="B476" s="88"/>
      <c r="C476" s="136">
        <v>8520</v>
      </c>
      <c r="D476" s="104">
        <f>500+12213.21</f>
        <v>12713.21</v>
      </c>
      <c r="E476" s="236">
        <v>1160</v>
      </c>
      <c r="F476" s="274">
        <f t="shared" si="131"/>
        <v>22393.21</v>
      </c>
      <c r="G476" s="287"/>
      <c r="H476" s="320"/>
      <c r="I476" s="256">
        <f t="shared" si="139"/>
        <v>22393.21</v>
      </c>
      <c r="J476" s="21"/>
      <c r="K476" s="7"/>
      <c r="L476" s="65">
        <f t="shared" si="140"/>
        <v>22393.21</v>
      </c>
      <c r="M476" s="127"/>
      <c r="N476" s="7"/>
      <c r="O476" s="18">
        <f t="shared" si="141"/>
        <v>22393.21</v>
      </c>
      <c r="P476" s="72"/>
      <c r="Q476" s="70">
        <f t="shared" si="137"/>
        <v>22393.21</v>
      </c>
    </row>
    <row r="477" spans="1:17" ht="12.75">
      <c r="A477" s="25" t="s">
        <v>127</v>
      </c>
      <c r="B477" s="88"/>
      <c r="C477" s="136"/>
      <c r="D477" s="104">
        <f>5089.65</f>
        <v>5089.65</v>
      </c>
      <c r="E477" s="236">
        <v>-1545</v>
      </c>
      <c r="F477" s="274">
        <f t="shared" si="131"/>
        <v>3544.6499999999996</v>
      </c>
      <c r="G477" s="287"/>
      <c r="H477" s="320">
        <f>-1114.42</f>
        <v>-1114.42</v>
      </c>
      <c r="I477" s="256">
        <f t="shared" si="139"/>
        <v>2430.2299999999996</v>
      </c>
      <c r="J477" s="21"/>
      <c r="K477" s="7"/>
      <c r="L477" s="65">
        <f t="shared" si="140"/>
        <v>2430.2299999999996</v>
      </c>
      <c r="M477" s="127"/>
      <c r="N477" s="7"/>
      <c r="O477" s="18">
        <f t="shared" si="141"/>
        <v>2430.2299999999996</v>
      </c>
      <c r="P477" s="72"/>
      <c r="Q477" s="70">
        <f t="shared" si="137"/>
        <v>2430.2299999999996</v>
      </c>
    </row>
    <row r="478" spans="1:17" ht="12.75">
      <c r="A478" s="25" t="s">
        <v>135</v>
      </c>
      <c r="B478" s="88">
        <v>16</v>
      </c>
      <c r="C478" s="136">
        <f>SUM(C479:C482)</f>
        <v>3000</v>
      </c>
      <c r="D478" s="104">
        <f aca="true" t="shared" si="142" ref="D478:Q478">SUM(D479:D482)</f>
        <v>22983.289999999997</v>
      </c>
      <c r="E478" s="236">
        <f t="shared" si="142"/>
        <v>0</v>
      </c>
      <c r="F478" s="274">
        <f t="shared" si="142"/>
        <v>25983.289999999997</v>
      </c>
      <c r="G478" s="287">
        <f t="shared" si="142"/>
        <v>0</v>
      </c>
      <c r="H478" s="320">
        <f t="shared" si="142"/>
        <v>0</v>
      </c>
      <c r="I478" s="256">
        <f t="shared" si="142"/>
        <v>25983.289999999997</v>
      </c>
      <c r="J478" s="136">
        <f t="shared" si="142"/>
        <v>0</v>
      </c>
      <c r="K478" s="104">
        <f t="shared" si="142"/>
        <v>0</v>
      </c>
      <c r="L478" s="180">
        <f t="shared" si="142"/>
        <v>25983.289999999997</v>
      </c>
      <c r="M478" s="151">
        <f t="shared" si="142"/>
        <v>0</v>
      </c>
      <c r="N478" s="105">
        <f t="shared" si="142"/>
        <v>0</v>
      </c>
      <c r="O478" s="105">
        <f t="shared" si="142"/>
        <v>25983.289999999997</v>
      </c>
      <c r="P478" s="105">
        <f t="shared" si="142"/>
        <v>0</v>
      </c>
      <c r="Q478" s="105">
        <f t="shared" si="142"/>
        <v>25983.289999999997</v>
      </c>
    </row>
    <row r="479" spans="1:17" ht="12.75">
      <c r="A479" s="25" t="s">
        <v>124</v>
      </c>
      <c r="B479" s="88"/>
      <c r="C479" s="136">
        <v>1870</v>
      </c>
      <c r="D479" s="104">
        <f>478</f>
        <v>478</v>
      </c>
      <c r="E479" s="236"/>
      <c r="F479" s="274">
        <f t="shared" si="131"/>
        <v>2348</v>
      </c>
      <c r="G479" s="287"/>
      <c r="H479" s="320"/>
      <c r="I479" s="256">
        <f>F479+G479+H479</f>
        <v>2348</v>
      </c>
      <c r="J479" s="21"/>
      <c r="K479" s="7"/>
      <c r="L479" s="65">
        <f>I479+J479+K479</f>
        <v>2348</v>
      </c>
      <c r="M479" s="127"/>
      <c r="N479" s="7"/>
      <c r="O479" s="18">
        <f>L479+M479+N479</f>
        <v>2348</v>
      </c>
      <c r="P479" s="72"/>
      <c r="Q479" s="70">
        <f t="shared" si="137"/>
        <v>2348</v>
      </c>
    </row>
    <row r="480" spans="1:17" ht="12.75">
      <c r="A480" s="25" t="s">
        <v>125</v>
      </c>
      <c r="B480" s="88"/>
      <c r="C480" s="136">
        <v>1080</v>
      </c>
      <c r="D480" s="104">
        <f>-70</f>
        <v>-70</v>
      </c>
      <c r="E480" s="236"/>
      <c r="F480" s="274">
        <f t="shared" si="131"/>
        <v>1010</v>
      </c>
      <c r="G480" s="287"/>
      <c r="H480" s="320"/>
      <c r="I480" s="256">
        <f>F480+G480+H480</f>
        <v>1010</v>
      </c>
      <c r="J480" s="21"/>
      <c r="K480" s="7"/>
      <c r="L480" s="65">
        <f>I480+J480+K480</f>
        <v>1010</v>
      </c>
      <c r="M480" s="127"/>
      <c r="N480" s="7"/>
      <c r="O480" s="18">
        <f>L480+M480+N480</f>
        <v>1010</v>
      </c>
      <c r="P480" s="72"/>
      <c r="Q480" s="70">
        <f t="shared" si="137"/>
        <v>1010</v>
      </c>
    </row>
    <row r="481" spans="1:17" ht="12.75">
      <c r="A481" s="25" t="s">
        <v>126</v>
      </c>
      <c r="B481" s="88"/>
      <c r="C481" s="136"/>
      <c r="D481" s="104">
        <f>2872.96-861.34+20000</f>
        <v>22011.62</v>
      </c>
      <c r="E481" s="236"/>
      <c r="F481" s="274">
        <f t="shared" si="131"/>
        <v>22011.62</v>
      </c>
      <c r="G481" s="287"/>
      <c r="H481" s="320"/>
      <c r="I481" s="256">
        <f>F481+G481+H481</f>
        <v>22011.62</v>
      </c>
      <c r="J481" s="21"/>
      <c r="K481" s="7"/>
      <c r="L481" s="65">
        <f>I481+J481+K481</f>
        <v>22011.62</v>
      </c>
      <c r="M481" s="127"/>
      <c r="N481" s="7"/>
      <c r="O481" s="18">
        <f>L481+M481+N481</f>
        <v>22011.62</v>
      </c>
      <c r="P481" s="72"/>
      <c r="Q481" s="70">
        <f t="shared" si="137"/>
        <v>22011.62</v>
      </c>
    </row>
    <row r="482" spans="1:17" ht="12.75">
      <c r="A482" s="25" t="s">
        <v>127</v>
      </c>
      <c r="B482" s="88"/>
      <c r="C482" s="136">
        <v>50</v>
      </c>
      <c r="D482" s="104">
        <f>563.67</f>
        <v>563.67</v>
      </c>
      <c r="E482" s="236"/>
      <c r="F482" s="274">
        <f t="shared" si="131"/>
        <v>613.67</v>
      </c>
      <c r="G482" s="287"/>
      <c r="H482" s="320"/>
      <c r="I482" s="256">
        <f>F482+G482+H482</f>
        <v>613.67</v>
      </c>
      <c r="J482" s="21"/>
      <c r="K482" s="7"/>
      <c r="L482" s="65">
        <f>I482+J482+K482</f>
        <v>613.67</v>
      </c>
      <c r="M482" s="127"/>
      <c r="N482" s="7"/>
      <c r="O482" s="18">
        <f>L482+M482+N482</f>
        <v>613.67</v>
      </c>
      <c r="P482" s="72"/>
      <c r="Q482" s="70">
        <f t="shared" si="137"/>
        <v>613.67</v>
      </c>
    </row>
    <row r="483" spans="1:17" ht="12.75">
      <c r="A483" s="25" t="s">
        <v>136</v>
      </c>
      <c r="B483" s="88">
        <v>28</v>
      </c>
      <c r="C483" s="136">
        <f>SUM(C484:C488)</f>
        <v>50000</v>
      </c>
      <c r="D483" s="104">
        <f aca="true" t="shared" si="143" ref="D483:Q483">SUM(D484:D488)</f>
        <v>23426.350000000002</v>
      </c>
      <c r="E483" s="236">
        <f t="shared" si="143"/>
        <v>0</v>
      </c>
      <c r="F483" s="274">
        <f t="shared" si="143"/>
        <v>73426.35</v>
      </c>
      <c r="G483" s="287">
        <f t="shared" si="143"/>
        <v>0</v>
      </c>
      <c r="H483" s="320">
        <f t="shared" si="143"/>
        <v>0</v>
      </c>
      <c r="I483" s="256">
        <f t="shared" si="143"/>
        <v>73426.35</v>
      </c>
      <c r="J483" s="136">
        <f t="shared" si="143"/>
        <v>0</v>
      </c>
      <c r="K483" s="104">
        <f t="shared" si="143"/>
        <v>0</v>
      </c>
      <c r="L483" s="180">
        <f t="shared" si="143"/>
        <v>73426.35</v>
      </c>
      <c r="M483" s="151">
        <f t="shared" si="143"/>
        <v>0</v>
      </c>
      <c r="N483" s="105">
        <f t="shared" si="143"/>
        <v>0</v>
      </c>
      <c r="O483" s="105">
        <f t="shared" si="143"/>
        <v>73426.35</v>
      </c>
      <c r="P483" s="105">
        <f t="shared" si="143"/>
        <v>0</v>
      </c>
      <c r="Q483" s="105">
        <f t="shared" si="143"/>
        <v>73426.35</v>
      </c>
    </row>
    <row r="484" spans="1:17" ht="12.75">
      <c r="A484" s="25" t="s">
        <v>124</v>
      </c>
      <c r="B484" s="88"/>
      <c r="C484" s="136">
        <v>2000</v>
      </c>
      <c r="D484" s="104">
        <f>8555.71</f>
        <v>8555.71</v>
      </c>
      <c r="E484" s="236"/>
      <c r="F484" s="274">
        <f t="shared" si="131"/>
        <v>10555.71</v>
      </c>
      <c r="G484" s="287">
        <f>-500</f>
        <v>-500</v>
      </c>
      <c r="H484" s="320"/>
      <c r="I484" s="256">
        <f>F484+G484+H484</f>
        <v>10055.71</v>
      </c>
      <c r="J484" s="21"/>
      <c r="K484" s="7"/>
      <c r="L484" s="65">
        <f>I484+J484+K484</f>
        <v>10055.71</v>
      </c>
      <c r="M484" s="127"/>
      <c r="N484" s="7"/>
      <c r="O484" s="18">
        <f>L484+M484+N484</f>
        <v>10055.71</v>
      </c>
      <c r="P484" s="72"/>
      <c r="Q484" s="70">
        <f t="shared" si="137"/>
        <v>10055.71</v>
      </c>
    </row>
    <row r="485" spans="1:17" ht="12.75">
      <c r="A485" s="25" t="s">
        <v>125</v>
      </c>
      <c r="B485" s="88"/>
      <c r="C485" s="136">
        <v>4600</v>
      </c>
      <c r="D485" s="104"/>
      <c r="E485" s="236"/>
      <c r="F485" s="274">
        <f t="shared" si="131"/>
        <v>4600</v>
      </c>
      <c r="G485" s="287"/>
      <c r="H485" s="320"/>
      <c r="I485" s="256">
        <f>F485+G485+H485</f>
        <v>4600</v>
      </c>
      <c r="J485" s="21"/>
      <c r="K485" s="7"/>
      <c r="L485" s="65">
        <f>I485+J485+K485</f>
        <v>4600</v>
      </c>
      <c r="M485" s="127"/>
      <c r="N485" s="7"/>
      <c r="O485" s="18">
        <f>L485+M485+N485</f>
        <v>4600</v>
      </c>
      <c r="P485" s="72"/>
      <c r="Q485" s="70">
        <f t="shared" si="137"/>
        <v>4600</v>
      </c>
    </row>
    <row r="486" spans="1:17" ht="12.75">
      <c r="A486" s="25" t="s">
        <v>137</v>
      </c>
      <c r="B486" s="88"/>
      <c r="C486" s="136">
        <v>34500</v>
      </c>
      <c r="D486" s="104">
        <f>9685.65+500</f>
        <v>10185.65</v>
      </c>
      <c r="E486" s="236"/>
      <c r="F486" s="274">
        <f t="shared" si="131"/>
        <v>44685.65</v>
      </c>
      <c r="G486" s="287">
        <f>12500</f>
        <v>12500</v>
      </c>
      <c r="H486" s="320"/>
      <c r="I486" s="256">
        <f>F486+G486+H486</f>
        <v>57185.65</v>
      </c>
      <c r="J486" s="21"/>
      <c r="K486" s="7"/>
      <c r="L486" s="65">
        <f>I486+J486+K486</f>
        <v>57185.65</v>
      </c>
      <c r="M486" s="127"/>
      <c r="N486" s="7"/>
      <c r="O486" s="18">
        <f>L486+M486+N486</f>
        <v>57185.65</v>
      </c>
      <c r="P486" s="72"/>
      <c r="Q486" s="70">
        <f t="shared" si="137"/>
        <v>57185.65</v>
      </c>
    </row>
    <row r="487" spans="1:17" ht="12.75" hidden="1">
      <c r="A487" s="25" t="s">
        <v>134</v>
      </c>
      <c r="B487" s="88"/>
      <c r="C487" s="136"/>
      <c r="D487" s="104"/>
      <c r="E487" s="236"/>
      <c r="F487" s="274">
        <f t="shared" si="131"/>
        <v>0</v>
      </c>
      <c r="G487" s="287"/>
      <c r="H487" s="320"/>
      <c r="I487" s="256">
        <f>F487+G487+H487</f>
        <v>0</v>
      </c>
      <c r="J487" s="21"/>
      <c r="K487" s="7"/>
      <c r="L487" s="65">
        <f>I487+J487+K487</f>
        <v>0</v>
      </c>
      <c r="M487" s="127"/>
      <c r="N487" s="7"/>
      <c r="O487" s="18">
        <f>L487+M487+N487</f>
        <v>0</v>
      </c>
      <c r="P487" s="72"/>
      <c r="Q487" s="70">
        <f t="shared" si="137"/>
        <v>0</v>
      </c>
    </row>
    <row r="488" spans="1:17" ht="12.75">
      <c r="A488" s="25" t="s">
        <v>127</v>
      </c>
      <c r="B488" s="88"/>
      <c r="C488" s="136">
        <v>8900</v>
      </c>
      <c r="D488" s="115">
        <f>5173.89-488.9</f>
        <v>4684.990000000001</v>
      </c>
      <c r="E488" s="236"/>
      <c r="F488" s="274">
        <f t="shared" si="131"/>
        <v>13584.990000000002</v>
      </c>
      <c r="G488" s="287">
        <f>-12000</f>
        <v>-12000</v>
      </c>
      <c r="H488" s="320"/>
      <c r="I488" s="256">
        <f>F488+G488+H488</f>
        <v>1584.9900000000016</v>
      </c>
      <c r="J488" s="21"/>
      <c r="K488" s="7"/>
      <c r="L488" s="65">
        <f>I488+J488+K488</f>
        <v>1584.9900000000016</v>
      </c>
      <c r="M488" s="127"/>
      <c r="N488" s="7"/>
      <c r="O488" s="18">
        <f>L488+M488+N488</f>
        <v>1584.9900000000016</v>
      </c>
      <c r="P488" s="72"/>
      <c r="Q488" s="70">
        <f t="shared" si="137"/>
        <v>1584.9900000000016</v>
      </c>
    </row>
    <row r="489" spans="1:17" ht="12.75">
      <c r="A489" s="26" t="s">
        <v>138</v>
      </c>
      <c r="B489" s="88"/>
      <c r="C489" s="136">
        <f>C490+C491</f>
        <v>10</v>
      </c>
      <c r="D489" s="104">
        <f aca="true" t="shared" si="144" ref="D489:Q489">D490+D491</f>
        <v>5517.57</v>
      </c>
      <c r="E489" s="236">
        <f t="shared" si="144"/>
        <v>0</v>
      </c>
      <c r="F489" s="274">
        <f t="shared" si="144"/>
        <v>5527.57</v>
      </c>
      <c r="G489" s="287">
        <f t="shared" si="144"/>
        <v>-308.31</v>
      </c>
      <c r="H489" s="320">
        <f t="shared" si="144"/>
        <v>0</v>
      </c>
      <c r="I489" s="256">
        <f t="shared" si="144"/>
        <v>5219.26</v>
      </c>
      <c r="J489" s="136">
        <f t="shared" si="144"/>
        <v>0</v>
      </c>
      <c r="K489" s="104">
        <f t="shared" si="144"/>
        <v>0</v>
      </c>
      <c r="L489" s="180">
        <f t="shared" si="144"/>
        <v>0</v>
      </c>
      <c r="M489" s="137">
        <f t="shared" si="144"/>
        <v>0</v>
      </c>
      <c r="N489" s="136">
        <f t="shared" si="144"/>
        <v>0</v>
      </c>
      <c r="O489" s="136">
        <f t="shared" si="144"/>
        <v>0</v>
      </c>
      <c r="P489" s="136">
        <f t="shared" si="144"/>
        <v>0</v>
      </c>
      <c r="Q489" s="136">
        <f t="shared" si="144"/>
        <v>0</v>
      </c>
    </row>
    <row r="490" spans="1:17" ht="12.75">
      <c r="A490" s="26" t="s">
        <v>271</v>
      </c>
      <c r="B490" s="88"/>
      <c r="C490" s="136"/>
      <c r="D490" s="104">
        <f>517.57</f>
        <v>517.57</v>
      </c>
      <c r="E490" s="236"/>
      <c r="F490" s="274">
        <f t="shared" si="131"/>
        <v>517.57</v>
      </c>
      <c r="G490" s="287">
        <f>-200+91.69</f>
        <v>-108.31</v>
      </c>
      <c r="H490" s="320"/>
      <c r="I490" s="256">
        <f>F490+G490+H490</f>
        <v>409.26000000000005</v>
      </c>
      <c r="J490" s="21"/>
      <c r="K490" s="7"/>
      <c r="L490" s="65"/>
      <c r="M490" s="127"/>
      <c r="N490" s="7"/>
      <c r="O490" s="18"/>
      <c r="P490" s="72"/>
      <c r="Q490" s="70"/>
    </row>
    <row r="491" spans="1:17" ht="12.75">
      <c r="A491" s="29" t="s">
        <v>305</v>
      </c>
      <c r="B491" s="91"/>
      <c r="C491" s="164">
        <v>10</v>
      </c>
      <c r="D491" s="112">
        <f>5000</f>
        <v>5000</v>
      </c>
      <c r="E491" s="267"/>
      <c r="F491" s="279">
        <f t="shared" si="131"/>
        <v>5010</v>
      </c>
      <c r="G491" s="294">
        <f>-200</f>
        <v>-200</v>
      </c>
      <c r="H491" s="318"/>
      <c r="I491" s="262">
        <f>F491+G491+H491</f>
        <v>4810</v>
      </c>
      <c r="J491" s="21"/>
      <c r="K491" s="7"/>
      <c r="L491" s="65"/>
      <c r="M491" s="127"/>
      <c r="N491" s="7"/>
      <c r="O491" s="18"/>
      <c r="P491" s="72"/>
      <c r="Q491" s="70"/>
    </row>
    <row r="492" spans="1:17" ht="13.5" thickBot="1">
      <c r="A492" s="40" t="s">
        <v>139</v>
      </c>
      <c r="B492" s="92"/>
      <c r="C492" s="130">
        <v>6618.08</v>
      </c>
      <c r="D492" s="107">
        <f>225.34+287.92</f>
        <v>513.26</v>
      </c>
      <c r="E492" s="238"/>
      <c r="F492" s="275">
        <f t="shared" si="131"/>
        <v>7131.34</v>
      </c>
      <c r="G492" s="289"/>
      <c r="H492" s="322">
        <f>2467.22</f>
        <v>2467.22</v>
      </c>
      <c r="I492" s="258">
        <f>SUM(F492:H492)</f>
        <v>9598.56</v>
      </c>
      <c r="J492" s="198"/>
      <c r="K492" s="8"/>
      <c r="L492" s="203">
        <f>SUM(I492:K492)</f>
        <v>9598.56</v>
      </c>
      <c r="M492" s="213"/>
      <c r="N492" s="8"/>
      <c r="O492" s="19">
        <f>SUM(L492:N492)</f>
        <v>9598.56</v>
      </c>
      <c r="P492" s="73"/>
      <c r="Q492" s="22">
        <f>O492+P492</f>
        <v>9598.56</v>
      </c>
    </row>
    <row r="493" spans="1:17" ht="15.75" thickBot="1">
      <c r="A493" s="41" t="s">
        <v>140</v>
      </c>
      <c r="B493" s="95"/>
      <c r="C493" s="140">
        <f aca="true" t="shared" si="145" ref="C493:Q493">+C91+C111+C121+C139+C151+C177+C223+C242+C258+C276+C352+C379+C401+C408+C438+C442+C492+C415+C298</f>
        <v>4165163.4299999997</v>
      </c>
      <c r="D493" s="117">
        <f t="shared" si="145"/>
        <v>9632866.57</v>
      </c>
      <c r="E493" s="141">
        <f t="shared" si="145"/>
        <v>61319.539999999986</v>
      </c>
      <c r="F493" s="218">
        <f t="shared" si="145"/>
        <v>13859349.540000003</v>
      </c>
      <c r="G493" s="297">
        <f t="shared" si="145"/>
        <v>767416.51</v>
      </c>
      <c r="H493" s="329">
        <f t="shared" si="145"/>
        <v>48048.37</v>
      </c>
      <c r="I493" s="225">
        <f t="shared" si="145"/>
        <v>14674814.420000006</v>
      </c>
      <c r="J493" s="140">
        <f t="shared" si="145"/>
        <v>0</v>
      </c>
      <c r="K493" s="140">
        <f t="shared" si="145"/>
        <v>0</v>
      </c>
      <c r="L493" s="218">
        <f t="shared" si="145"/>
        <v>10705749.500000002</v>
      </c>
      <c r="M493" s="141">
        <f t="shared" si="145"/>
        <v>0</v>
      </c>
      <c r="N493" s="140">
        <f t="shared" si="145"/>
        <v>0</v>
      </c>
      <c r="O493" s="140">
        <f t="shared" si="145"/>
        <v>10705749.500000002</v>
      </c>
      <c r="P493" s="140">
        <f t="shared" si="145"/>
        <v>0</v>
      </c>
      <c r="Q493" s="140">
        <f t="shared" si="145"/>
        <v>10705749.500000002</v>
      </c>
    </row>
    <row r="494" spans="1:17" ht="13.5" thickBot="1">
      <c r="A494" s="42" t="s">
        <v>141</v>
      </c>
      <c r="B494" s="95"/>
      <c r="C494" s="169">
        <v>-6618.08</v>
      </c>
      <c r="D494" s="118">
        <f>-225.34-287.92</f>
        <v>-513.26</v>
      </c>
      <c r="E494" s="190"/>
      <c r="F494" s="204">
        <f t="shared" si="131"/>
        <v>-7131.34</v>
      </c>
      <c r="G494" s="298"/>
      <c r="H494" s="330"/>
      <c r="I494" s="258">
        <f>F494+G494+H494</f>
        <v>-7131.34</v>
      </c>
      <c r="J494" s="169"/>
      <c r="K494" s="169"/>
      <c r="L494" s="219"/>
      <c r="M494" s="190"/>
      <c r="N494" s="169"/>
      <c r="O494" s="169"/>
      <c r="P494" s="169"/>
      <c r="Q494" s="169"/>
    </row>
    <row r="495" spans="1:17" ht="16.5" thickBot="1">
      <c r="A495" s="43" t="s">
        <v>142</v>
      </c>
      <c r="B495" s="95"/>
      <c r="C495" s="170">
        <f aca="true" t="shared" si="146" ref="C495:Q495">C493+C494</f>
        <v>4158545.3499999996</v>
      </c>
      <c r="D495" s="119">
        <f t="shared" si="146"/>
        <v>9632353.31</v>
      </c>
      <c r="E495" s="191">
        <f t="shared" si="146"/>
        <v>61319.539999999986</v>
      </c>
      <c r="F495" s="220">
        <f t="shared" si="146"/>
        <v>13852218.200000003</v>
      </c>
      <c r="G495" s="299">
        <f t="shared" si="146"/>
        <v>767416.51</v>
      </c>
      <c r="H495" s="331">
        <f t="shared" si="146"/>
        <v>48048.37</v>
      </c>
      <c r="I495" s="226">
        <f t="shared" si="146"/>
        <v>14667683.080000006</v>
      </c>
      <c r="J495" s="170">
        <f t="shared" si="146"/>
        <v>0</v>
      </c>
      <c r="K495" s="170">
        <f t="shared" si="146"/>
        <v>0</v>
      </c>
      <c r="L495" s="220">
        <f t="shared" si="146"/>
        <v>10705749.500000002</v>
      </c>
      <c r="M495" s="191">
        <f t="shared" si="146"/>
        <v>0</v>
      </c>
      <c r="N495" s="170">
        <f t="shared" si="146"/>
        <v>0</v>
      </c>
      <c r="O495" s="170">
        <f t="shared" si="146"/>
        <v>10705749.500000002</v>
      </c>
      <c r="P495" s="170">
        <f t="shared" si="146"/>
        <v>0</v>
      </c>
      <c r="Q495" s="170">
        <f t="shared" si="146"/>
        <v>10705749.500000002</v>
      </c>
    </row>
    <row r="496" spans="1:17" ht="15.75">
      <c r="A496" s="44" t="s">
        <v>27</v>
      </c>
      <c r="B496" s="96"/>
      <c r="C496" s="171"/>
      <c r="D496" s="120"/>
      <c r="E496" s="192"/>
      <c r="F496" s="221"/>
      <c r="G496" s="300"/>
      <c r="H496" s="332"/>
      <c r="I496" s="227"/>
      <c r="J496" s="171"/>
      <c r="K496" s="171"/>
      <c r="L496" s="221"/>
      <c r="M496" s="192"/>
      <c r="N496" s="171"/>
      <c r="O496" s="171"/>
      <c r="P496" s="171"/>
      <c r="Q496" s="171"/>
    </row>
    <row r="497" spans="1:17" ht="15.75">
      <c r="A497" s="45" t="s">
        <v>255</v>
      </c>
      <c r="B497" s="97"/>
      <c r="C497" s="172">
        <f aca="true" t="shared" si="147" ref="C497:Q497">+C92+C112+C122+C140+C152+C178+C224+C243+C259+C277+C353+C380+C402+C409+C439+C444+C492+C494+C416+C299</f>
        <v>3319817.7499999995</v>
      </c>
      <c r="D497" s="121">
        <f t="shared" si="147"/>
        <v>7432859.159999997</v>
      </c>
      <c r="E497" s="193">
        <f t="shared" si="147"/>
        <v>3565.07</v>
      </c>
      <c r="F497" s="222">
        <f t="shared" si="147"/>
        <v>10756241.979999999</v>
      </c>
      <c r="G497" s="301">
        <f t="shared" si="147"/>
        <v>273634.91</v>
      </c>
      <c r="H497" s="333">
        <f t="shared" si="147"/>
        <v>3927.46</v>
      </c>
      <c r="I497" s="228">
        <f t="shared" si="147"/>
        <v>11033804.350000001</v>
      </c>
      <c r="J497" s="172">
        <f t="shared" si="147"/>
        <v>0</v>
      </c>
      <c r="K497" s="172">
        <f t="shared" si="147"/>
        <v>0</v>
      </c>
      <c r="L497" s="222">
        <f t="shared" si="147"/>
        <v>9681829.36</v>
      </c>
      <c r="M497" s="193">
        <f t="shared" si="147"/>
        <v>0</v>
      </c>
      <c r="N497" s="172">
        <f t="shared" si="147"/>
        <v>0</v>
      </c>
      <c r="O497" s="172">
        <f t="shared" si="147"/>
        <v>9681829.36</v>
      </c>
      <c r="P497" s="172">
        <f t="shared" si="147"/>
        <v>0</v>
      </c>
      <c r="Q497" s="172">
        <f t="shared" si="147"/>
        <v>9681829.36</v>
      </c>
    </row>
    <row r="498" spans="1:17" ht="16.5" thickBot="1">
      <c r="A498" s="31" t="s">
        <v>256</v>
      </c>
      <c r="B498" s="98"/>
      <c r="C498" s="173">
        <f aca="true" t="shared" si="148" ref="C498:Q498">+C101+C118+C134+C145+C169+C215+C235+C252+C271+C294+C374+C392+C405+C445+C430+C324</f>
        <v>838727.6000000001</v>
      </c>
      <c r="D498" s="122">
        <f t="shared" si="148"/>
        <v>2199494.1500000004</v>
      </c>
      <c r="E498" s="194">
        <f t="shared" si="148"/>
        <v>57754.469999999994</v>
      </c>
      <c r="F498" s="223">
        <f t="shared" si="148"/>
        <v>3095976.2199999997</v>
      </c>
      <c r="G498" s="302">
        <f t="shared" si="148"/>
        <v>493781.6</v>
      </c>
      <c r="H498" s="334">
        <f t="shared" si="148"/>
        <v>44120.91</v>
      </c>
      <c r="I498" s="229">
        <f t="shared" si="148"/>
        <v>3633878.73</v>
      </c>
      <c r="J498" s="173">
        <f t="shared" si="148"/>
        <v>0</v>
      </c>
      <c r="K498" s="173">
        <f t="shared" si="148"/>
        <v>0</v>
      </c>
      <c r="L498" s="223">
        <f t="shared" si="148"/>
        <v>1023920.14</v>
      </c>
      <c r="M498" s="194">
        <f t="shared" si="148"/>
        <v>0</v>
      </c>
      <c r="N498" s="173">
        <f t="shared" si="148"/>
        <v>0</v>
      </c>
      <c r="O498" s="173">
        <f t="shared" si="148"/>
        <v>1023920.14</v>
      </c>
      <c r="P498" s="173">
        <f t="shared" si="148"/>
        <v>0</v>
      </c>
      <c r="Q498" s="173">
        <f t="shared" si="148"/>
        <v>1023920.14</v>
      </c>
    </row>
    <row r="499" spans="1:17" ht="16.5" thickBot="1">
      <c r="A499" s="45" t="s">
        <v>249</v>
      </c>
      <c r="B499" s="97"/>
      <c r="C499" s="140">
        <f aca="true" t="shared" si="149" ref="C499:Q499">C89-C495</f>
        <v>162173.7000000002</v>
      </c>
      <c r="D499" s="117">
        <f t="shared" si="149"/>
        <v>-2435095.41</v>
      </c>
      <c r="E499" s="246">
        <f t="shared" si="149"/>
        <v>-61319.539999999986</v>
      </c>
      <c r="F499" s="218">
        <f t="shared" si="149"/>
        <v>-2334241.250000002</v>
      </c>
      <c r="G499" s="297">
        <f t="shared" si="149"/>
        <v>-1484.8200000000652</v>
      </c>
      <c r="H499" s="329">
        <f t="shared" si="149"/>
        <v>-20507.170000000002</v>
      </c>
      <c r="I499" s="225">
        <f t="shared" si="149"/>
        <v>-2356233.240000006</v>
      </c>
      <c r="J499" s="140">
        <f t="shared" si="149"/>
        <v>0</v>
      </c>
      <c r="K499" s="117">
        <f t="shared" si="149"/>
        <v>0</v>
      </c>
      <c r="L499" s="186">
        <f t="shared" si="149"/>
        <v>-2629975.290000001</v>
      </c>
      <c r="M499" s="141">
        <f t="shared" si="149"/>
        <v>0</v>
      </c>
      <c r="N499" s="140">
        <f t="shared" si="149"/>
        <v>0</v>
      </c>
      <c r="O499" s="140">
        <f t="shared" si="149"/>
        <v>-2629975.290000001</v>
      </c>
      <c r="P499" s="140">
        <f t="shared" si="149"/>
        <v>0</v>
      </c>
      <c r="Q499" s="140">
        <f t="shared" si="149"/>
        <v>-2629975.290000001</v>
      </c>
    </row>
    <row r="500" spans="1:17" ht="15.75">
      <c r="A500" s="44" t="s">
        <v>257</v>
      </c>
      <c r="B500" s="96"/>
      <c r="C500" s="174">
        <f>SUM(C502:C505)</f>
        <v>-162173.7</v>
      </c>
      <c r="D500" s="123">
        <f aca="true" t="shared" si="150" ref="D500:Q500">SUM(D502:D505)</f>
        <v>2435095.41</v>
      </c>
      <c r="E500" s="247">
        <f t="shared" si="150"/>
        <v>61319.54</v>
      </c>
      <c r="F500" s="282">
        <f t="shared" si="150"/>
        <v>2334241.25</v>
      </c>
      <c r="G500" s="303">
        <f t="shared" si="150"/>
        <v>1484.8200000000002</v>
      </c>
      <c r="H500" s="335">
        <f t="shared" si="150"/>
        <v>20507.17</v>
      </c>
      <c r="I500" s="265">
        <f t="shared" si="150"/>
        <v>2356233.24</v>
      </c>
      <c r="J500" s="174">
        <f t="shared" si="150"/>
        <v>0</v>
      </c>
      <c r="K500" s="123">
        <f t="shared" si="150"/>
        <v>0</v>
      </c>
      <c r="L500" s="187">
        <f t="shared" si="150"/>
        <v>2356233.24</v>
      </c>
      <c r="M500" s="157">
        <f t="shared" si="150"/>
        <v>0</v>
      </c>
      <c r="N500" s="129">
        <f t="shared" si="150"/>
        <v>0</v>
      </c>
      <c r="O500" s="129">
        <f t="shared" si="150"/>
        <v>2356233.24</v>
      </c>
      <c r="P500" s="129">
        <f t="shared" si="150"/>
        <v>0</v>
      </c>
      <c r="Q500" s="129">
        <f t="shared" si="150"/>
        <v>2356233.24</v>
      </c>
    </row>
    <row r="501" spans="1:17" ht="12.75" customHeight="1">
      <c r="A501" s="46" t="s">
        <v>27</v>
      </c>
      <c r="B501" s="99"/>
      <c r="C501" s="175"/>
      <c r="D501" s="124"/>
      <c r="E501" s="271"/>
      <c r="F501" s="283"/>
      <c r="G501" s="304"/>
      <c r="H501" s="336"/>
      <c r="I501" s="266"/>
      <c r="J501" s="200"/>
      <c r="K501" s="11"/>
      <c r="L501" s="188"/>
      <c r="M501" s="216"/>
      <c r="N501" s="11"/>
      <c r="O501" s="54"/>
      <c r="P501" s="72"/>
      <c r="Q501" s="70"/>
    </row>
    <row r="502" spans="1:17" ht="15" hidden="1">
      <c r="A502" s="46" t="s">
        <v>143</v>
      </c>
      <c r="B502" s="99"/>
      <c r="C502" s="176"/>
      <c r="D502" s="148"/>
      <c r="E502" s="272"/>
      <c r="F502" s="284">
        <f>SUM(C502:E502)</f>
        <v>0</v>
      </c>
      <c r="G502" s="305"/>
      <c r="H502" s="337"/>
      <c r="I502" s="313">
        <f>SUM(F502:H502)</f>
        <v>0</v>
      </c>
      <c r="J502" s="201"/>
      <c r="K502" s="12"/>
      <c r="L502" s="188">
        <f>SUM(I502:K502)</f>
        <v>0</v>
      </c>
      <c r="M502" s="217"/>
      <c r="N502" s="12"/>
      <c r="O502" s="54">
        <f>SUM(L502:N502)</f>
        <v>0</v>
      </c>
      <c r="P502" s="72"/>
      <c r="Q502" s="70">
        <f t="shared" si="137"/>
        <v>0</v>
      </c>
    </row>
    <row r="503" spans="1:17" ht="15">
      <c r="A503" s="47" t="s">
        <v>151</v>
      </c>
      <c r="B503" s="99"/>
      <c r="C503" s="176">
        <v>-162173.7</v>
      </c>
      <c r="D503" s="148"/>
      <c r="E503" s="272"/>
      <c r="F503" s="284">
        <f>SUM(C503:E503)</f>
        <v>-162173.7</v>
      </c>
      <c r="G503" s="305"/>
      <c r="H503" s="337"/>
      <c r="I503" s="313">
        <f>SUM(F503:H503)</f>
        <v>-162173.7</v>
      </c>
      <c r="J503" s="201"/>
      <c r="K503" s="12"/>
      <c r="L503" s="188">
        <f>SUM(I503:K503)</f>
        <v>-162173.7</v>
      </c>
      <c r="M503" s="217"/>
      <c r="N503" s="12"/>
      <c r="O503" s="54">
        <f>SUM(L503:N503)</f>
        <v>-162173.7</v>
      </c>
      <c r="P503" s="72"/>
      <c r="Q503" s="70">
        <f t="shared" si="137"/>
        <v>-162173.7</v>
      </c>
    </row>
    <row r="504" spans="1:17" ht="15.75" thickBot="1">
      <c r="A504" s="47" t="s">
        <v>144</v>
      </c>
      <c r="B504" s="99"/>
      <c r="C504" s="176"/>
      <c r="D504" s="148">
        <f>7643.45+12546.26+20155.5+1200+25000+37641.68+374655.72+1098941.75+5000+748.61+32.5+500+4400+18957.44+3802.86+1285.67+4925.8+10196.03+2236+2311.1+13.32+134430.47+1452.22+315.76+36714.98+400+9223.46+178862.17+24692.41+1857.7+346.05+14435.28+3548.57+27404.54+35420.36+326517.4+7280.35</f>
        <v>2435095.41</v>
      </c>
      <c r="E504" s="272">
        <v>61319.54</v>
      </c>
      <c r="F504" s="284">
        <f>SUM(C504:E504)</f>
        <v>2496414.95</v>
      </c>
      <c r="G504" s="176">
        <f>1390.13+3+91.69</f>
        <v>1484.8200000000002</v>
      </c>
      <c r="H504" s="339">
        <f>20507.17-2467.22</f>
        <v>18039.949999999997</v>
      </c>
      <c r="I504" s="313">
        <f>SUM(F504:H504)</f>
        <v>2515939.72</v>
      </c>
      <c r="J504" s="202"/>
      <c r="K504" s="13"/>
      <c r="L504" s="189">
        <f>SUM(I504:K504)</f>
        <v>2515939.72</v>
      </c>
      <c r="M504" s="224"/>
      <c r="N504" s="13"/>
      <c r="O504" s="56">
        <f>SUM(L504:N504)</f>
        <v>2515939.72</v>
      </c>
      <c r="P504" s="74"/>
      <c r="Q504" s="71">
        <f t="shared" si="137"/>
        <v>2515939.72</v>
      </c>
    </row>
    <row r="505" spans="1:17" ht="15.75" thickBot="1">
      <c r="A505" s="59" t="s">
        <v>164</v>
      </c>
      <c r="B505" s="100"/>
      <c r="C505" s="178"/>
      <c r="D505" s="149" t="s">
        <v>224</v>
      </c>
      <c r="E505" s="273"/>
      <c r="F505" s="285">
        <f>SUM(C505:E505)</f>
        <v>0</v>
      </c>
      <c r="G505" s="306"/>
      <c r="H505" s="340">
        <v>2467.22</v>
      </c>
      <c r="I505" s="311">
        <f>SUM(F505:H505)</f>
        <v>2467.22</v>
      </c>
      <c r="J505" s="202">
        <v>0</v>
      </c>
      <c r="K505" s="13">
        <v>0</v>
      </c>
      <c r="L505" s="189">
        <f>SUM(I505:K505)</f>
        <v>2467.22</v>
      </c>
      <c r="M505" s="58"/>
      <c r="N505" s="13"/>
      <c r="O505" s="56">
        <f>SUM(L505:N505)</f>
        <v>2467.22</v>
      </c>
      <c r="P505" s="74"/>
      <c r="Q505" s="71">
        <f t="shared" si="137"/>
        <v>2467.22</v>
      </c>
    </row>
    <row r="506" spans="2:17" ht="12.75">
      <c r="B506" s="101"/>
      <c r="C506" s="116">
        <f aca="true" t="shared" si="151" ref="C506:Q506">C89+C500-C495</f>
        <v>0</v>
      </c>
      <c r="D506" s="116">
        <f t="shared" si="151"/>
        <v>0</v>
      </c>
      <c r="E506" s="116">
        <f t="shared" si="151"/>
        <v>0</v>
      </c>
      <c r="F506" s="116">
        <f t="shared" si="151"/>
        <v>0</v>
      </c>
      <c r="G506" s="139">
        <f t="shared" si="151"/>
        <v>0</v>
      </c>
      <c r="H506" s="139">
        <f t="shared" si="151"/>
        <v>0</v>
      </c>
      <c r="I506" s="139">
        <f t="shared" si="151"/>
        <v>0</v>
      </c>
      <c r="J506" s="57">
        <f t="shared" si="151"/>
        <v>0</v>
      </c>
      <c r="K506" s="57">
        <f t="shared" si="151"/>
        <v>0</v>
      </c>
      <c r="L506" s="57">
        <f t="shared" si="151"/>
        <v>-273742.05000000075</v>
      </c>
      <c r="M506" s="57">
        <f t="shared" si="151"/>
        <v>0</v>
      </c>
      <c r="N506" s="57">
        <f t="shared" si="151"/>
        <v>0</v>
      </c>
      <c r="O506" s="57">
        <f t="shared" si="151"/>
        <v>-273742.05000000075</v>
      </c>
      <c r="P506" s="57">
        <f t="shared" si="151"/>
        <v>0</v>
      </c>
      <c r="Q506" s="57">
        <f t="shared" si="151"/>
        <v>-273742.05000000075</v>
      </c>
    </row>
    <row r="507" spans="2:16" ht="12.75">
      <c r="B507" s="101"/>
      <c r="P507" s="57"/>
    </row>
    <row r="508" spans="2:16" ht="12.75">
      <c r="B508" s="101"/>
      <c r="D508" s="139"/>
      <c r="P508" s="57"/>
    </row>
    <row r="509" spans="2:16" ht="12.75">
      <c r="B509" s="101"/>
      <c r="P509" s="57"/>
    </row>
    <row r="510" spans="2:16" ht="12.75">
      <c r="B510" s="101"/>
      <c r="P510" s="57"/>
    </row>
    <row r="511" spans="2:16" ht="12.75">
      <c r="B511" s="101"/>
      <c r="P511" s="57"/>
    </row>
    <row r="512" spans="2:16" ht="12.75">
      <c r="B512" s="101"/>
      <c r="P512" s="57"/>
    </row>
    <row r="513" spans="2:16" ht="12.75">
      <c r="B513" s="101"/>
      <c r="P513" s="57"/>
    </row>
    <row r="514" spans="2:16" ht="12.75">
      <c r="B514" s="101"/>
      <c r="P514" s="57"/>
    </row>
    <row r="515" spans="2:16" ht="12.75">
      <c r="B515" s="101"/>
      <c r="P515" s="57"/>
    </row>
    <row r="516" spans="2:16" ht="12.75">
      <c r="B516" s="101"/>
      <c r="P516" s="57"/>
    </row>
    <row r="517" spans="2:16" ht="12.75">
      <c r="B517" s="101"/>
      <c r="P517" s="57"/>
    </row>
    <row r="518" spans="2:16" ht="12.75">
      <c r="B518" s="101"/>
      <c r="P518" s="57"/>
    </row>
    <row r="519" spans="2:16" ht="12.75">
      <c r="B519" s="101"/>
      <c r="P519" s="57"/>
    </row>
    <row r="520" spans="2:16" ht="12.75">
      <c r="B520" s="101"/>
      <c r="P520" s="57"/>
    </row>
    <row r="521" spans="2:16" ht="12.75">
      <c r="B521" s="101"/>
      <c r="P521" s="57"/>
    </row>
    <row r="522" spans="2:16" ht="12.75">
      <c r="B522" s="101"/>
      <c r="P522" s="57"/>
    </row>
    <row r="523" spans="2:16" ht="12.75">
      <c r="B523" s="101"/>
      <c r="P523" s="57"/>
    </row>
    <row r="524" spans="2:16" ht="12.75">
      <c r="B524" s="101"/>
      <c r="P524" s="57"/>
    </row>
    <row r="525" spans="2:16" ht="12.75">
      <c r="B525" s="101"/>
      <c r="P525" s="57"/>
    </row>
    <row r="526" ht="12.75">
      <c r="P526" s="57"/>
    </row>
    <row r="527" ht="12.75">
      <c r="P527" s="57"/>
    </row>
    <row r="528" ht="12.75">
      <c r="P528" s="57"/>
    </row>
    <row r="529" ht="12.75">
      <c r="P529" s="57"/>
    </row>
    <row r="530" ht="12.75">
      <c r="P530" s="57"/>
    </row>
    <row r="531" ht="12.75">
      <c r="P531" s="57"/>
    </row>
    <row r="532" ht="12.75">
      <c r="P532" s="57"/>
    </row>
    <row r="533" ht="12.75">
      <c r="P533" s="57"/>
    </row>
    <row r="534" ht="12.75">
      <c r="P534" s="57"/>
    </row>
    <row r="535" ht="12.75">
      <c r="P535" s="57"/>
    </row>
    <row r="536" ht="12.75">
      <c r="P536" s="57"/>
    </row>
    <row r="537" ht="12.75">
      <c r="P537" s="57"/>
    </row>
    <row r="538" ht="12.75">
      <c r="P538" s="57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5748031496062992" right="0.15748031496062992" top="0.7480314960629921" bottom="0.7086614173228347" header="0.31496062992125984" footer="0.35433070866141736"/>
  <pageSetup horizontalDpi="600" verticalDpi="600" orientation="portrait" paperSize="9" scale="85" r:id="rId1"/>
  <headerFooter alignWithMargins="0">
    <oddFooter>&amp;CStránka &amp;P</oddFooter>
  </headerFooter>
  <rowBreaks count="5" manualBreakCount="5">
    <brk id="96" max="8" man="1"/>
    <brk id="175" max="8" man="1"/>
    <brk id="263" max="8" man="1"/>
    <brk id="351" max="8" man="1"/>
    <brk id="4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2018-06-26T07:59:18Z</cp:lastPrinted>
  <dcterms:created xsi:type="dcterms:W3CDTF">2009-01-05T12:05:07Z</dcterms:created>
  <dcterms:modified xsi:type="dcterms:W3CDTF">2018-06-26T07:59:56Z</dcterms:modified>
  <cp:category/>
  <cp:version/>
  <cp:contentType/>
  <cp:contentStatus/>
</cp:coreProperties>
</file>