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1"/>
  </bookViews>
  <sheets>
    <sheet name="2.ZR" sheetId="1" r:id="rId1"/>
    <sheet name="2.ZR vč. PN" sheetId="2" r:id="rId2"/>
    <sheet name="List3" sheetId="3" r:id="rId3"/>
  </sheets>
  <definedNames>
    <definedName name="_xlnm.Print_Titles" localSheetId="0">'2.ZR'!$4:$6</definedName>
    <definedName name="_xlnm.Print_Titles" localSheetId="1">'2.ZR vč. PN'!$4:$6</definedName>
    <definedName name="_xlnm.Print_Area" localSheetId="0">'2.ZR'!$A$1:$Y$145</definedName>
    <definedName name="_xlnm.Print_Area" localSheetId="1">'2.ZR vč. PN'!$A$1:$Y$145</definedName>
  </definedNames>
  <calcPr fullCalcOnLoad="1"/>
</workbook>
</file>

<file path=xl/sharedStrings.xml><?xml version="1.0" encoding="utf-8"?>
<sst xmlns="http://schemas.openxmlformats.org/spreadsheetml/2006/main" count="620" uniqueCount="208">
  <si>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</si>
  <si>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</si>
  <si>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</si>
  <si>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</si>
  <si>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</si>
  <si>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</si>
  <si>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</si>
  <si>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</si>
  <si>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</si>
  <si>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</si>
  <si>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</si>
  <si>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</si>
  <si>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</si>
  <si>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</si>
  <si>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</si>
  <si>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</si>
  <si>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</si>
  <si>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</si>
  <si>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</si>
  <si>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</si>
  <si>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</si>
  <si>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</si>
  <si>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</si>
  <si>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</si>
  <si>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</si>
  <si>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</si>
  <si>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</si>
  <si>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</si>
  <si>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</si>
  <si>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</si>
  <si>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</si>
  <si>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</si>
  <si>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</si>
  <si>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</si>
  <si>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</si>
  <si>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</si>
  <si>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</si>
  <si>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</si>
  <si>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</si>
  <si>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</si>
  <si>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</si>
  <si>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</si>
  <si>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</si>
  <si>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</si>
  <si>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</si>
  <si>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</si>
  <si>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</si>
  <si>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</si>
  <si>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</si>
  <si>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</si>
  <si>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</si>
  <si>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</si>
  <si>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</si>
  <si>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</si>
  <si>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</si>
  <si>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</si>
  <si>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</si>
  <si>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</si>
  <si>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</si>
  <si>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</si>
  <si>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</si>
  <si>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</si>
  <si>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</si>
  <si>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</si>
  <si>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</si>
  <si>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</si>
  <si>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</si>
  <si>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</si>
  <si>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</si>
  <si>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</si>
  <si>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</si>
  <si>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</si>
  <si>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</si>
  <si>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</si>
  <si>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</si>
  <si>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</si>
  <si>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</si>
  <si>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</si>
  <si>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</si>
  <si>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</si>
  <si>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</si>
  <si>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</si>
  <si>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</si>
  <si>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</si>
  <si>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</si>
  <si>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</si>
  <si>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</si>
  <si>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</si>
  <si>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</si>
  <si>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</si>
  <si>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</si>
  <si>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</si>
  <si>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</si>
  <si>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</si>
  <si>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</si>
  <si>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ZR pol. 6351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</si>
  <si>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</si>
  <si>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</si>
  <si>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</si>
  <si>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</si>
  <si>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</si>
  <si>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</si>
  <si>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</si>
  <si>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</si>
  <si>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</si>
  <si>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</si>
  <si>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</si>
  <si>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</si>
  <si>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</si>
  <si>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</si>
  <si>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</si>
  <si>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</si>
  <si>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</si>
  <si>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Dolní zámek Teplice n. Met.</t>
  </si>
  <si>
    <t>ZŠ praktická, Jaroměř, Komenského 392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</si>
  <si>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</si>
  <si>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</si>
  <si>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</si>
  <si>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</si>
  <si>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</si>
  <si>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</si>
  <si>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</si>
  <si>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Po 1. změně rozpočtu pol. 5331, 5336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</si>
  <si>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</si>
  <si>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</si>
  <si>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</si>
  <si>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</si>
  <si>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</si>
  <si>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</si>
  <si>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</si>
  <si>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</si>
  <si>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</si>
  <si>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</si>
  <si>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</si>
  <si>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</si>
  <si>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</si>
  <si>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</si>
  <si>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</si>
  <si>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</si>
  <si>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</si>
  <si>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</si>
  <si>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</si>
  <si>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</si>
  <si>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</si>
  <si>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</si>
  <si>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</si>
  <si>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</si>
  <si>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Dětský domov, ZŠ a ŠJ,Dolní Lánov 240        </t>
  </si>
  <si>
    <t>MŠ, ZŠ a Praktická škola,Trutnov,Horská 160</t>
  </si>
  <si>
    <t>Správa silnic KHK</t>
  </si>
  <si>
    <t xml:space="preserve">Muzeum a galerie Orlických hor v RK   </t>
  </si>
  <si>
    <t>Domov U Biřičky</t>
  </si>
  <si>
    <t xml:space="preserve">Střední škola zahradnická,Kopidlno,Hilmarovo náměstí 1  </t>
  </si>
  <si>
    <t>Gymnázium, SOŠ, SOU a VOŠ, Hořice,Riegrova 1403</t>
  </si>
  <si>
    <t>Odvody PO z Fondu investic</t>
  </si>
  <si>
    <t xml:space="preserve">SPŠ elektrotechniky a inf.technologií,Dobruška,Čs.odboje 670  </t>
  </si>
  <si>
    <t xml:space="preserve">SPŠ kamenická a sochařská,Hořice,Husova 675 </t>
  </si>
  <si>
    <t xml:space="preserve">Dětský domov, ZŠ a ŠJ,Dolní Lánov 240  </t>
  </si>
  <si>
    <t>Pedagogicko-psychologická poradna KHK, HK, Na Okrouhlíku 1371</t>
  </si>
  <si>
    <t>Základní škola a Praktická škola, Jičín</t>
  </si>
  <si>
    <t>Gymnázium Jaroslava žáka, Jaroměř</t>
  </si>
  <si>
    <t xml:space="preserve">SŠ propagační tvorby a polygrafie,Velké Poříčí,Náchodská 285    </t>
  </si>
  <si>
    <t xml:space="preserve">SŠ potravinářská,Smiřice,Gen.Govorova 110    </t>
  </si>
  <si>
    <t>Škol.zař.pro další vzd.ped.prac.KHK, HK   (1843 tis.z kap.9)</t>
  </si>
  <si>
    <t xml:space="preserve">Jiráskovo gymnázium,Náchod,Řezníčkova 451       </t>
  </si>
  <si>
    <t>Závazné ukazatele rozpočtu příspěvkových organizací na rok 2017 z vlastních prostředků kraje</t>
  </si>
  <si>
    <t xml:space="preserve">SPŠ stavební, HK,Pospíšilova tř.787     </t>
  </si>
  <si>
    <t xml:space="preserve">Domov mládeže,internát a ŠJ, HK,  Vocelova 1469/5 </t>
  </si>
  <si>
    <t xml:space="preserve">SŠ a ZŠ, Nové Město n.Met., Husovo nám.1218     </t>
  </si>
  <si>
    <t xml:space="preserve">SPŠ,Hronov,Hostovského 910     </t>
  </si>
  <si>
    <t xml:space="preserve">SOŠ a SOU,Trutnov,Volanovská 243   </t>
  </si>
  <si>
    <t xml:space="preserve">SŠ řemeslná,Jaroměř,Studničkova 260      </t>
  </si>
  <si>
    <t xml:space="preserve">VOŠ a SPŠ, RK, U stadionu 1166  </t>
  </si>
  <si>
    <t xml:space="preserve">SŠ profesní přípravy, 17.listopadu 1212     </t>
  </si>
  <si>
    <t xml:space="preserve">VOŠ, SŠ, ZŠ a MŠ,HK,Štefánikova 549 </t>
  </si>
  <si>
    <t>Dětský domov,ZŠ speciální a PrŠ,Jaroměř,Palackého 142</t>
  </si>
  <si>
    <t xml:space="preserve">SŠ řemesel a ZŠ, Hořice,Havlíčkova 54   </t>
  </si>
  <si>
    <t>Střední škola a ZŠ Sluneční, Hostinné, Mládežnická 329</t>
  </si>
  <si>
    <t>MŠ,Trutnov,Na Struze 124</t>
  </si>
  <si>
    <t xml:space="preserve">Impuls HK, centrum podpory umělec.aktivit      </t>
  </si>
  <si>
    <t>Po 2. změně rozpočtu pol. 5331, 5336</t>
  </si>
  <si>
    <t>Po 2. změně rozpočtu pol. 2122</t>
  </si>
  <si>
    <t>Po 2. zm.rozp. neinv. transfery
pol. 5331</t>
  </si>
  <si>
    <t>Po 2.zm. rozpočtu inv.transf. pol. 6351</t>
  </si>
  <si>
    <t>Po 2. změně rozpočtu pol. 6351</t>
  </si>
  <si>
    <t>Gymnázium J.K.Tyla,HK,Tylovo nábřeží 682   (BV 16tis.z kap.9)</t>
  </si>
  <si>
    <t>Gymnázium, Nový Bydžov, Komenského 77     (BV 13tis.z kap.9)</t>
  </si>
  <si>
    <t>VOŠ a SOŠ, Nový Bydžov,J. Maláta 1869  (BV 12tis.z kap.9)</t>
  </si>
  <si>
    <t>OA, SOŠ a JŠ s právem st.jaz.zk., HK    (BV 23,2tis.z kap.9)</t>
  </si>
  <si>
    <t>SŠ profesní přípravy, 17.listopadu 1212      (BV 8,4tis.z kap.9)</t>
  </si>
  <si>
    <t>MŠ, Speciální ZŠ a Praktická škola, HK        (BV 19,5tis.z kap.9)</t>
  </si>
  <si>
    <t>Obchodní akademie,Náchod,Denisovo nábřeží 673    (BV 21tis.z kap.9)</t>
  </si>
  <si>
    <t>VOŠ st.a SPŠ stavební arch.Jana Letzela,Náchod,Pražská 931  (BV 4,9tis.z kap.9)</t>
  </si>
  <si>
    <t>ZŠ a MŠ Josefa  Zemana,Náchod,Jiráskova 461      (BV 3tis.z kap.9)</t>
  </si>
  <si>
    <t>SŠ zem.a eko.a SOU chlad.a klim.tech., Kostelec n.Orlicí  (BV 3tis.z kap.9)</t>
  </si>
  <si>
    <t>Základní škola,Dobruška,Opočenská 115      (BV 3tis.z kap.9)</t>
  </si>
  <si>
    <t>ZŠ,Kostelec nad Orlicí, Komenského 515    (BV 4,6tis.z kap.9)</t>
  </si>
  <si>
    <t>Gymnázium a SOŠ pedagogická,Nová Paka,Kumburská 740   (BV 26tis.z kap.9)</t>
  </si>
  <si>
    <t>VOŠ a SPŠ,Jičín,Pod Koželuhy 100   (kofi 400tis.KV z kap.21)</t>
  </si>
  <si>
    <t>VOŠ zdravotnická a SZŠ,Trutnov,Procházkova 303    (217tis.BV z kap.15)</t>
  </si>
  <si>
    <t>SPŠ,Trutnov,Školní 101         (BV 50,7tis.z kap.9)</t>
  </si>
  <si>
    <t>Speciální základní škola A.Bartoše,Úpice,Nábřeží pplk.A.Bunzla 660   (BV 8,7tis.z kap.9)</t>
  </si>
  <si>
    <t>SŠ technická a řemeslná,NB, Dr.M.Tyrše 112  (kofi 379,25tis.KV z kap.21)</t>
  </si>
  <si>
    <t>v tom:  (2060 tis.BV z kap.9; 217tis.BV z kap.15; 911,55tis.KV z kap.21)</t>
  </si>
  <si>
    <t>Zdravotnická záchranná služba KHK     dar R 60tis.Kč</t>
  </si>
  <si>
    <t>CIRI  Hradec Králové  (v 1.sl. 52363,19tis.kofi BV z kap.21; 3500tis.BV z kap.39;  kofi BV 1576,65tis.z kap.13; v 6.sl. 1000tis.kofi KV z kap.21)   340tis.z kap.2; změna BV na KV 200tis.z kap. 39; kofi BV 1972tis.z kap.21</t>
  </si>
  <si>
    <t xml:space="preserve">Domov bez bariér Hořice v Podkrkonoší  </t>
  </si>
  <si>
    <t xml:space="preserve">Domov sociálních služeb Chotělice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</si>
</sst>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10" fillId="0" borderId="12" xfId="38" applyFont="1" applyBorder="1" applyAlignment="1">
      <alignment/>
    </xf>
    <xf numFmtId="4" fontId="11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4" fontId="10" fillId="0" borderId="12" xfId="38" applyFont="1" applyBorder="1" applyAlignment="1">
      <alignment wrapText="1"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 wrapText="1"/>
    </xf>
    <xf numFmtId="4" fontId="0" fillId="0" borderId="0" xfId="38" applyNumberFormat="1" applyBorder="1" applyAlignment="1">
      <alignment/>
    </xf>
    <xf numFmtId="4" fontId="0" fillId="0" borderId="0" xfId="38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0" fillId="0" borderId="16" xfId="38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hidden="1" customWidth="1"/>
    <col min="7" max="7" width="9.28125" style="0" bestFit="1" customWidth="1"/>
    <col min="8" max="8" width="10.140625" style="0" bestFit="1" customWidth="1"/>
    <col min="9" max="9" width="10.140625" style="0" customWidth="1"/>
    <col min="10" max="10" width="9.28125" style="0" customWidth="1"/>
    <col min="11" max="11" width="9.8515625" style="0" customWidth="1"/>
    <col min="12" max="12" width="10.421875" style="0" customWidth="1"/>
    <col min="13" max="13" width="8.140625" style="0" customWidth="1"/>
    <col min="14" max="14" width="9.28125" style="0" bestFit="1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281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84" t="s">
        <v>165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6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5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86" t="s">
        <v>18</v>
      </c>
      <c r="B4" s="88" t="s">
        <v>41</v>
      </c>
      <c r="C4" s="89" t="s">
        <v>0</v>
      </c>
      <c r="D4" s="91" t="s">
        <v>74</v>
      </c>
      <c r="E4" s="92"/>
      <c r="F4" s="92"/>
      <c r="G4" s="92"/>
      <c r="H4" s="93"/>
      <c r="I4" s="91" t="s">
        <v>81</v>
      </c>
      <c r="J4" s="92"/>
      <c r="K4" s="93"/>
      <c r="L4" s="94" t="s">
        <v>154</v>
      </c>
      <c r="M4" s="95"/>
      <c r="N4" s="96"/>
      <c r="O4" s="86" t="s">
        <v>18</v>
      </c>
      <c r="P4" s="88" t="s">
        <v>41</v>
      </c>
      <c r="Q4" s="89" t="s">
        <v>0</v>
      </c>
      <c r="R4" s="94" t="s">
        <v>110</v>
      </c>
      <c r="S4" s="92"/>
      <c r="T4" s="92"/>
      <c r="U4" s="92"/>
      <c r="V4" s="92"/>
      <c r="W4" s="92"/>
      <c r="X4" s="92"/>
      <c r="Y4" s="93"/>
    </row>
    <row r="5" spans="1:25" ht="75.75" customHeight="1" thickBot="1">
      <c r="A5" s="87"/>
      <c r="B5" s="87"/>
      <c r="C5" s="90"/>
      <c r="D5" s="17" t="s">
        <v>122</v>
      </c>
      <c r="E5" s="17" t="s">
        <v>77</v>
      </c>
      <c r="F5" s="17" t="s">
        <v>80</v>
      </c>
      <c r="G5" s="18" t="s">
        <v>75</v>
      </c>
      <c r="H5" s="17" t="s">
        <v>180</v>
      </c>
      <c r="I5" s="19" t="s">
        <v>95</v>
      </c>
      <c r="J5" s="19" t="s">
        <v>82</v>
      </c>
      <c r="K5" s="19" t="s">
        <v>184</v>
      </c>
      <c r="L5" s="20" t="s">
        <v>96</v>
      </c>
      <c r="M5" s="17" t="s">
        <v>77</v>
      </c>
      <c r="N5" s="20" t="s">
        <v>181</v>
      </c>
      <c r="O5" s="97"/>
      <c r="P5" s="98"/>
      <c r="Q5" s="99"/>
      <c r="R5" s="28" t="s">
        <v>111</v>
      </c>
      <c r="S5" s="28" t="s">
        <v>76</v>
      </c>
      <c r="T5" s="28" t="s">
        <v>80</v>
      </c>
      <c r="U5" s="28" t="s">
        <v>182</v>
      </c>
      <c r="V5" s="28" t="s">
        <v>97</v>
      </c>
      <c r="W5" s="28" t="s">
        <v>76</v>
      </c>
      <c r="X5" s="28" t="s">
        <v>80</v>
      </c>
      <c r="Y5" s="28" t="s">
        <v>183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0</v>
      </c>
      <c r="F7" s="44">
        <f t="shared" si="0"/>
        <v>0</v>
      </c>
      <c r="G7" s="44">
        <f t="shared" si="0"/>
        <v>0</v>
      </c>
      <c r="H7" s="44">
        <f t="shared" si="0"/>
        <v>20876.5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0</v>
      </c>
      <c r="N7" s="44">
        <f t="shared" si="0"/>
        <v>354.5</v>
      </c>
      <c r="O7" s="63"/>
      <c r="P7" s="64"/>
      <c r="Q7" s="44" t="s">
        <v>105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149</v>
      </c>
      <c r="D9" s="46">
        <v>20876.5</v>
      </c>
      <c r="E9" s="46"/>
      <c r="F9" s="47"/>
      <c r="G9" s="46"/>
      <c r="H9" s="46">
        <f>D9+E9+F9+G9</f>
        <v>20876.5</v>
      </c>
      <c r="I9" s="46">
        <v>10000</v>
      </c>
      <c r="J9" s="46"/>
      <c r="K9" s="46">
        <f>I9+J9</f>
        <v>10000</v>
      </c>
      <c r="L9" s="46">
        <v>354.5</v>
      </c>
      <c r="M9" s="46"/>
      <c r="N9" s="46">
        <f>L9+M9</f>
        <v>354.5</v>
      </c>
      <c r="O9" s="65">
        <v>2212</v>
      </c>
      <c r="P9" s="66">
        <v>901</v>
      </c>
      <c r="Q9" s="49" t="s">
        <v>149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133</v>
      </c>
      <c r="D10" s="44">
        <f>D12</f>
        <v>67339.84</v>
      </c>
      <c r="E10" s="44">
        <f aca="true" t="shared" si="2" ref="E10:N10">E12</f>
        <v>1972</v>
      </c>
      <c r="F10" s="44">
        <f t="shared" si="2"/>
        <v>0</v>
      </c>
      <c r="G10" s="44">
        <f t="shared" si="2"/>
        <v>140</v>
      </c>
      <c r="H10" s="44">
        <f t="shared" si="2"/>
        <v>69451.84</v>
      </c>
      <c r="I10" s="44">
        <f t="shared" si="2"/>
        <v>1000</v>
      </c>
      <c r="J10" s="44">
        <f t="shared" si="2"/>
        <v>200</v>
      </c>
      <c r="K10" s="44">
        <f t="shared" si="2"/>
        <v>1200</v>
      </c>
      <c r="L10" s="44">
        <f t="shared" si="2"/>
        <v>350</v>
      </c>
      <c r="M10" s="44">
        <f t="shared" si="2"/>
        <v>0</v>
      </c>
      <c r="N10" s="44">
        <f t="shared" si="2"/>
        <v>350</v>
      </c>
      <c r="O10" s="65"/>
      <c r="P10" s="64"/>
      <c r="Q10" s="52"/>
      <c r="R10" s="51"/>
      <c r="S10" s="51"/>
      <c r="T10" s="51"/>
      <c r="U10" s="51"/>
      <c r="V10" s="51"/>
      <c r="W10" s="51"/>
      <c r="X10" s="51"/>
      <c r="Y10" s="51"/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38.25" customHeight="1">
      <c r="A12" s="36">
        <v>3639</v>
      </c>
      <c r="B12" s="4">
        <v>902</v>
      </c>
      <c r="C12" s="39" t="s">
        <v>205</v>
      </c>
      <c r="D12" s="57">
        <v>67339.84</v>
      </c>
      <c r="E12" s="50">
        <f>1972</f>
        <v>1972</v>
      </c>
      <c r="F12" s="46"/>
      <c r="G12" s="46">
        <f>340-200</f>
        <v>140</v>
      </c>
      <c r="H12" s="46">
        <f>D12+E12+F12+G12</f>
        <v>69451.84</v>
      </c>
      <c r="I12" s="46">
        <v>1000</v>
      </c>
      <c r="J12" s="46">
        <f>200</f>
        <v>200</v>
      </c>
      <c r="K12" s="46">
        <f>I12+J12</f>
        <v>1200</v>
      </c>
      <c r="L12" s="46">
        <v>350</v>
      </c>
      <c r="M12" s="46"/>
      <c r="N12" s="46">
        <f>L12+M12</f>
        <v>350</v>
      </c>
      <c r="O12" s="65"/>
      <c r="P12" s="64">
        <v>902</v>
      </c>
      <c r="Q12" s="52"/>
      <c r="R12" s="51"/>
      <c r="S12" s="51"/>
      <c r="T12" s="51"/>
      <c r="U12" s="51"/>
      <c r="V12" s="51"/>
      <c r="W12" s="51"/>
      <c r="X12" s="51"/>
      <c r="Y12" s="51"/>
    </row>
    <row r="13" spans="1:25" ht="12.75">
      <c r="A13" s="36"/>
      <c r="B13" s="2"/>
      <c r="C13" s="9" t="s">
        <v>24</v>
      </c>
      <c r="D13" s="53">
        <f>SUM(D15:D19)</f>
        <v>223604</v>
      </c>
      <c r="E13" s="53">
        <f aca="true" t="shared" si="3" ref="E13:N13">SUM(E15:E19)</f>
        <v>250</v>
      </c>
      <c r="F13" s="53">
        <f t="shared" si="3"/>
        <v>0</v>
      </c>
      <c r="G13" s="53">
        <f t="shared" si="3"/>
        <v>60</v>
      </c>
      <c r="H13" s="53">
        <f t="shared" si="3"/>
        <v>223914</v>
      </c>
      <c r="I13" s="53">
        <f t="shared" si="3"/>
        <v>0</v>
      </c>
      <c r="J13" s="53">
        <f t="shared" si="3"/>
        <v>0</v>
      </c>
      <c r="K13" s="53">
        <f t="shared" si="3"/>
        <v>0</v>
      </c>
      <c r="L13" s="53">
        <f t="shared" si="3"/>
        <v>23967</v>
      </c>
      <c r="M13" s="53">
        <f t="shared" si="3"/>
        <v>0</v>
      </c>
      <c r="N13" s="53">
        <f t="shared" si="3"/>
        <v>23967</v>
      </c>
      <c r="O13" s="65"/>
      <c r="P13" s="64"/>
      <c r="Q13" s="53" t="s">
        <v>106</v>
      </c>
      <c r="R13" s="53">
        <f aca="true" t="shared" si="4" ref="R13:Y13">SUM(R15:R19)</f>
        <v>5444.91</v>
      </c>
      <c r="S13" s="53">
        <f t="shared" si="4"/>
        <v>0</v>
      </c>
      <c r="T13" s="53">
        <f t="shared" si="4"/>
        <v>0</v>
      </c>
      <c r="U13" s="53">
        <f t="shared" si="4"/>
        <v>5444.91</v>
      </c>
      <c r="V13" s="53">
        <f t="shared" si="4"/>
        <v>30121.33</v>
      </c>
      <c r="W13" s="53">
        <f t="shared" si="4"/>
        <v>4000</v>
      </c>
      <c r="X13" s="53">
        <f t="shared" si="4"/>
        <v>0</v>
      </c>
      <c r="Y13" s="53">
        <f t="shared" si="4"/>
        <v>34121.33</v>
      </c>
    </row>
    <row r="14" spans="1:25" ht="12.75">
      <c r="A14" s="36"/>
      <c r="B14" s="4"/>
      <c r="C14" s="6" t="s">
        <v>48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123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17236.9</v>
      </c>
      <c r="W15" s="46">
        <f>4000</f>
        <v>4000</v>
      </c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/>
      <c r="F16" s="46"/>
      <c r="G16" s="46"/>
      <c r="H16" s="46">
        <f>D16+E16+F16+G16</f>
        <v>7500</v>
      </c>
      <c r="I16" s="55"/>
      <c r="J16" s="55"/>
      <c r="K16" s="55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204</v>
      </c>
      <c r="D18" s="46">
        <v>169485</v>
      </c>
      <c r="E18" s="46"/>
      <c r="F18" s="46"/>
      <c r="G18" s="46">
        <v>60</v>
      </c>
      <c r="H18" s="46">
        <f>D18+E18+F18+G18</f>
        <v>169545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5950</v>
      </c>
      <c r="E19" s="46">
        <v>250</v>
      </c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149934.5</v>
      </c>
      <c r="E20" s="44">
        <f aca="true" t="shared" si="5" ref="E20:N20">SUM(E22:E31)</f>
        <v>1698.1</v>
      </c>
      <c r="F20" s="44">
        <f t="shared" si="5"/>
        <v>0</v>
      </c>
      <c r="G20" s="44">
        <f t="shared" si="5"/>
        <v>0</v>
      </c>
      <c r="H20" s="44">
        <f t="shared" si="5"/>
        <v>151632.6</v>
      </c>
      <c r="I20" s="44">
        <f t="shared" si="5"/>
        <v>0</v>
      </c>
      <c r="J20" s="44">
        <f t="shared" si="5"/>
        <v>0</v>
      </c>
      <c r="K20" s="44">
        <f t="shared" si="5"/>
        <v>0</v>
      </c>
      <c r="L20" s="44">
        <f t="shared" si="5"/>
        <v>10090.9</v>
      </c>
      <c r="M20" s="45">
        <f t="shared" si="5"/>
        <v>228.1</v>
      </c>
      <c r="N20" s="44">
        <f t="shared" si="5"/>
        <v>10319</v>
      </c>
      <c r="O20" s="63"/>
      <c r="P20" s="64"/>
      <c r="Q20" s="44" t="s">
        <v>107</v>
      </c>
      <c r="R20" s="44">
        <f aca="true" t="shared" si="6" ref="R20:Y20">SUM(R22:R31)</f>
        <v>830</v>
      </c>
      <c r="S20" s="44">
        <f t="shared" si="6"/>
        <v>0</v>
      </c>
      <c r="T20" s="44">
        <f t="shared" si="6"/>
        <v>0</v>
      </c>
      <c r="U20" s="44">
        <f t="shared" si="6"/>
        <v>830</v>
      </c>
      <c r="V20" s="44">
        <f t="shared" si="6"/>
        <v>2778</v>
      </c>
      <c r="W20" s="44">
        <f t="shared" si="6"/>
        <v>0</v>
      </c>
      <c r="X20" s="44">
        <f t="shared" si="6"/>
        <v>0</v>
      </c>
      <c r="Y20" s="44">
        <f t="shared" si="6"/>
        <v>2778</v>
      </c>
    </row>
    <row r="21" spans="1:25" ht="12.75">
      <c r="A21" s="35"/>
      <c r="B21" s="2"/>
      <c r="C21" s="6" t="s">
        <v>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11878.06</v>
      </c>
      <c r="E22" s="46">
        <f>5+228.1+145</f>
        <v>378.1</v>
      </c>
      <c r="F22" s="46"/>
      <c r="G22" s="46"/>
      <c r="H22" s="46">
        <f>D22+E22+F22+G22</f>
        <v>12256.16</v>
      </c>
      <c r="I22" s="46"/>
      <c r="J22" s="46"/>
      <c r="K22" s="46">
        <f aca="true" t="shared" si="7" ref="K22:K31">I22+J22</f>
        <v>0</v>
      </c>
      <c r="L22" s="46">
        <v>736.6</v>
      </c>
      <c r="M22" s="46">
        <v>119.9</v>
      </c>
      <c r="N22" s="46">
        <f aca="true" t="shared" si="8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9" ref="U22:U31">SUM(R22:T22)</f>
        <v>0</v>
      </c>
      <c r="V22" s="46"/>
      <c r="W22" s="46"/>
      <c r="X22" s="46"/>
      <c r="Y22" s="46">
        <f aca="true" t="shared" si="10" ref="Y22:Y31">SUM(V22:X22)</f>
        <v>0</v>
      </c>
    </row>
    <row r="23" spans="1:25" ht="12.75">
      <c r="A23" s="36">
        <v>3315</v>
      </c>
      <c r="B23" s="4">
        <v>602</v>
      </c>
      <c r="C23" s="8" t="s">
        <v>93</v>
      </c>
      <c r="D23" s="46">
        <v>6043.36</v>
      </c>
      <c r="E23" s="46">
        <f>5+95</f>
        <v>100</v>
      </c>
      <c r="F23" s="46"/>
      <c r="G23" s="46"/>
      <c r="H23" s="46">
        <f aca="true" t="shared" si="11" ref="H23:H31">D23+E23+F23+G23</f>
        <v>6143.36</v>
      </c>
      <c r="I23" s="46"/>
      <c r="J23" s="46"/>
      <c r="K23" s="46">
        <f t="shared" si="7"/>
        <v>0</v>
      </c>
      <c r="L23" s="46">
        <v>200</v>
      </c>
      <c r="M23" s="46">
        <v>1.1</v>
      </c>
      <c r="N23" s="46">
        <f t="shared" si="8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9"/>
        <v>0</v>
      </c>
      <c r="V23" s="46">
        <v>50</v>
      </c>
      <c r="W23" s="46"/>
      <c r="X23" s="46"/>
      <c r="Y23" s="46">
        <f t="shared" si="10"/>
        <v>50</v>
      </c>
    </row>
    <row r="24" spans="1:25" ht="12.75">
      <c r="A24" s="36">
        <v>3315</v>
      </c>
      <c r="B24" s="4">
        <v>603</v>
      </c>
      <c r="C24" s="41" t="s">
        <v>124</v>
      </c>
      <c r="D24" s="46">
        <v>31175.48</v>
      </c>
      <c r="E24" s="46">
        <f>5+315</f>
        <v>320</v>
      </c>
      <c r="F24" s="46"/>
      <c r="G24" s="46"/>
      <c r="H24" s="46">
        <f t="shared" si="11"/>
        <v>31495.48</v>
      </c>
      <c r="I24" s="46"/>
      <c r="J24" s="46"/>
      <c r="K24" s="46">
        <f t="shared" si="7"/>
        <v>0</v>
      </c>
      <c r="L24" s="46">
        <v>788.4</v>
      </c>
      <c r="M24" s="46">
        <v>13.1</v>
      </c>
      <c r="N24" s="46">
        <f t="shared" si="8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9"/>
        <v>0</v>
      </c>
      <c r="V24" s="46"/>
      <c r="W24" s="46"/>
      <c r="X24" s="46"/>
      <c r="Y24" s="46">
        <f t="shared" si="10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52110.6</v>
      </c>
      <c r="E25" s="46">
        <v>5</v>
      </c>
      <c r="F25" s="46"/>
      <c r="G25" s="46"/>
      <c r="H25" s="46">
        <f t="shared" si="11"/>
        <v>52115.6</v>
      </c>
      <c r="I25" s="46"/>
      <c r="J25" s="46"/>
      <c r="K25" s="46">
        <f t="shared" si="7"/>
        <v>0</v>
      </c>
      <c r="L25" s="46">
        <v>5400</v>
      </c>
      <c r="M25" s="46"/>
      <c r="N25" s="46">
        <f t="shared" si="8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9"/>
        <v>650</v>
      </c>
      <c r="V25" s="46">
        <v>1120</v>
      </c>
      <c r="W25" s="46"/>
      <c r="X25" s="46"/>
      <c r="Y25" s="46">
        <f t="shared" si="10"/>
        <v>1120</v>
      </c>
    </row>
    <row r="26" spans="1:25" ht="12.75">
      <c r="A26" s="36">
        <v>3319</v>
      </c>
      <c r="B26" s="4">
        <v>605</v>
      </c>
      <c r="C26" s="8" t="s">
        <v>179</v>
      </c>
      <c r="D26" s="46">
        <v>4596.4</v>
      </c>
      <c r="E26" s="46">
        <f>5+35+300</f>
        <v>340</v>
      </c>
      <c r="F26" s="46"/>
      <c r="G26" s="46"/>
      <c r="H26" s="46">
        <f t="shared" si="11"/>
        <v>4936.4</v>
      </c>
      <c r="I26" s="46"/>
      <c r="J26" s="46"/>
      <c r="K26" s="46">
        <f t="shared" si="7"/>
        <v>0</v>
      </c>
      <c r="L26" s="46">
        <v>96</v>
      </c>
      <c r="M26" s="46">
        <v>-19.1</v>
      </c>
      <c r="N26" s="46">
        <f t="shared" si="8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9"/>
        <v>0</v>
      </c>
      <c r="V26" s="46">
        <v>200</v>
      </c>
      <c r="W26" s="46"/>
      <c r="X26" s="46"/>
      <c r="Y26" s="46">
        <f t="shared" si="10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10104.6</v>
      </c>
      <c r="E27" s="50"/>
      <c r="F27" s="46"/>
      <c r="G27" s="46"/>
      <c r="H27" s="46">
        <f t="shared" si="11"/>
        <v>10104.6</v>
      </c>
      <c r="I27" s="46"/>
      <c r="J27" s="46"/>
      <c r="K27" s="46">
        <f t="shared" si="7"/>
        <v>0</v>
      </c>
      <c r="L27" s="46">
        <v>153.3</v>
      </c>
      <c r="M27" s="46">
        <v>113</v>
      </c>
      <c r="N27" s="46">
        <f t="shared" si="8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9"/>
        <v>0</v>
      </c>
      <c r="V27" s="46"/>
      <c r="W27" s="46"/>
      <c r="X27" s="46"/>
      <c r="Y27" s="46">
        <f t="shared" si="10"/>
        <v>0</v>
      </c>
    </row>
    <row r="28" spans="1:25" ht="12.75">
      <c r="A28" s="36">
        <v>3319</v>
      </c>
      <c r="B28" s="4">
        <v>607</v>
      </c>
      <c r="C28" s="8" t="s">
        <v>117</v>
      </c>
      <c r="D28" s="46">
        <v>5310.7</v>
      </c>
      <c r="E28" s="50">
        <v>5</v>
      </c>
      <c r="F28" s="46"/>
      <c r="G28" s="46"/>
      <c r="H28" s="46">
        <f t="shared" si="11"/>
        <v>5315.7</v>
      </c>
      <c r="I28" s="46"/>
      <c r="J28" s="46"/>
      <c r="K28" s="46">
        <f t="shared" si="7"/>
        <v>0</v>
      </c>
      <c r="L28" s="46">
        <v>200.3</v>
      </c>
      <c r="M28" s="46"/>
      <c r="N28" s="46">
        <f t="shared" si="8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9"/>
        <v>0</v>
      </c>
      <c r="V28" s="46">
        <v>100</v>
      </c>
      <c r="W28" s="46"/>
      <c r="X28" s="46"/>
      <c r="Y28" s="46">
        <f t="shared" si="10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8237.02</v>
      </c>
      <c r="E29" s="46">
        <f>158</f>
        <v>158</v>
      </c>
      <c r="F29" s="46"/>
      <c r="G29" s="46"/>
      <c r="H29" s="46">
        <f t="shared" si="11"/>
        <v>8395.02</v>
      </c>
      <c r="I29" s="46"/>
      <c r="J29" s="46"/>
      <c r="K29" s="46">
        <f t="shared" si="7"/>
        <v>0</v>
      </c>
      <c r="L29" s="46">
        <v>142.2</v>
      </c>
      <c r="M29" s="46"/>
      <c r="N29" s="46">
        <f t="shared" si="8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9"/>
        <v>0</v>
      </c>
      <c r="V29" s="46">
        <v>350</v>
      </c>
      <c r="W29" s="46"/>
      <c r="X29" s="46"/>
      <c r="Y29" s="46">
        <f t="shared" si="10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8797.7</v>
      </c>
      <c r="E30" s="46">
        <f>198</f>
        <v>198</v>
      </c>
      <c r="F30" s="46"/>
      <c r="G30" s="46"/>
      <c r="H30" s="46">
        <f t="shared" si="11"/>
        <v>8995.7</v>
      </c>
      <c r="I30" s="46"/>
      <c r="J30" s="46"/>
      <c r="K30" s="46">
        <f t="shared" si="7"/>
        <v>0</v>
      </c>
      <c r="L30" s="46">
        <v>1804.5</v>
      </c>
      <c r="M30" s="46"/>
      <c r="N30" s="46">
        <f t="shared" si="8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9"/>
        <v>180</v>
      </c>
      <c r="V30" s="46">
        <v>478</v>
      </c>
      <c r="W30" s="46"/>
      <c r="X30" s="46"/>
      <c r="Y30" s="46">
        <f t="shared" si="10"/>
        <v>478</v>
      </c>
    </row>
    <row r="31" spans="1:25" ht="12.75">
      <c r="A31" s="36">
        <v>3315</v>
      </c>
      <c r="B31" s="4">
        <v>610</v>
      </c>
      <c r="C31" s="41" t="s">
        <v>150</v>
      </c>
      <c r="D31" s="57">
        <v>11680.58</v>
      </c>
      <c r="E31" s="46">
        <f>5+189</f>
        <v>194</v>
      </c>
      <c r="F31" s="46"/>
      <c r="G31" s="46"/>
      <c r="H31" s="46">
        <f t="shared" si="11"/>
        <v>11874.58</v>
      </c>
      <c r="I31" s="46"/>
      <c r="J31" s="46"/>
      <c r="K31" s="46">
        <f t="shared" si="7"/>
        <v>0</v>
      </c>
      <c r="L31" s="46">
        <v>569.6</v>
      </c>
      <c r="M31" s="46">
        <v>0.1</v>
      </c>
      <c r="N31" s="46">
        <f t="shared" si="8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9"/>
        <v>0</v>
      </c>
      <c r="V31" s="46">
        <v>480</v>
      </c>
      <c r="W31" s="46"/>
      <c r="X31" s="46"/>
      <c r="Y31" s="46">
        <f t="shared" si="10"/>
        <v>480</v>
      </c>
    </row>
    <row r="32" spans="1:25" ht="12.75">
      <c r="A32" s="36"/>
      <c r="B32" s="4"/>
      <c r="C32" s="10" t="s">
        <v>26</v>
      </c>
      <c r="D32" s="58">
        <f>SUM(D34:D57)</f>
        <v>161300</v>
      </c>
      <c r="E32" s="58">
        <f aca="true" t="shared" si="12" ref="E32:N32">SUM(E34:E57)</f>
        <v>45</v>
      </c>
      <c r="F32" s="58">
        <f t="shared" si="12"/>
        <v>0</v>
      </c>
      <c r="G32" s="58">
        <f t="shared" si="12"/>
        <v>0</v>
      </c>
      <c r="H32" s="58">
        <f t="shared" si="12"/>
        <v>161345</v>
      </c>
      <c r="I32" s="58">
        <f t="shared" si="12"/>
        <v>0</v>
      </c>
      <c r="J32" s="58">
        <f t="shared" si="12"/>
        <v>0</v>
      </c>
      <c r="K32" s="58">
        <f t="shared" si="12"/>
        <v>0</v>
      </c>
      <c r="L32" s="58">
        <f t="shared" si="12"/>
        <v>33696</v>
      </c>
      <c r="M32" s="58">
        <f t="shared" si="12"/>
        <v>0</v>
      </c>
      <c r="N32" s="58">
        <f t="shared" si="12"/>
        <v>33696</v>
      </c>
      <c r="O32" s="65"/>
      <c r="P32" s="66"/>
      <c r="Q32" s="58" t="s">
        <v>108</v>
      </c>
      <c r="R32" s="58">
        <f aca="true" t="shared" si="13" ref="R32:Y32">SUM(R34:R57)</f>
        <v>200</v>
      </c>
      <c r="S32" s="58">
        <f t="shared" si="13"/>
        <v>400</v>
      </c>
      <c r="T32" s="58">
        <f t="shared" si="13"/>
        <v>0</v>
      </c>
      <c r="U32" s="58">
        <f t="shared" si="13"/>
        <v>600</v>
      </c>
      <c r="V32" s="58">
        <f t="shared" si="13"/>
        <v>11445</v>
      </c>
      <c r="W32" s="58">
        <f t="shared" si="13"/>
        <v>-250</v>
      </c>
      <c r="X32" s="58">
        <f t="shared" si="13"/>
        <v>0</v>
      </c>
      <c r="Y32" s="58">
        <f t="shared" si="13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102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/>
      <c r="F34" s="46"/>
      <c r="G34" s="46"/>
      <c r="H34" s="46">
        <f>D34+E34+F34+G34</f>
        <v>5620</v>
      </c>
      <c r="I34" s="46"/>
      <c r="J34" s="46"/>
      <c r="K34" s="46">
        <f aca="true" t="shared" si="14" ref="K34:K57">I34+J34</f>
        <v>0</v>
      </c>
      <c r="L34" s="46">
        <v>1351</v>
      </c>
      <c r="M34" s="46"/>
      <c r="N34" s="46">
        <f aca="true" t="shared" si="15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6" ref="U34:U57">SUM(R34:T34)</f>
        <v>0</v>
      </c>
      <c r="V34" s="46">
        <v>400</v>
      </c>
      <c r="W34" s="46"/>
      <c r="X34" s="46"/>
      <c r="Y34" s="46">
        <f aca="true" t="shared" si="17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3540</v>
      </c>
      <c r="E35" s="46">
        <v>5</v>
      </c>
      <c r="F35" s="46"/>
      <c r="G35" s="46"/>
      <c r="H35" s="46">
        <f aca="true" t="shared" si="18" ref="H35:H57">D35+E35+F35+G35</f>
        <v>3545</v>
      </c>
      <c r="I35" s="46"/>
      <c r="J35" s="46"/>
      <c r="K35" s="46">
        <f t="shared" si="14"/>
        <v>0</v>
      </c>
      <c r="L35" s="46">
        <v>582</v>
      </c>
      <c r="M35" s="46"/>
      <c r="N35" s="46">
        <f t="shared" si="15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6"/>
        <v>0</v>
      </c>
      <c r="V35" s="46">
        <v>150</v>
      </c>
      <c r="W35" s="46"/>
      <c r="X35" s="46"/>
      <c r="Y35" s="46">
        <f t="shared" si="17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17430</v>
      </c>
      <c r="E36" s="46">
        <v>5</v>
      </c>
      <c r="F36" s="46"/>
      <c r="G36" s="46"/>
      <c r="H36" s="46">
        <f t="shared" si="18"/>
        <v>17435</v>
      </c>
      <c r="I36" s="46"/>
      <c r="J36" s="46"/>
      <c r="K36" s="46">
        <f t="shared" si="14"/>
        <v>0</v>
      </c>
      <c r="L36" s="46">
        <v>1471</v>
      </c>
      <c r="M36" s="46"/>
      <c r="N36" s="46">
        <f t="shared" si="15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6"/>
        <v>0</v>
      </c>
      <c r="V36" s="46"/>
      <c r="W36" s="46"/>
      <c r="X36" s="46"/>
      <c r="Y36" s="46">
        <f t="shared" si="17"/>
        <v>0</v>
      </c>
    </row>
    <row r="37" spans="1:25" ht="12.75">
      <c r="A37" s="36">
        <v>4350</v>
      </c>
      <c r="B37" s="4">
        <v>804</v>
      </c>
      <c r="C37" s="7" t="s">
        <v>98</v>
      </c>
      <c r="D37" s="46">
        <v>4370</v>
      </c>
      <c r="E37" s="46">
        <v>5</v>
      </c>
      <c r="F37" s="46"/>
      <c r="G37" s="46"/>
      <c r="H37" s="46">
        <f t="shared" si="18"/>
        <v>4375</v>
      </c>
      <c r="I37" s="46"/>
      <c r="J37" s="46"/>
      <c r="K37" s="46">
        <f t="shared" si="14"/>
        <v>0</v>
      </c>
      <c r="L37" s="46">
        <v>1035</v>
      </c>
      <c r="M37" s="46"/>
      <c r="N37" s="46">
        <f t="shared" si="15"/>
        <v>1035</v>
      </c>
      <c r="O37" s="36">
        <v>4350</v>
      </c>
      <c r="P37" s="4">
        <v>804</v>
      </c>
      <c r="Q37" s="7" t="s">
        <v>98</v>
      </c>
      <c r="R37" s="46"/>
      <c r="S37" s="46"/>
      <c r="T37" s="46"/>
      <c r="U37" s="46">
        <f t="shared" si="16"/>
        <v>0</v>
      </c>
      <c r="V37" s="46"/>
      <c r="W37" s="46"/>
      <c r="X37" s="46"/>
      <c r="Y37" s="46">
        <f t="shared" si="17"/>
        <v>0</v>
      </c>
    </row>
    <row r="38" spans="1:25" ht="12.75">
      <c r="A38" s="36">
        <v>4350</v>
      </c>
      <c r="B38" s="4">
        <v>805</v>
      </c>
      <c r="C38" s="7" t="s">
        <v>151</v>
      </c>
      <c r="D38" s="46">
        <v>14400</v>
      </c>
      <c r="E38" s="46">
        <v>5</v>
      </c>
      <c r="F38" s="46"/>
      <c r="G38" s="46"/>
      <c r="H38" s="46">
        <f t="shared" si="18"/>
        <v>14405</v>
      </c>
      <c r="I38" s="46"/>
      <c r="J38" s="46"/>
      <c r="K38" s="46">
        <f t="shared" si="14"/>
        <v>0</v>
      </c>
      <c r="L38" s="46">
        <v>3497</v>
      </c>
      <c r="M38" s="46"/>
      <c r="N38" s="46">
        <f t="shared" si="15"/>
        <v>3497</v>
      </c>
      <c r="O38" s="36">
        <v>4350</v>
      </c>
      <c r="P38" s="4">
        <v>805</v>
      </c>
      <c r="Q38" s="7" t="s">
        <v>151</v>
      </c>
      <c r="R38" s="46"/>
      <c r="S38" s="46"/>
      <c r="T38" s="46"/>
      <c r="U38" s="46">
        <f t="shared" si="16"/>
        <v>0</v>
      </c>
      <c r="V38" s="46">
        <v>4525</v>
      </c>
      <c r="W38" s="46"/>
      <c r="X38" s="46"/>
      <c r="Y38" s="46">
        <f t="shared" si="17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/>
      <c r="F39" s="46"/>
      <c r="G39" s="46"/>
      <c r="H39" s="46">
        <f t="shared" si="18"/>
        <v>2360</v>
      </c>
      <c r="I39" s="46"/>
      <c r="J39" s="46"/>
      <c r="K39" s="46">
        <f t="shared" si="14"/>
        <v>0</v>
      </c>
      <c r="L39" s="46">
        <v>501</v>
      </c>
      <c r="M39" s="46"/>
      <c r="N39" s="46">
        <f t="shared" si="15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6"/>
        <v>0</v>
      </c>
      <c r="V39" s="46"/>
      <c r="W39" s="46"/>
      <c r="X39" s="46"/>
      <c r="Y39" s="46">
        <f t="shared" si="17"/>
        <v>0</v>
      </c>
    </row>
    <row r="40" spans="1:25" ht="12.75">
      <c r="A40" s="36">
        <v>4357</v>
      </c>
      <c r="B40" s="4">
        <v>807</v>
      </c>
      <c r="C40" s="7" t="s">
        <v>136</v>
      </c>
      <c r="D40" s="46">
        <v>8300</v>
      </c>
      <c r="E40" s="46">
        <v>5</v>
      </c>
      <c r="F40" s="46"/>
      <c r="G40" s="50"/>
      <c r="H40" s="46">
        <f t="shared" si="18"/>
        <v>8305</v>
      </c>
      <c r="I40" s="46"/>
      <c r="J40" s="46"/>
      <c r="K40" s="46">
        <f t="shared" si="14"/>
        <v>0</v>
      </c>
      <c r="L40" s="46">
        <v>1838</v>
      </c>
      <c r="M40" s="46"/>
      <c r="N40" s="46">
        <f t="shared" si="15"/>
        <v>1838</v>
      </c>
      <c r="O40" s="36">
        <v>4357</v>
      </c>
      <c r="P40" s="4">
        <v>807</v>
      </c>
      <c r="Q40" s="7" t="s">
        <v>136</v>
      </c>
      <c r="R40" s="46"/>
      <c r="S40" s="46"/>
      <c r="T40" s="46"/>
      <c r="U40" s="46">
        <f t="shared" si="16"/>
        <v>0</v>
      </c>
      <c r="V40" s="46"/>
      <c r="W40" s="46"/>
      <c r="X40" s="46"/>
      <c r="Y40" s="46">
        <f t="shared" si="17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/>
      <c r="G41" s="50"/>
      <c r="H41" s="46">
        <f t="shared" si="18"/>
        <v>1810</v>
      </c>
      <c r="I41" s="46"/>
      <c r="J41" s="46"/>
      <c r="K41" s="46">
        <f t="shared" si="14"/>
        <v>0</v>
      </c>
      <c r="L41" s="46">
        <v>389</v>
      </c>
      <c r="M41" s="46"/>
      <c r="N41" s="46">
        <f t="shared" si="15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6"/>
        <v>0</v>
      </c>
      <c r="V41" s="46"/>
      <c r="W41" s="46"/>
      <c r="X41" s="46"/>
      <c r="Y41" s="46">
        <f t="shared" si="17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6400</v>
      </c>
      <c r="E42" s="46">
        <v>5</v>
      </c>
      <c r="F42" s="46"/>
      <c r="G42" s="50"/>
      <c r="H42" s="46">
        <f t="shared" si="18"/>
        <v>6405</v>
      </c>
      <c r="I42" s="46"/>
      <c r="J42" s="46"/>
      <c r="K42" s="46">
        <f t="shared" si="14"/>
        <v>0</v>
      </c>
      <c r="L42" s="46">
        <v>727</v>
      </c>
      <c r="M42" s="46"/>
      <c r="N42" s="46">
        <f t="shared" si="15"/>
        <v>727</v>
      </c>
      <c r="O42" s="36">
        <v>4350</v>
      </c>
      <c r="P42" s="4">
        <v>809</v>
      </c>
      <c r="Q42" s="7" t="s">
        <v>33</v>
      </c>
      <c r="R42" s="46"/>
      <c r="S42" s="46">
        <v>400</v>
      </c>
      <c r="T42" s="46"/>
      <c r="U42" s="46">
        <f t="shared" si="16"/>
        <v>400</v>
      </c>
      <c r="V42" s="46">
        <v>1000</v>
      </c>
      <c r="W42" s="46"/>
      <c r="X42" s="46"/>
      <c r="Y42" s="46">
        <f t="shared" si="17"/>
        <v>1000</v>
      </c>
    </row>
    <row r="43" spans="1:25" ht="12.75">
      <c r="A43" s="36">
        <v>4350</v>
      </c>
      <c r="B43" s="4">
        <v>810</v>
      </c>
      <c r="C43" s="7" t="s">
        <v>134</v>
      </c>
      <c r="D43" s="46">
        <v>2600</v>
      </c>
      <c r="E43" s="46"/>
      <c r="F43" s="46"/>
      <c r="G43" s="50"/>
      <c r="H43" s="46">
        <f t="shared" si="18"/>
        <v>2600</v>
      </c>
      <c r="I43" s="46"/>
      <c r="J43" s="46"/>
      <c r="K43" s="46">
        <f t="shared" si="14"/>
        <v>0</v>
      </c>
      <c r="L43" s="46">
        <v>266</v>
      </c>
      <c r="M43" s="46"/>
      <c r="N43" s="46">
        <f t="shared" si="15"/>
        <v>266</v>
      </c>
      <c r="O43" s="36">
        <v>4350</v>
      </c>
      <c r="P43" s="4">
        <v>810</v>
      </c>
      <c r="Q43" s="7" t="s">
        <v>134</v>
      </c>
      <c r="R43" s="46"/>
      <c r="S43" s="46"/>
      <c r="T43" s="46"/>
      <c r="U43" s="46">
        <f t="shared" si="16"/>
        <v>0</v>
      </c>
      <c r="V43" s="46"/>
      <c r="W43" s="46"/>
      <c r="X43" s="46"/>
      <c r="Y43" s="46">
        <f t="shared" si="17"/>
        <v>0</v>
      </c>
    </row>
    <row r="44" spans="1:25" ht="12.75">
      <c r="A44" s="36">
        <v>4350</v>
      </c>
      <c r="B44" s="4">
        <v>811</v>
      </c>
      <c r="C44" s="7" t="s">
        <v>116</v>
      </c>
      <c r="D44" s="46">
        <v>4060</v>
      </c>
      <c r="E44" s="46">
        <v>5</v>
      </c>
      <c r="F44" s="46"/>
      <c r="G44" s="50"/>
      <c r="H44" s="46">
        <f t="shared" si="18"/>
        <v>4065</v>
      </c>
      <c r="I44" s="46"/>
      <c r="J44" s="46"/>
      <c r="K44" s="46">
        <f t="shared" si="14"/>
        <v>0</v>
      </c>
      <c r="L44" s="46">
        <v>1045</v>
      </c>
      <c r="M44" s="46"/>
      <c r="N44" s="46">
        <f t="shared" si="15"/>
        <v>1045</v>
      </c>
      <c r="O44" s="36">
        <v>4350</v>
      </c>
      <c r="P44" s="4">
        <v>811</v>
      </c>
      <c r="Q44" s="7" t="s">
        <v>116</v>
      </c>
      <c r="R44" s="46"/>
      <c r="S44" s="46"/>
      <c r="T44" s="46"/>
      <c r="U44" s="46">
        <f t="shared" si="16"/>
        <v>0</v>
      </c>
      <c r="V44" s="46"/>
      <c r="W44" s="46"/>
      <c r="X44" s="46"/>
      <c r="Y44" s="46">
        <f t="shared" si="17"/>
        <v>0</v>
      </c>
    </row>
    <row r="45" spans="1:25" ht="12.75">
      <c r="A45" s="36">
        <v>4357</v>
      </c>
      <c r="B45" s="4">
        <v>813</v>
      </c>
      <c r="C45" s="7" t="s">
        <v>112</v>
      </c>
      <c r="D45" s="46">
        <v>16880</v>
      </c>
      <c r="E45" s="46"/>
      <c r="F45" s="46"/>
      <c r="G45" s="50"/>
      <c r="H45" s="46">
        <f t="shared" si="18"/>
        <v>16880</v>
      </c>
      <c r="I45" s="46"/>
      <c r="J45" s="46"/>
      <c r="K45" s="46">
        <f t="shared" si="14"/>
        <v>0</v>
      </c>
      <c r="L45" s="46">
        <v>986</v>
      </c>
      <c r="M45" s="46"/>
      <c r="N45" s="46">
        <f t="shared" si="15"/>
        <v>986</v>
      </c>
      <c r="O45" s="36">
        <v>4357</v>
      </c>
      <c r="P45" s="4">
        <v>813</v>
      </c>
      <c r="Q45" s="7" t="s">
        <v>112</v>
      </c>
      <c r="R45" s="46">
        <v>200</v>
      </c>
      <c r="S45" s="46"/>
      <c r="T45" s="46"/>
      <c r="U45" s="46">
        <f t="shared" si="16"/>
        <v>200</v>
      </c>
      <c r="V45" s="46">
        <v>1000</v>
      </c>
      <c r="W45" s="46">
        <f>-250</f>
        <v>-250</v>
      </c>
      <c r="X45" s="46"/>
      <c r="Y45" s="46">
        <f t="shared" si="17"/>
        <v>750</v>
      </c>
    </row>
    <row r="46" spans="1:25" ht="12.75">
      <c r="A46" s="36">
        <v>4357</v>
      </c>
      <c r="B46" s="4">
        <v>814</v>
      </c>
      <c r="C46" s="41" t="s">
        <v>206</v>
      </c>
      <c r="D46" s="46">
        <v>5360</v>
      </c>
      <c r="E46" s="46">
        <v>5</v>
      </c>
      <c r="F46" s="46"/>
      <c r="G46" s="50"/>
      <c r="H46" s="46">
        <f t="shared" si="18"/>
        <v>5365</v>
      </c>
      <c r="I46" s="46"/>
      <c r="J46" s="46"/>
      <c r="K46" s="46">
        <f t="shared" si="14"/>
        <v>0</v>
      </c>
      <c r="L46" s="46">
        <v>956</v>
      </c>
      <c r="M46" s="46"/>
      <c r="N46" s="46">
        <f t="shared" si="15"/>
        <v>956</v>
      </c>
      <c r="O46" s="36">
        <v>4357</v>
      </c>
      <c r="P46" s="4">
        <v>814</v>
      </c>
      <c r="Q46" s="41" t="s">
        <v>206</v>
      </c>
      <c r="R46" s="46"/>
      <c r="S46" s="46"/>
      <c r="T46" s="46"/>
      <c r="U46" s="46">
        <f t="shared" si="16"/>
        <v>0</v>
      </c>
      <c r="V46" s="46">
        <v>300</v>
      </c>
      <c r="W46" s="46"/>
      <c r="X46" s="46"/>
      <c r="Y46" s="46">
        <f t="shared" si="17"/>
        <v>300</v>
      </c>
    </row>
    <row r="47" spans="1:25" ht="12.75" customHeight="1">
      <c r="A47" s="36">
        <v>4357</v>
      </c>
      <c r="B47" s="4">
        <v>815</v>
      </c>
      <c r="C47" s="41" t="s">
        <v>207</v>
      </c>
      <c r="D47" s="46">
        <v>5150</v>
      </c>
      <c r="E47" s="50"/>
      <c r="F47" s="46"/>
      <c r="G47" s="50"/>
      <c r="H47" s="46">
        <f t="shared" si="18"/>
        <v>5150</v>
      </c>
      <c r="I47" s="46"/>
      <c r="J47" s="46"/>
      <c r="K47" s="46">
        <f t="shared" si="14"/>
        <v>0</v>
      </c>
      <c r="L47" s="46">
        <v>2031</v>
      </c>
      <c r="M47" s="46"/>
      <c r="N47" s="46">
        <f t="shared" si="15"/>
        <v>2031</v>
      </c>
      <c r="O47" s="36">
        <v>4357</v>
      </c>
      <c r="P47" s="4">
        <v>815</v>
      </c>
      <c r="Q47" s="41" t="s">
        <v>207</v>
      </c>
      <c r="R47" s="46"/>
      <c r="S47" s="46"/>
      <c r="T47" s="46"/>
      <c r="U47" s="46">
        <f t="shared" si="16"/>
        <v>0</v>
      </c>
      <c r="V47" s="46">
        <v>3200</v>
      </c>
      <c r="W47" s="46"/>
      <c r="X47" s="46"/>
      <c r="Y47" s="46">
        <f t="shared" si="17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7900</v>
      </c>
      <c r="E48" s="50">
        <v>5</v>
      </c>
      <c r="F48" s="46"/>
      <c r="G48" s="50"/>
      <c r="H48" s="46">
        <f t="shared" si="18"/>
        <v>7905</v>
      </c>
      <c r="I48" s="46"/>
      <c r="J48" s="46"/>
      <c r="K48" s="46">
        <f t="shared" si="14"/>
        <v>0</v>
      </c>
      <c r="L48" s="46">
        <v>1599</v>
      </c>
      <c r="M48" s="46"/>
      <c r="N48" s="46">
        <f t="shared" si="15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6"/>
        <v>0</v>
      </c>
      <c r="V48" s="46">
        <v>570</v>
      </c>
      <c r="W48" s="46"/>
      <c r="X48" s="46"/>
      <c r="Y48" s="46">
        <f t="shared" si="17"/>
        <v>570</v>
      </c>
    </row>
    <row r="49" spans="1:25" ht="12.75">
      <c r="A49" s="36">
        <v>4357</v>
      </c>
      <c r="B49" s="4">
        <v>818</v>
      </c>
      <c r="C49" s="8" t="s">
        <v>86</v>
      </c>
      <c r="D49" s="46">
        <v>9550</v>
      </c>
      <c r="E49" s="50"/>
      <c r="F49" s="46"/>
      <c r="G49" s="50"/>
      <c r="H49" s="46">
        <f t="shared" si="18"/>
        <v>9550</v>
      </c>
      <c r="I49" s="46"/>
      <c r="J49" s="46"/>
      <c r="K49" s="46">
        <f t="shared" si="14"/>
        <v>0</v>
      </c>
      <c r="L49" s="46">
        <v>2454</v>
      </c>
      <c r="M49" s="46"/>
      <c r="N49" s="46">
        <f t="shared" si="15"/>
        <v>2454</v>
      </c>
      <c r="O49" s="36">
        <v>4357</v>
      </c>
      <c r="P49" s="4">
        <v>818</v>
      </c>
      <c r="Q49" s="8" t="s">
        <v>86</v>
      </c>
      <c r="R49" s="46"/>
      <c r="S49" s="46"/>
      <c r="T49" s="46"/>
      <c r="U49" s="46">
        <f t="shared" si="16"/>
        <v>0</v>
      </c>
      <c r="V49" s="46"/>
      <c r="W49" s="46"/>
      <c r="X49" s="46"/>
      <c r="Y49" s="46">
        <f t="shared" si="17"/>
        <v>0</v>
      </c>
    </row>
    <row r="50" spans="1:25" ht="12.75">
      <c r="A50" s="36">
        <v>4357</v>
      </c>
      <c r="B50" s="4">
        <v>819</v>
      </c>
      <c r="C50" s="8" t="s">
        <v>137</v>
      </c>
      <c r="D50" s="46">
        <v>7370</v>
      </c>
      <c r="E50" s="50"/>
      <c r="F50" s="46"/>
      <c r="G50" s="50"/>
      <c r="H50" s="46">
        <f t="shared" si="18"/>
        <v>7370</v>
      </c>
      <c r="I50" s="46"/>
      <c r="J50" s="46"/>
      <c r="K50" s="46">
        <f t="shared" si="14"/>
        <v>0</v>
      </c>
      <c r="L50" s="46">
        <v>1162</v>
      </c>
      <c r="M50" s="46"/>
      <c r="N50" s="46">
        <f t="shared" si="15"/>
        <v>1162</v>
      </c>
      <c r="O50" s="36">
        <v>4357</v>
      </c>
      <c r="P50" s="4">
        <v>819</v>
      </c>
      <c r="Q50" s="8" t="s">
        <v>137</v>
      </c>
      <c r="R50" s="46"/>
      <c r="S50" s="46"/>
      <c r="T50" s="46"/>
      <c r="U50" s="46">
        <f t="shared" si="16"/>
        <v>0</v>
      </c>
      <c r="V50" s="46"/>
      <c r="W50" s="46"/>
      <c r="X50" s="46"/>
      <c r="Y50" s="46">
        <f t="shared" si="17"/>
        <v>0</v>
      </c>
    </row>
    <row r="51" spans="1:25" ht="12.75">
      <c r="A51" s="36">
        <v>4357</v>
      </c>
      <c r="B51" s="4">
        <v>820</v>
      </c>
      <c r="C51" s="8" t="s">
        <v>99</v>
      </c>
      <c r="D51" s="46">
        <v>7260</v>
      </c>
      <c r="E51" s="50"/>
      <c r="F51" s="46"/>
      <c r="G51" s="50"/>
      <c r="H51" s="46">
        <f t="shared" si="18"/>
        <v>7260</v>
      </c>
      <c r="I51" s="46"/>
      <c r="J51" s="46"/>
      <c r="K51" s="46">
        <f t="shared" si="14"/>
        <v>0</v>
      </c>
      <c r="L51" s="46">
        <v>2083</v>
      </c>
      <c r="M51" s="46"/>
      <c r="N51" s="46">
        <f t="shared" si="15"/>
        <v>2083</v>
      </c>
      <c r="O51" s="36">
        <v>4357</v>
      </c>
      <c r="P51" s="4">
        <v>820</v>
      </c>
      <c r="Q51" s="8" t="s">
        <v>99</v>
      </c>
      <c r="R51" s="46"/>
      <c r="S51" s="46"/>
      <c r="T51" s="46"/>
      <c r="U51" s="46">
        <f t="shared" si="16"/>
        <v>0</v>
      </c>
      <c r="V51" s="46"/>
      <c r="W51" s="46"/>
      <c r="X51" s="46"/>
      <c r="Y51" s="46">
        <f t="shared" si="17"/>
        <v>0</v>
      </c>
    </row>
    <row r="52" spans="1:25" ht="12.75">
      <c r="A52" s="36">
        <v>4357</v>
      </c>
      <c r="B52" s="4">
        <v>821</v>
      </c>
      <c r="C52" s="8" t="s">
        <v>104</v>
      </c>
      <c r="D52" s="46">
        <v>6850</v>
      </c>
      <c r="E52" s="50"/>
      <c r="F52" s="46"/>
      <c r="G52" s="50"/>
      <c r="H52" s="46">
        <f t="shared" si="18"/>
        <v>6850</v>
      </c>
      <c r="I52" s="46"/>
      <c r="J52" s="46"/>
      <c r="K52" s="46">
        <f t="shared" si="14"/>
        <v>0</v>
      </c>
      <c r="L52" s="46">
        <v>3422</v>
      </c>
      <c r="M52" s="46"/>
      <c r="N52" s="46">
        <f t="shared" si="15"/>
        <v>3422</v>
      </c>
      <c r="O52" s="36">
        <v>4357</v>
      </c>
      <c r="P52" s="4">
        <v>821</v>
      </c>
      <c r="Q52" s="8" t="s">
        <v>104</v>
      </c>
      <c r="R52" s="46"/>
      <c r="S52" s="46"/>
      <c r="T52" s="46"/>
      <c r="U52" s="46">
        <f t="shared" si="16"/>
        <v>0</v>
      </c>
      <c r="V52" s="46"/>
      <c r="W52" s="46"/>
      <c r="X52" s="46"/>
      <c r="Y52" s="46">
        <f t="shared" si="17"/>
        <v>0</v>
      </c>
    </row>
    <row r="53" spans="1:25" ht="12.75">
      <c r="A53" s="36">
        <v>4350</v>
      </c>
      <c r="B53" s="4">
        <v>824</v>
      </c>
      <c r="C53" s="8" t="s">
        <v>135</v>
      </c>
      <c r="D53" s="46">
        <v>6110</v>
      </c>
      <c r="E53" s="46"/>
      <c r="F53" s="46"/>
      <c r="G53" s="46"/>
      <c r="H53" s="46">
        <f t="shared" si="18"/>
        <v>6110</v>
      </c>
      <c r="I53" s="46"/>
      <c r="J53" s="46"/>
      <c r="K53" s="46">
        <f t="shared" si="14"/>
        <v>0</v>
      </c>
      <c r="L53" s="46">
        <v>2114</v>
      </c>
      <c r="M53" s="46"/>
      <c r="N53" s="46">
        <f t="shared" si="15"/>
        <v>2114</v>
      </c>
      <c r="O53" s="36">
        <v>4350</v>
      </c>
      <c r="P53" s="4">
        <v>824</v>
      </c>
      <c r="Q53" s="8" t="s">
        <v>135</v>
      </c>
      <c r="R53" s="46"/>
      <c r="S53" s="46"/>
      <c r="T53" s="46"/>
      <c r="U53" s="46">
        <f t="shared" si="16"/>
        <v>0</v>
      </c>
      <c r="V53" s="46"/>
      <c r="W53" s="46"/>
      <c r="X53" s="46"/>
      <c r="Y53" s="46">
        <f t="shared" si="17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/>
      <c r="F54" s="46"/>
      <c r="G54" s="46"/>
      <c r="H54" s="46">
        <f t="shared" si="18"/>
        <v>2170</v>
      </c>
      <c r="I54" s="46"/>
      <c r="J54" s="46"/>
      <c r="K54" s="46">
        <f t="shared" si="14"/>
        <v>0</v>
      </c>
      <c r="L54" s="46">
        <v>387</v>
      </c>
      <c r="M54" s="46"/>
      <c r="N54" s="46">
        <f t="shared" si="15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6"/>
        <v>0</v>
      </c>
      <c r="V54" s="46"/>
      <c r="W54" s="46"/>
      <c r="X54" s="46"/>
      <c r="Y54" s="46">
        <f t="shared" si="17"/>
        <v>0</v>
      </c>
    </row>
    <row r="55" spans="1:25" ht="12.75">
      <c r="A55" s="36">
        <v>4350</v>
      </c>
      <c r="B55" s="4">
        <v>826</v>
      </c>
      <c r="C55" s="8" t="s">
        <v>100</v>
      </c>
      <c r="D55" s="46">
        <v>5470</v>
      </c>
      <c r="E55" s="46"/>
      <c r="F55" s="46"/>
      <c r="G55" s="46"/>
      <c r="H55" s="46">
        <f t="shared" si="18"/>
        <v>5470</v>
      </c>
      <c r="I55" s="46"/>
      <c r="J55" s="46"/>
      <c r="K55" s="46">
        <f t="shared" si="14"/>
        <v>0</v>
      </c>
      <c r="L55" s="46">
        <v>1067</v>
      </c>
      <c r="M55" s="46"/>
      <c r="N55" s="46">
        <f t="shared" si="15"/>
        <v>1067</v>
      </c>
      <c r="O55" s="36">
        <v>4350</v>
      </c>
      <c r="P55" s="4">
        <v>826</v>
      </c>
      <c r="Q55" s="8" t="s">
        <v>100</v>
      </c>
      <c r="R55" s="46"/>
      <c r="S55" s="46"/>
      <c r="T55" s="46"/>
      <c r="U55" s="46">
        <f t="shared" si="16"/>
        <v>0</v>
      </c>
      <c r="V55" s="46">
        <v>300</v>
      </c>
      <c r="W55" s="46"/>
      <c r="X55" s="46"/>
      <c r="Y55" s="46">
        <f t="shared" si="17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/>
      <c r="F56" s="46"/>
      <c r="G56" s="46"/>
      <c r="H56" s="46">
        <f t="shared" si="18"/>
        <v>3260</v>
      </c>
      <c r="I56" s="46"/>
      <c r="J56" s="46"/>
      <c r="K56" s="46">
        <f t="shared" si="14"/>
        <v>0</v>
      </c>
      <c r="L56" s="46">
        <v>1481</v>
      </c>
      <c r="M56" s="46"/>
      <c r="N56" s="46">
        <f t="shared" si="15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6"/>
        <v>0</v>
      </c>
      <c r="V56" s="46"/>
      <c r="W56" s="46"/>
      <c r="X56" s="46"/>
      <c r="Y56" s="46">
        <f t="shared" si="17"/>
        <v>0</v>
      </c>
    </row>
    <row r="57" spans="1:25" ht="12.75">
      <c r="A57" s="36">
        <v>4357</v>
      </c>
      <c r="B57" s="4">
        <v>828</v>
      </c>
      <c r="C57" s="8" t="s">
        <v>113</v>
      </c>
      <c r="D57" s="46">
        <v>7080</v>
      </c>
      <c r="E57" s="46"/>
      <c r="F57" s="46"/>
      <c r="G57" s="46"/>
      <c r="H57" s="46">
        <f t="shared" si="18"/>
        <v>7080</v>
      </c>
      <c r="I57" s="46"/>
      <c r="J57" s="46"/>
      <c r="K57" s="46">
        <f t="shared" si="14"/>
        <v>0</v>
      </c>
      <c r="L57" s="46">
        <v>1252</v>
      </c>
      <c r="M57" s="46"/>
      <c r="N57" s="46">
        <f t="shared" si="15"/>
        <v>1252</v>
      </c>
      <c r="O57" s="36">
        <v>4357</v>
      </c>
      <c r="P57" s="4">
        <v>828</v>
      </c>
      <c r="Q57" s="8" t="s">
        <v>113</v>
      </c>
      <c r="R57" s="46"/>
      <c r="S57" s="46"/>
      <c r="T57" s="46"/>
      <c r="U57" s="46">
        <f t="shared" si="16"/>
        <v>0</v>
      </c>
      <c r="V57" s="46"/>
      <c r="W57" s="46"/>
      <c r="X57" s="46"/>
      <c r="Y57" s="46">
        <f t="shared" si="17"/>
        <v>0</v>
      </c>
    </row>
    <row r="58" spans="1:25" ht="12.75">
      <c r="A58" s="36"/>
      <c r="B58" s="4"/>
      <c r="C58" s="10" t="s">
        <v>27</v>
      </c>
      <c r="D58" s="58">
        <f aca="true" t="shared" si="19" ref="D58:N58">SUM(D60:D145)</f>
        <v>342955.69999999984</v>
      </c>
      <c r="E58" s="58">
        <f t="shared" si="19"/>
        <v>14129.700000000004</v>
      </c>
      <c r="F58" s="58">
        <f t="shared" si="19"/>
        <v>0</v>
      </c>
      <c r="G58" s="58">
        <f t="shared" si="19"/>
        <v>0</v>
      </c>
      <c r="H58" s="58">
        <f t="shared" si="19"/>
        <v>357085.39999999985</v>
      </c>
      <c r="I58" s="58">
        <f t="shared" si="19"/>
        <v>911.55</v>
      </c>
      <c r="J58" s="58">
        <f t="shared" si="19"/>
        <v>450.6</v>
      </c>
      <c r="K58" s="58">
        <f t="shared" si="19"/>
        <v>1362.15</v>
      </c>
      <c r="L58" s="58">
        <f t="shared" si="19"/>
        <v>43326.299999999996</v>
      </c>
      <c r="M58" s="58">
        <f t="shared" si="19"/>
        <v>125.6</v>
      </c>
      <c r="N58" s="58">
        <f t="shared" si="19"/>
        <v>43451.9</v>
      </c>
      <c r="O58" s="65"/>
      <c r="P58" s="66"/>
      <c r="Q58" s="58" t="s">
        <v>109</v>
      </c>
      <c r="R58" s="58">
        <f aca="true" t="shared" si="20" ref="R58:Y58">SUM(R60:R145)</f>
        <v>44360</v>
      </c>
      <c r="S58" s="72">
        <f t="shared" si="20"/>
        <v>10021.75</v>
      </c>
      <c r="T58" s="58">
        <f t="shared" si="20"/>
        <v>0</v>
      </c>
      <c r="U58" s="58">
        <f t="shared" si="20"/>
        <v>54381.75</v>
      </c>
      <c r="V58" s="58">
        <f t="shared" si="20"/>
        <v>52750.7</v>
      </c>
      <c r="W58" s="58">
        <f t="shared" si="20"/>
        <v>8571</v>
      </c>
      <c r="X58" s="58">
        <f t="shared" si="20"/>
        <v>0</v>
      </c>
      <c r="Y58" s="58">
        <f t="shared" si="20"/>
        <v>61321.7</v>
      </c>
    </row>
    <row r="59" spans="1:25" ht="15" customHeight="1">
      <c r="A59" s="36"/>
      <c r="B59" s="4"/>
      <c r="C59" s="30" t="s">
        <v>203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3535.05</v>
      </c>
      <c r="E60" s="46">
        <f>5+125.92</f>
        <v>130.92000000000002</v>
      </c>
      <c r="F60" s="46"/>
      <c r="G60" s="50"/>
      <c r="H60" s="46">
        <f>D60+E60+F60+G60</f>
        <v>3665.9700000000003</v>
      </c>
      <c r="I60" s="46"/>
      <c r="J60" s="46"/>
      <c r="K60" s="46">
        <f aca="true" t="shared" si="21" ref="K60:K123">I60+J60</f>
        <v>0</v>
      </c>
      <c r="L60" s="46">
        <v>455.48</v>
      </c>
      <c r="M60" s="46">
        <f>52.92</f>
        <v>52.92</v>
      </c>
      <c r="N60" s="46">
        <f>L60+M60</f>
        <v>508.40000000000003</v>
      </c>
      <c r="O60" s="65">
        <v>3121</v>
      </c>
      <c r="P60" s="4">
        <v>301</v>
      </c>
      <c r="Q60" s="11" t="s">
        <v>6</v>
      </c>
      <c r="R60" s="46"/>
      <c r="S60" s="46">
        <f>300</f>
        <v>300</v>
      </c>
      <c r="T60" s="46"/>
      <c r="U60" s="46">
        <f aca="true" t="shared" si="22" ref="U60:U123">SUM(R60:T60)</f>
        <v>300</v>
      </c>
      <c r="V60" s="46">
        <v>250</v>
      </c>
      <c r="W60" s="46"/>
      <c r="X60" s="46"/>
      <c r="Y60" s="46">
        <f aca="true" t="shared" si="23" ref="Y60:Y123">SUM(V60:X60)</f>
        <v>250</v>
      </c>
    </row>
    <row r="61" spans="1:25" ht="12.75">
      <c r="A61" s="36">
        <v>3121</v>
      </c>
      <c r="B61" s="4">
        <v>302</v>
      </c>
      <c r="C61" s="37" t="s">
        <v>185</v>
      </c>
      <c r="D61" s="46">
        <v>5251.72</v>
      </c>
      <c r="E61" s="46"/>
      <c r="F61" s="46"/>
      <c r="G61" s="50"/>
      <c r="H61" s="46">
        <f aca="true" t="shared" si="24" ref="H61:H124">D61+E61+F61+G61</f>
        <v>5251.72</v>
      </c>
      <c r="I61" s="46"/>
      <c r="J61" s="46"/>
      <c r="K61" s="46">
        <f t="shared" si="21"/>
        <v>0</v>
      </c>
      <c r="L61" s="46">
        <v>482.9</v>
      </c>
      <c r="M61" s="46"/>
      <c r="N61" s="46">
        <f aca="true" t="shared" si="25" ref="N61:N124">L61+M61</f>
        <v>482.9</v>
      </c>
      <c r="O61" s="65">
        <v>3121</v>
      </c>
      <c r="P61" s="4">
        <v>302</v>
      </c>
      <c r="Q61" s="37" t="s">
        <v>138</v>
      </c>
      <c r="R61" s="46"/>
      <c r="S61" s="46"/>
      <c r="T61" s="46"/>
      <c r="U61" s="46">
        <f t="shared" si="22"/>
        <v>0</v>
      </c>
      <c r="V61" s="46"/>
      <c r="W61" s="46"/>
      <c r="X61" s="46"/>
      <c r="Y61" s="46">
        <f t="shared" si="23"/>
        <v>0</v>
      </c>
    </row>
    <row r="62" spans="1:25" ht="12.75">
      <c r="A62" s="36">
        <v>3121</v>
      </c>
      <c r="B62" s="4">
        <v>303</v>
      </c>
      <c r="C62" s="37" t="s">
        <v>186</v>
      </c>
      <c r="D62" s="46">
        <v>1357.6</v>
      </c>
      <c r="E62" s="46">
        <f>5</f>
        <v>5</v>
      </c>
      <c r="F62" s="46"/>
      <c r="G62" s="50"/>
      <c r="H62" s="46">
        <f t="shared" si="24"/>
        <v>1362.6</v>
      </c>
      <c r="I62" s="46"/>
      <c r="J62" s="46"/>
      <c r="K62" s="46">
        <f t="shared" si="21"/>
        <v>0</v>
      </c>
      <c r="L62" s="46">
        <v>114.5</v>
      </c>
      <c r="M62" s="46"/>
      <c r="N62" s="46">
        <f t="shared" si="25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2"/>
        <v>0</v>
      </c>
      <c r="V62" s="46"/>
      <c r="W62" s="46"/>
      <c r="X62" s="46"/>
      <c r="Y62" s="46">
        <f t="shared" si="23"/>
        <v>0</v>
      </c>
    </row>
    <row r="63" spans="1:25" ht="12.75">
      <c r="A63" s="36">
        <v>3122</v>
      </c>
      <c r="B63" s="4">
        <v>305</v>
      </c>
      <c r="C63" s="13" t="s">
        <v>166</v>
      </c>
      <c r="D63" s="46">
        <v>4927.120000000001</v>
      </c>
      <c r="E63" s="46">
        <f>5+289</f>
        <v>294</v>
      </c>
      <c r="F63" s="46"/>
      <c r="G63" s="50"/>
      <c r="H63" s="46">
        <f t="shared" si="24"/>
        <v>5221.120000000001</v>
      </c>
      <c r="I63" s="46">
        <v>132.3</v>
      </c>
      <c r="J63" s="46"/>
      <c r="K63" s="46">
        <f t="shared" si="21"/>
        <v>132.3</v>
      </c>
      <c r="L63" s="46">
        <v>1125.92</v>
      </c>
      <c r="M63" s="46"/>
      <c r="N63" s="46">
        <f t="shared" si="25"/>
        <v>1125.92</v>
      </c>
      <c r="O63" s="65">
        <v>3122</v>
      </c>
      <c r="P63" s="4">
        <v>305</v>
      </c>
      <c r="Q63" s="13" t="s">
        <v>125</v>
      </c>
      <c r="R63" s="46"/>
      <c r="S63" s="46"/>
      <c r="T63" s="46"/>
      <c r="U63" s="46">
        <f t="shared" si="22"/>
        <v>0</v>
      </c>
      <c r="V63" s="46"/>
      <c r="W63" s="46"/>
      <c r="X63" s="46"/>
      <c r="Y63" s="46">
        <f t="shared" si="23"/>
        <v>0</v>
      </c>
    </row>
    <row r="64" spans="1:25" ht="12.75">
      <c r="A64" s="36">
        <v>3122</v>
      </c>
      <c r="B64" s="4">
        <v>307</v>
      </c>
      <c r="C64" s="37" t="s">
        <v>118</v>
      </c>
      <c r="D64" s="46">
        <v>4250.08</v>
      </c>
      <c r="E64" s="46">
        <f>5+152.4</f>
        <v>157.4</v>
      </c>
      <c r="F64" s="46"/>
      <c r="G64" s="50"/>
      <c r="H64" s="46">
        <f t="shared" si="24"/>
        <v>4407.48</v>
      </c>
      <c r="I64" s="46"/>
      <c r="J64" s="46"/>
      <c r="K64" s="46">
        <f t="shared" si="21"/>
        <v>0</v>
      </c>
      <c r="L64" s="46">
        <v>752.9000000000001</v>
      </c>
      <c r="M64" s="46"/>
      <c r="N64" s="46">
        <f t="shared" si="25"/>
        <v>752.9000000000001</v>
      </c>
      <c r="O64" s="65">
        <v>3122</v>
      </c>
      <c r="P64" s="4">
        <v>307</v>
      </c>
      <c r="Q64" s="37" t="s">
        <v>118</v>
      </c>
      <c r="R64" s="46">
        <v>377</v>
      </c>
      <c r="S64" s="50">
        <f>500</f>
        <v>500</v>
      </c>
      <c r="T64" s="46"/>
      <c r="U64" s="46">
        <f t="shared" si="22"/>
        <v>877</v>
      </c>
      <c r="V64" s="46"/>
      <c r="W64" s="50"/>
      <c r="X64" s="46"/>
      <c r="Y64" s="46">
        <f t="shared" si="23"/>
        <v>0</v>
      </c>
    </row>
    <row r="65" spans="1:25" ht="12.75">
      <c r="A65" s="36">
        <v>3127</v>
      </c>
      <c r="B65" s="4">
        <v>308</v>
      </c>
      <c r="C65" s="37" t="s">
        <v>139</v>
      </c>
      <c r="D65" s="46">
        <v>13779.39</v>
      </c>
      <c r="E65" s="46">
        <f>5+900.7+20</f>
        <v>925.7</v>
      </c>
      <c r="F65" s="46"/>
      <c r="G65" s="50"/>
      <c r="H65" s="46">
        <f t="shared" si="24"/>
        <v>14705.09</v>
      </c>
      <c r="I65" s="46"/>
      <c r="J65" s="46"/>
      <c r="K65" s="46">
        <f t="shared" si="21"/>
        <v>0</v>
      </c>
      <c r="L65" s="46">
        <v>1172.06</v>
      </c>
      <c r="M65" s="46"/>
      <c r="N65" s="46">
        <f t="shared" si="25"/>
        <v>1172.06</v>
      </c>
      <c r="O65" s="65">
        <v>3127</v>
      </c>
      <c r="P65" s="4">
        <v>308</v>
      </c>
      <c r="Q65" s="37" t="s">
        <v>139</v>
      </c>
      <c r="R65" s="46"/>
      <c r="S65" s="46">
        <f>2000</f>
        <v>2000</v>
      </c>
      <c r="T65" s="46"/>
      <c r="U65" s="46">
        <f t="shared" si="22"/>
        <v>2000</v>
      </c>
      <c r="V65" s="46"/>
      <c r="W65" s="46"/>
      <c r="X65" s="46"/>
      <c r="Y65" s="46">
        <f t="shared" si="23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7332.599999999999</v>
      </c>
      <c r="E66" s="46">
        <f>5+476</f>
        <v>481</v>
      </c>
      <c r="F66" s="46"/>
      <c r="G66" s="50"/>
      <c r="H66" s="46">
        <f t="shared" si="24"/>
        <v>7813.599999999999</v>
      </c>
      <c r="I66" s="46"/>
      <c r="J66" s="46"/>
      <c r="K66" s="46">
        <f t="shared" si="21"/>
        <v>0</v>
      </c>
      <c r="L66" s="46">
        <v>1385.28</v>
      </c>
      <c r="M66" s="46"/>
      <c r="N66" s="46">
        <f t="shared" si="25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2"/>
        <v>0</v>
      </c>
      <c r="V66" s="46"/>
      <c r="W66" s="46">
        <f>500</f>
        <v>500</v>
      </c>
      <c r="X66" s="46"/>
      <c r="Y66" s="46">
        <f t="shared" si="23"/>
        <v>500</v>
      </c>
    </row>
    <row r="67" spans="1:25" ht="12.75">
      <c r="A67" s="36">
        <v>3122</v>
      </c>
      <c r="B67" s="4">
        <v>310</v>
      </c>
      <c r="C67" s="37" t="s">
        <v>187</v>
      </c>
      <c r="D67" s="46">
        <v>1831.56</v>
      </c>
      <c r="E67" s="46">
        <f>5+90</f>
        <v>95</v>
      </c>
      <c r="F67" s="46"/>
      <c r="G67" s="50"/>
      <c r="H67" s="46">
        <f t="shared" si="24"/>
        <v>1926.56</v>
      </c>
      <c r="I67" s="46"/>
      <c r="J67" s="46"/>
      <c r="K67" s="46">
        <f t="shared" si="21"/>
        <v>0</v>
      </c>
      <c r="L67" s="46">
        <v>354.35</v>
      </c>
      <c r="M67" s="46"/>
      <c r="N67" s="46">
        <f t="shared" si="25"/>
        <v>354.35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2"/>
        <v>0</v>
      </c>
      <c r="V67" s="46"/>
      <c r="W67" s="46">
        <f>1100</f>
        <v>1100</v>
      </c>
      <c r="X67" s="46"/>
      <c r="Y67" s="46">
        <f t="shared" si="23"/>
        <v>1100</v>
      </c>
    </row>
    <row r="68" spans="1:25" ht="12.75">
      <c r="A68" s="36">
        <v>3122</v>
      </c>
      <c r="B68" s="4">
        <v>312</v>
      </c>
      <c r="C68" s="42" t="s">
        <v>188</v>
      </c>
      <c r="D68" s="46">
        <v>6457.76</v>
      </c>
      <c r="E68" s="46">
        <f>5+18</f>
        <v>23</v>
      </c>
      <c r="F68" s="46"/>
      <c r="G68" s="50"/>
      <c r="H68" s="46">
        <f t="shared" si="24"/>
        <v>6480.76</v>
      </c>
      <c r="I68" s="46"/>
      <c r="J68" s="46"/>
      <c r="K68" s="46">
        <f t="shared" si="21"/>
        <v>0</v>
      </c>
      <c r="L68" s="46">
        <v>1413.48</v>
      </c>
      <c r="M68" s="46"/>
      <c r="N68" s="46">
        <f t="shared" si="25"/>
        <v>1413.48</v>
      </c>
      <c r="O68" s="65">
        <v>3122</v>
      </c>
      <c r="P68" s="4">
        <v>312</v>
      </c>
      <c r="Q68" s="42" t="s">
        <v>140</v>
      </c>
      <c r="R68" s="46"/>
      <c r="S68" s="46"/>
      <c r="T68" s="46"/>
      <c r="U68" s="46">
        <f t="shared" si="22"/>
        <v>0</v>
      </c>
      <c r="V68" s="46"/>
      <c r="W68" s="46">
        <f>200</f>
        <v>200</v>
      </c>
      <c r="X68" s="46"/>
      <c r="Y68" s="46">
        <f t="shared" si="23"/>
        <v>200</v>
      </c>
    </row>
    <row r="69" spans="1:25" ht="12.75">
      <c r="A69" s="36">
        <v>3122</v>
      </c>
      <c r="B69" s="4">
        <v>314</v>
      </c>
      <c r="C69" s="37" t="s">
        <v>126</v>
      </c>
      <c r="D69" s="46">
        <v>5702.09</v>
      </c>
      <c r="E69" s="46">
        <f>5+485+20</f>
        <v>510</v>
      </c>
      <c r="F69" s="46"/>
      <c r="G69" s="50"/>
      <c r="H69" s="46">
        <f t="shared" si="24"/>
        <v>6212.09</v>
      </c>
      <c r="I69" s="46"/>
      <c r="J69" s="46"/>
      <c r="K69" s="46">
        <f t="shared" si="21"/>
        <v>0</v>
      </c>
      <c r="L69" s="46">
        <v>680.8</v>
      </c>
      <c r="M69" s="46"/>
      <c r="N69" s="46">
        <f t="shared" si="25"/>
        <v>680.8</v>
      </c>
      <c r="O69" s="65">
        <v>3122</v>
      </c>
      <c r="P69" s="4">
        <v>314</v>
      </c>
      <c r="Q69" s="37" t="s">
        <v>126</v>
      </c>
      <c r="R69" s="46">
        <v>10658</v>
      </c>
      <c r="S69" s="46">
        <f>500</f>
        <v>500</v>
      </c>
      <c r="T69" s="46"/>
      <c r="U69" s="46">
        <f t="shared" si="22"/>
        <v>11158</v>
      </c>
      <c r="V69" s="46"/>
      <c r="W69" s="46"/>
      <c r="X69" s="46"/>
      <c r="Y69" s="46">
        <f t="shared" si="23"/>
        <v>0</v>
      </c>
    </row>
    <row r="70" spans="1:25" ht="12.75">
      <c r="A70" s="36">
        <v>3127</v>
      </c>
      <c r="B70" s="5">
        <v>317</v>
      </c>
      <c r="C70" s="40" t="s">
        <v>141</v>
      </c>
      <c r="D70" s="46">
        <v>6234.61</v>
      </c>
      <c r="E70" s="51">
        <f>5+585+15</f>
        <v>605</v>
      </c>
      <c r="F70" s="51"/>
      <c r="G70" s="60"/>
      <c r="H70" s="46">
        <f t="shared" si="24"/>
        <v>6839.61</v>
      </c>
      <c r="I70" s="51"/>
      <c r="J70" s="51"/>
      <c r="K70" s="46">
        <f t="shared" si="21"/>
        <v>0</v>
      </c>
      <c r="L70" s="46">
        <v>1165.45</v>
      </c>
      <c r="M70" s="51"/>
      <c r="N70" s="46">
        <f t="shared" si="25"/>
        <v>1165.45</v>
      </c>
      <c r="O70" s="65">
        <v>3127</v>
      </c>
      <c r="P70" s="5">
        <v>317</v>
      </c>
      <c r="Q70" s="40" t="s">
        <v>141</v>
      </c>
      <c r="R70" s="51"/>
      <c r="S70" s="51"/>
      <c r="T70" s="51"/>
      <c r="U70" s="46">
        <f t="shared" si="22"/>
        <v>0</v>
      </c>
      <c r="V70" s="51">
        <v>4000</v>
      </c>
      <c r="W70" s="51"/>
      <c r="X70" s="51"/>
      <c r="Y70" s="46">
        <f t="shared" si="23"/>
        <v>4000</v>
      </c>
    </row>
    <row r="71" spans="1:25" ht="12.75">
      <c r="A71" s="36">
        <v>3127</v>
      </c>
      <c r="B71" s="4">
        <v>318</v>
      </c>
      <c r="C71" s="37" t="s">
        <v>129</v>
      </c>
      <c r="D71" s="46">
        <v>7795.2</v>
      </c>
      <c r="E71" s="46">
        <f>5</f>
        <v>5</v>
      </c>
      <c r="F71" s="46"/>
      <c r="G71" s="50"/>
      <c r="H71" s="46">
        <f t="shared" si="24"/>
        <v>7800.2</v>
      </c>
      <c r="I71" s="46"/>
      <c r="J71" s="46"/>
      <c r="K71" s="46">
        <f t="shared" si="21"/>
        <v>0</v>
      </c>
      <c r="L71" s="46">
        <v>555.3</v>
      </c>
      <c r="M71" s="46"/>
      <c r="N71" s="46">
        <f t="shared" si="25"/>
        <v>555.3</v>
      </c>
      <c r="O71" s="65">
        <v>3127</v>
      </c>
      <c r="P71" s="4">
        <v>318</v>
      </c>
      <c r="Q71" s="37" t="s">
        <v>129</v>
      </c>
      <c r="R71" s="46"/>
      <c r="S71" s="46"/>
      <c r="T71" s="46"/>
      <c r="U71" s="46">
        <f t="shared" si="22"/>
        <v>0</v>
      </c>
      <c r="V71" s="46"/>
      <c r="W71" s="46"/>
      <c r="X71" s="46"/>
      <c r="Y71" s="46">
        <f t="shared" si="23"/>
        <v>0</v>
      </c>
    </row>
    <row r="72" spans="1:25" ht="12.75">
      <c r="A72" s="36">
        <v>3124</v>
      </c>
      <c r="B72" s="4">
        <v>319</v>
      </c>
      <c r="C72" s="37" t="s">
        <v>189</v>
      </c>
      <c r="D72" s="46">
        <v>5824.85</v>
      </c>
      <c r="E72" s="46">
        <f>5+172.6</f>
        <v>177.6</v>
      </c>
      <c r="F72" s="46"/>
      <c r="G72" s="50"/>
      <c r="H72" s="46">
        <f t="shared" si="24"/>
        <v>6002.450000000001</v>
      </c>
      <c r="I72" s="46"/>
      <c r="J72" s="46"/>
      <c r="K72" s="46">
        <f t="shared" si="21"/>
        <v>0</v>
      </c>
      <c r="L72" s="46">
        <v>1383.6</v>
      </c>
      <c r="M72" s="46"/>
      <c r="N72" s="46">
        <f t="shared" si="25"/>
        <v>1383.6</v>
      </c>
      <c r="O72" s="65">
        <v>3124</v>
      </c>
      <c r="P72" s="4">
        <v>319</v>
      </c>
      <c r="Q72" s="37" t="s">
        <v>173</v>
      </c>
      <c r="R72" s="46"/>
      <c r="S72" s="46">
        <f>250</f>
        <v>250</v>
      </c>
      <c r="T72" s="46"/>
      <c r="U72" s="46">
        <f t="shared" si="22"/>
        <v>250</v>
      </c>
      <c r="V72" s="46"/>
      <c r="W72" s="46">
        <f>450</f>
        <v>450</v>
      </c>
      <c r="X72" s="46"/>
      <c r="Y72" s="46">
        <f t="shared" si="23"/>
        <v>450</v>
      </c>
    </row>
    <row r="73" spans="1:25" ht="12.75">
      <c r="A73" s="36">
        <v>3114</v>
      </c>
      <c r="B73" s="4">
        <v>320</v>
      </c>
      <c r="C73" s="37" t="s">
        <v>190</v>
      </c>
      <c r="D73" s="46">
        <v>4508.400000000001</v>
      </c>
      <c r="E73" s="46">
        <f>5+60+6</f>
        <v>71</v>
      </c>
      <c r="F73" s="46"/>
      <c r="G73" s="50"/>
      <c r="H73" s="46">
        <f t="shared" si="24"/>
        <v>4579.400000000001</v>
      </c>
      <c r="I73" s="46"/>
      <c r="J73" s="46"/>
      <c r="K73" s="46">
        <f t="shared" si="21"/>
        <v>0</v>
      </c>
      <c r="L73" s="46">
        <v>573.62</v>
      </c>
      <c r="M73" s="46"/>
      <c r="N73" s="46">
        <f t="shared" si="25"/>
        <v>573.62</v>
      </c>
      <c r="O73" s="65">
        <v>3114</v>
      </c>
      <c r="P73" s="4">
        <v>320</v>
      </c>
      <c r="Q73" s="11" t="s">
        <v>88</v>
      </c>
      <c r="R73" s="46">
        <v>123</v>
      </c>
      <c r="S73" s="46"/>
      <c r="T73" s="46"/>
      <c r="U73" s="46">
        <f t="shared" si="22"/>
        <v>123</v>
      </c>
      <c r="V73" s="46"/>
      <c r="W73" s="46">
        <f>350</f>
        <v>350</v>
      </c>
      <c r="X73" s="46"/>
      <c r="Y73" s="46">
        <f t="shared" si="23"/>
        <v>350</v>
      </c>
    </row>
    <row r="74" spans="1:25" ht="12.75">
      <c r="A74" s="36">
        <v>3114</v>
      </c>
      <c r="B74" s="4">
        <v>321</v>
      </c>
      <c r="C74" s="37" t="s">
        <v>174</v>
      </c>
      <c r="D74" s="46">
        <v>7200.66</v>
      </c>
      <c r="E74" s="46">
        <f>5+309</f>
        <v>314</v>
      </c>
      <c r="F74" s="46"/>
      <c r="G74" s="50"/>
      <c r="H74" s="46">
        <f t="shared" si="24"/>
        <v>7514.66</v>
      </c>
      <c r="I74" s="46"/>
      <c r="J74" s="46"/>
      <c r="K74" s="46">
        <f t="shared" si="21"/>
        <v>0</v>
      </c>
      <c r="L74" s="46">
        <v>864.8199999999999</v>
      </c>
      <c r="M74" s="46"/>
      <c r="N74" s="46">
        <f t="shared" si="25"/>
        <v>864.8199999999999</v>
      </c>
      <c r="O74" s="65">
        <v>3114</v>
      </c>
      <c r="P74" s="4">
        <v>321</v>
      </c>
      <c r="Q74" s="37" t="s">
        <v>174</v>
      </c>
      <c r="R74" s="46"/>
      <c r="S74" s="46"/>
      <c r="T74" s="46"/>
      <c r="U74" s="46">
        <f t="shared" si="22"/>
        <v>0</v>
      </c>
      <c r="V74" s="46"/>
      <c r="W74" s="46"/>
      <c r="X74" s="46"/>
      <c r="Y74" s="46">
        <f t="shared" si="23"/>
        <v>0</v>
      </c>
    </row>
    <row r="75" spans="1:25" ht="12.75">
      <c r="A75" s="36">
        <v>3133</v>
      </c>
      <c r="B75" s="4">
        <v>322</v>
      </c>
      <c r="C75" s="11" t="s">
        <v>54</v>
      </c>
      <c r="D75" s="46">
        <v>3384.88</v>
      </c>
      <c r="E75" s="46">
        <f>3.6</f>
        <v>3.6</v>
      </c>
      <c r="F75" s="46"/>
      <c r="G75" s="50"/>
      <c r="H75" s="46">
        <f t="shared" si="24"/>
        <v>3388.48</v>
      </c>
      <c r="I75" s="46"/>
      <c r="J75" s="46"/>
      <c r="K75" s="46">
        <f t="shared" si="21"/>
        <v>0</v>
      </c>
      <c r="L75" s="46">
        <v>117.39</v>
      </c>
      <c r="M75" s="46">
        <f>3.6</f>
        <v>3.6</v>
      </c>
      <c r="N75" s="46">
        <f t="shared" si="25"/>
        <v>120.99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2"/>
        <v>0</v>
      </c>
      <c r="V75" s="46"/>
      <c r="W75" s="46"/>
      <c r="X75" s="46"/>
      <c r="Y75" s="46">
        <f t="shared" si="23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1218.3</v>
      </c>
      <c r="E76" s="46"/>
      <c r="F76" s="46"/>
      <c r="G76" s="50"/>
      <c r="H76" s="46">
        <f t="shared" si="24"/>
        <v>1218.3</v>
      </c>
      <c r="I76" s="46"/>
      <c r="J76" s="46"/>
      <c r="K76" s="46">
        <f t="shared" si="21"/>
        <v>0</v>
      </c>
      <c r="L76" s="46">
        <v>4.8</v>
      </c>
      <c r="M76" s="46"/>
      <c r="N76" s="46">
        <f t="shared" si="25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2"/>
        <v>0</v>
      </c>
      <c r="V76" s="46"/>
      <c r="W76" s="46"/>
      <c r="X76" s="46"/>
      <c r="Y76" s="46">
        <f t="shared" si="23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355.5</v>
      </c>
      <c r="E77" s="46"/>
      <c r="F77" s="46"/>
      <c r="G77" s="50"/>
      <c r="H77" s="46">
        <f t="shared" si="24"/>
        <v>355.5</v>
      </c>
      <c r="I77" s="46"/>
      <c r="J77" s="46"/>
      <c r="K77" s="46">
        <f t="shared" si="21"/>
        <v>0</v>
      </c>
      <c r="L77" s="46">
        <v>0.7</v>
      </c>
      <c r="M77" s="46"/>
      <c r="N77" s="46">
        <f t="shared" si="25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2"/>
        <v>0</v>
      </c>
      <c r="V77" s="46"/>
      <c r="W77" s="46"/>
      <c r="X77" s="46"/>
      <c r="Y77" s="46">
        <f t="shared" si="23"/>
        <v>0</v>
      </c>
    </row>
    <row r="78" spans="1:25" ht="12.75">
      <c r="A78" s="36">
        <v>3147</v>
      </c>
      <c r="B78" s="4">
        <v>332</v>
      </c>
      <c r="C78" s="67" t="s">
        <v>167</v>
      </c>
      <c r="D78" s="46">
        <v>3990.81</v>
      </c>
      <c r="E78" s="46">
        <f>5+140+6</f>
        <v>151</v>
      </c>
      <c r="F78" s="46"/>
      <c r="G78" s="73"/>
      <c r="H78" s="46">
        <f t="shared" si="24"/>
        <v>4141.8099999999995</v>
      </c>
      <c r="I78" s="46"/>
      <c r="J78" s="46">
        <f>260</f>
        <v>260</v>
      </c>
      <c r="K78" s="46">
        <f t="shared" si="21"/>
        <v>260</v>
      </c>
      <c r="L78" s="46">
        <v>1239.49</v>
      </c>
      <c r="M78" s="46"/>
      <c r="N78" s="46">
        <f t="shared" si="25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2"/>
        <v>3360</v>
      </c>
      <c r="V78" s="46"/>
      <c r="W78" s="50">
        <f>200+500</f>
        <v>700</v>
      </c>
      <c r="X78" s="46"/>
      <c r="Y78" s="46">
        <f t="shared" si="23"/>
        <v>700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/>
      <c r="F79" s="46"/>
      <c r="G79" s="50"/>
      <c r="H79" s="46">
        <f t="shared" si="24"/>
        <v>2548.22</v>
      </c>
      <c r="I79" s="46"/>
      <c r="J79" s="46"/>
      <c r="K79" s="46">
        <f t="shared" si="21"/>
        <v>0</v>
      </c>
      <c r="L79" s="46">
        <v>705.12</v>
      </c>
      <c r="M79" s="46"/>
      <c r="N79" s="46">
        <f t="shared" si="25"/>
        <v>705.12</v>
      </c>
      <c r="O79" s="65">
        <v>3141</v>
      </c>
      <c r="P79" s="4">
        <v>335</v>
      </c>
      <c r="Q79" s="11" t="s">
        <v>53</v>
      </c>
      <c r="R79" s="46"/>
      <c r="S79" s="46">
        <f>800</f>
        <v>800</v>
      </c>
      <c r="T79" s="46"/>
      <c r="U79" s="46">
        <f t="shared" si="22"/>
        <v>800</v>
      </c>
      <c r="V79" s="46">
        <v>1900</v>
      </c>
      <c r="W79" s="46"/>
      <c r="X79" s="46"/>
      <c r="Y79" s="46">
        <f t="shared" si="23"/>
        <v>1900</v>
      </c>
    </row>
    <row r="80" spans="1:25" ht="12.75">
      <c r="A80" s="36">
        <v>3121</v>
      </c>
      <c r="B80" s="4">
        <v>338</v>
      </c>
      <c r="C80" s="11" t="s">
        <v>8</v>
      </c>
      <c r="D80" s="46">
        <v>2336.7</v>
      </c>
      <c r="E80" s="46">
        <f>5</f>
        <v>5</v>
      </c>
      <c r="F80" s="46"/>
      <c r="G80" s="50"/>
      <c r="H80" s="46">
        <f t="shared" si="24"/>
        <v>2341.7</v>
      </c>
      <c r="I80" s="46"/>
      <c r="J80" s="46"/>
      <c r="K80" s="46">
        <f t="shared" si="21"/>
        <v>0</v>
      </c>
      <c r="L80" s="46">
        <v>100.1</v>
      </c>
      <c r="M80" s="46"/>
      <c r="N80" s="46">
        <f t="shared" si="25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2"/>
        <v>1225</v>
      </c>
      <c r="V80" s="46"/>
      <c r="W80" s="46"/>
      <c r="X80" s="46"/>
      <c r="Y80" s="46">
        <f t="shared" si="23"/>
        <v>0</v>
      </c>
    </row>
    <row r="81" spans="1:25" ht="12.75">
      <c r="A81" s="36">
        <v>3121</v>
      </c>
      <c r="B81" s="4">
        <v>339</v>
      </c>
      <c r="C81" s="37" t="s">
        <v>160</v>
      </c>
      <c r="D81" s="46">
        <v>2695.58</v>
      </c>
      <c r="E81" s="46">
        <f>5+200</f>
        <v>205</v>
      </c>
      <c r="F81" s="46"/>
      <c r="G81" s="50"/>
      <c r="H81" s="46">
        <f t="shared" si="24"/>
        <v>2900.58</v>
      </c>
      <c r="I81" s="46"/>
      <c r="J81" s="46"/>
      <c r="K81" s="46">
        <f t="shared" si="21"/>
        <v>0</v>
      </c>
      <c r="L81" s="46">
        <v>144.54999999999998</v>
      </c>
      <c r="M81" s="46"/>
      <c r="N81" s="46">
        <f t="shared" si="25"/>
        <v>144.54999999999998</v>
      </c>
      <c r="O81" s="65">
        <v>3121</v>
      </c>
      <c r="P81" s="4">
        <v>339</v>
      </c>
      <c r="Q81" s="37" t="s">
        <v>160</v>
      </c>
      <c r="R81" s="46"/>
      <c r="S81" s="50"/>
      <c r="T81" s="46"/>
      <c r="U81" s="46">
        <f t="shared" si="22"/>
        <v>0</v>
      </c>
      <c r="V81" s="46">
        <v>4500</v>
      </c>
      <c r="W81" s="46"/>
      <c r="X81" s="46"/>
      <c r="Y81" s="46">
        <f t="shared" si="23"/>
        <v>4500</v>
      </c>
    </row>
    <row r="82" spans="1:25" ht="12.75">
      <c r="A82" s="36">
        <v>3121</v>
      </c>
      <c r="B82" s="4">
        <v>340</v>
      </c>
      <c r="C82" s="37" t="s">
        <v>164</v>
      </c>
      <c r="D82" s="46">
        <v>3647.0600000000004</v>
      </c>
      <c r="E82" s="46">
        <f>50</f>
        <v>50</v>
      </c>
      <c r="F82" s="46"/>
      <c r="G82" s="50"/>
      <c r="H82" s="46">
        <f t="shared" si="24"/>
        <v>3697.0600000000004</v>
      </c>
      <c r="I82" s="46"/>
      <c r="J82" s="46"/>
      <c r="K82" s="46">
        <f t="shared" si="21"/>
        <v>0</v>
      </c>
      <c r="L82" s="46">
        <v>363.77000000000004</v>
      </c>
      <c r="M82" s="46"/>
      <c r="N82" s="46">
        <f t="shared" si="25"/>
        <v>363.77000000000004</v>
      </c>
      <c r="O82" s="65">
        <v>3121</v>
      </c>
      <c r="P82" s="4">
        <v>340</v>
      </c>
      <c r="Q82" s="11" t="s">
        <v>9</v>
      </c>
      <c r="R82" s="46"/>
      <c r="S82" s="50">
        <f>300</f>
        <v>300</v>
      </c>
      <c r="T82" s="46"/>
      <c r="U82" s="46">
        <f t="shared" si="22"/>
        <v>300</v>
      </c>
      <c r="V82" s="46"/>
      <c r="W82" s="46"/>
      <c r="X82" s="46"/>
      <c r="Y82" s="46">
        <f t="shared" si="23"/>
        <v>0</v>
      </c>
    </row>
    <row r="83" spans="1:25" ht="12.75">
      <c r="A83" s="36">
        <v>3122</v>
      </c>
      <c r="B83" s="4">
        <v>341</v>
      </c>
      <c r="C83" s="37" t="s">
        <v>191</v>
      </c>
      <c r="D83" s="46">
        <v>2207.6</v>
      </c>
      <c r="E83" s="46">
        <f>130</f>
        <v>130</v>
      </c>
      <c r="F83" s="46"/>
      <c r="G83" s="50"/>
      <c r="H83" s="46">
        <f t="shared" si="24"/>
        <v>2337.6</v>
      </c>
      <c r="I83" s="46"/>
      <c r="J83" s="57"/>
      <c r="K83" s="46">
        <f t="shared" si="21"/>
        <v>0</v>
      </c>
      <c r="L83" s="46">
        <v>114</v>
      </c>
      <c r="M83" s="46"/>
      <c r="N83" s="46">
        <f t="shared" si="25"/>
        <v>114</v>
      </c>
      <c r="O83" s="65">
        <v>3122</v>
      </c>
      <c r="P83" s="4">
        <v>341</v>
      </c>
      <c r="Q83" s="37" t="s">
        <v>127</v>
      </c>
      <c r="R83" s="46"/>
      <c r="S83" s="50">
        <f>100</f>
        <v>100</v>
      </c>
      <c r="T83" s="46"/>
      <c r="U83" s="46">
        <f t="shared" si="22"/>
        <v>100</v>
      </c>
      <c r="V83" s="46"/>
      <c r="W83" s="46"/>
      <c r="X83" s="46"/>
      <c r="Y83" s="46">
        <f t="shared" si="23"/>
        <v>0</v>
      </c>
    </row>
    <row r="84" spans="1:25" ht="25.5">
      <c r="A84" s="36">
        <v>3127</v>
      </c>
      <c r="B84" s="4">
        <v>342</v>
      </c>
      <c r="C84" s="67" t="s">
        <v>192</v>
      </c>
      <c r="D84" s="46">
        <v>6267.74</v>
      </c>
      <c r="E84" s="46">
        <f>5+261.3</f>
        <v>266.3</v>
      </c>
      <c r="F84" s="46"/>
      <c r="G84" s="50"/>
      <c r="H84" s="46">
        <f t="shared" si="24"/>
        <v>6534.04</v>
      </c>
      <c r="I84" s="46"/>
      <c r="J84" s="46"/>
      <c r="K84" s="46">
        <f t="shared" si="21"/>
        <v>0</v>
      </c>
      <c r="L84" s="46">
        <v>1384.7199999999998</v>
      </c>
      <c r="M84" s="46"/>
      <c r="N84" s="46">
        <f t="shared" si="25"/>
        <v>1384.7199999999998</v>
      </c>
      <c r="O84" s="65">
        <v>3127</v>
      </c>
      <c r="P84" s="4">
        <v>342</v>
      </c>
      <c r="Q84" s="11" t="s">
        <v>58</v>
      </c>
      <c r="R84" s="46"/>
      <c r="S84" s="46"/>
      <c r="T84" s="46"/>
      <c r="U84" s="46">
        <f t="shared" si="22"/>
        <v>0</v>
      </c>
      <c r="V84" s="46">
        <v>427</v>
      </c>
      <c r="W84" s="46">
        <f>350</f>
        <v>350</v>
      </c>
      <c r="X84" s="46"/>
      <c r="Y84" s="46">
        <f t="shared" si="23"/>
        <v>777</v>
      </c>
    </row>
    <row r="85" spans="1:25" ht="12.75">
      <c r="A85" s="36">
        <v>3127</v>
      </c>
      <c r="B85" s="4">
        <v>344</v>
      </c>
      <c r="C85" s="67" t="s">
        <v>161</v>
      </c>
      <c r="D85" s="46">
        <v>3504.52</v>
      </c>
      <c r="E85" s="46">
        <f>5+540.5</f>
        <v>545.5</v>
      </c>
      <c r="F85" s="46"/>
      <c r="G85" s="50"/>
      <c r="H85" s="46">
        <f t="shared" si="24"/>
        <v>4050.02</v>
      </c>
      <c r="I85" s="46"/>
      <c r="J85" s="46"/>
      <c r="K85" s="46">
        <f t="shared" si="21"/>
        <v>0</v>
      </c>
      <c r="L85" s="46">
        <v>888.1399999999999</v>
      </c>
      <c r="M85" s="46"/>
      <c r="N85" s="46">
        <f t="shared" si="25"/>
        <v>888.1399999999999</v>
      </c>
      <c r="O85" s="65">
        <v>3127</v>
      </c>
      <c r="P85" s="4">
        <v>344</v>
      </c>
      <c r="Q85" s="11" t="s">
        <v>59</v>
      </c>
      <c r="R85" s="46"/>
      <c r="S85" s="46"/>
      <c r="T85" s="46"/>
      <c r="U85" s="46">
        <f t="shared" si="22"/>
        <v>0</v>
      </c>
      <c r="V85" s="46">
        <v>5063</v>
      </c>
      <c r="W85" s="46"/>
      <c r="X85" s="46"/>
      <c r="Y85" s="46">
        <f t="shared" si="23"/>
        <v>5063</v>
      </c>
    </row>
    <row r="86" spans="1:25" ht="12.75">
      <c r="A86" s="36">
        <v>3124</v>
      </c>
      <c r="B86" s="4">
        <v>345</v>
      </c>
      <c r="C86" s="67" t="s">
        <v>168</v>
      </c>
      <c r="D86" s="46">
        <v>8183.66</v>
      </c>
      <c r="E86" s="46">
        <f>5+562.6+10</f>
        <v>577.6</v>
      </c>
      <c r="F86" s="46"/>
      <c r="G86" s="50"/>
      <c r="H86" s="46">
        <f t="shared" si="24"/>
        <v>8761.26</v>
      </c>
      <c r="I86" s="46"/>
      <c r="J86" s="46"/>
      <c r="K86" s="46">
        <f t="shared" si="21"/>
        <v>0</v>
      </c>
      <c r="L86" s="46">
        <v>1215.5</v>
      </c>
      <c r="M86" s="46"/>
      <c r="N86" s="46">
        <f t="shared" si="25"/>
        <v>1215.5</v>
      </c>
      <c r="O86" s="65">
        <v>3124</v>
      </c>
      <c r="P86" s="4">
        <v>345</v>
      </c>
      <c r="Q86" s="37" t="s">
        <v>142</v>
      </c>
      <c r="R86" s="46">
        <v>500</v>
      </c>
      <c r="S86" s="46">
        <f>65</f>
        <v>65</v>
      </c>
      <c r="T86" s="46"/>
      <c r="U86" s="46">
        <f t="shared" si="22"/>
        <v>565</v>
      </c>
      <c r="V86" s="46">
        <v>3915</v>
      </c>
      <c r="W86" s="46">
        <f>1400-65</f>
        <v>1335</v>
      </c>
      <c r="X86" s="46"/>
      <c r="Y86" s="46">
        <f t="shared" si="23"/>
        <v>5250</v>
      </c>
    </row>
    <row r="87" spans="1:25" ht="12.75">
      <c r="A87" s="36">
        <v>3114</v>
      </c>
      <c r="B87" s="4">
        <v>346</v>
      </c>
      <c r="C87" s="37" t="s">
        <v>175</v>
      </c>
      <c r="D87" s="46">
        <v>2850.16</v>
      </c>
      <c r="E87" s="46">
        <f>5</f>
        <v>5</v>
      </c>
      <c r="F87" s="46"/>
      <c r="G87" s="50"/>
      <c r="H87" s="46">
        <f t="shared" si="24"/>
        <v>2855.16</v>
      </c>
      <c r="I87" s="46"/>
      <c r="J87" s="46"/>
      <c r="K87" s="46">
        <f t="shared" si="21"/>
        <v>0</v>
      </c>
      <c r="L87" s="46">
        <v>372.20000000000005</v>
      </c>
      <c r="M87" s="46"/>
      <c r="N87" s="46">
        <f t="shared" si="25"/>
        <v>372.20000000000005</v>
      </c>
      <c r="O87" s="65">
        <v>3114</v>
      </c>
      <c r="P87" s="4">
        <v>346</v>
      </c>
      <c r="Q87" s="37" t="s">
        <v>175</v>
      </c>
      <c r="R87" s="46"/>
      <c r="S87" s="46"/>
      <c r="T87" s="46"/>
      <c r="U87" s="46">
        <f t="shared" si="22"/>
        <v>0</v>
      </c>
      <c r="V87" s="46"/>
      <c r="W87" s="46"/>
      <c r="X87" s="46"/>
      <c r="Y87" s="46">
        <f t="shared" si="23"/>
        <v>0</v>
      </c>
    </row>
    <row r="88" spans="1:25" ht="12.75">
      <c r="A88" s="36">
        <v>3114</v>
      </c>
      <c r="B88" s="4">
        <v>347</v>
      </c>
      <c r="C88" s="13" t="s">
        <v>94</v>
      </c>
      <c r="D88" s="46">
        <v>1648.8</v>
      </c>
      <c r="E88" s="46">
        <f>5</f>
        <v>5</v>
      </c>
      <c r="F88" s="46"/>
      <c r="G88" s="50"/>
      <c r="H88" s="46">
        <f t="shared" si="24"/>
        <v>1653.8</v>
      </c>
      <c r="I88" s="46"/>
      <c r="J88" s="46"/>
      <c r="K88" s="46">
        <f t="shared" si="21"/>
        <v>0</v>
      </c>
      <c r="L88" s="46">
        <v>204.8</v>
      </c>
      <c r="M88" s="46"/>
      <c r="N88" s="46">
        <f t="shared" si="25"/>
        <v>204.8</v>
      </c>
      <c r="O88" s="65">
        <v>3114</v>
      </c>
      <c r="P88" s="4">
        <v>347</v>
      </c>
      <c r="Q88" s="13" t="s">
        <v>94</v>
      </c>
      <c r="R88" s="46"/>
      <c r="S88" s="46"/>
      <c r="T88" s="46"/>
      <c r="U88" s="46">
        <f t="shared" si="22"/>
        <v>0</v>
      </c>
      <c r="V88" s="46"/>
      <c r="W88" s="46"/>
      <c r="X88" s="46"/>
      <c r="Y88" s="46">
        <f t="shared" si="23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5148.01</v>
      </c>
      <c r="E89" s="46">
        <f>5+80</f>
        <v>85</v>
      </c>
      <c r="F89" s="46"/>
      <c r="G89" s="50"/>
      <c r="H89" s="46">
        <f t="shared" si="24"/>
        <v>5233.01</v>
      </c>
      <c r="I89" s="46"/>
      <c r="J89" s="46"/>
      <c r="K89" s="46">
        <f t="shared" si="21"/>
        <v>0</v>
      </c>
      <c r="L89" s="46">
        <v>362.71</v>
      </c>
      <c r="M89" s="46"/>
      <c r="N89" s="46">
        <f t="shared" si="25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2"/>
        <v>0</v>
      </c>
      <c r="V89" s="46">
        <v>525</v>
      </c>
      <c r="W89" s="46"/>
      <c r="X89" s="46"/>
      <c r="Y89" s="46">
        <f t="shared" si="23"/>
        <v>525</v>
      </c>
    </row>
    <row r="90" spans="1:25" ht="12.75">
      <c r="A90" s="36">
        <v>3294</v>
      </c>
      <c r="B90" s="4">
        <v>352</v>
      </c>
      <c r="C90" s="37" t="s">
        <v>163</v>
      </c>
      <c r="D90" s="46">
        <v>3912.6</v>
      </c>
      <c r="E90" s="46">
        <f>5+288.9</f>
        <v>293.9</v>
      </c>
      <c r="F90" s="46"/>
      <c r="G90" s="50"/>
      <c r="H90" s="46">
        <f t="shared" si="24"/>
        <v>4206.5</v>
      </c>
      <c r="I90" s="46"/>
      <c r="J90" s="46"/>
      <c r="K90" s="46">
        <f t="shared" si="21"/>
        <v>0</v>
      </c>
      <c r="L90" s="46">
        <v>0</v>
      </c>
      <c r="M90" s="46"/>
      <c r="N90" s="46">
        <f t="shared" si="25"/>
        <v>0</v>
      </c>
      <c r="O90" s="65">
        <v>3294</v>
      </c>
      <c r="P90" s="4">
        <v>352</v>
      </c>
      <c r="Q90" s="37" t="s">
        <v>143</v>
      </c>
      <c r="R90" s="46"/>
      <c r="S90" s="46"/>
      <c r="T90" s="46"/>
      <c r="U90" s="46">
        <f t="shared" si="22"/>
        <v>0</v>
      </c>
      <c r="V90" s="46"/>
      <c r="W90" s="46"/>
      <c r="X90" s="46"/>
      <c r="Y90" s="46">
        <f t="shared" si="23"/>
        <v>0</v>
      </c>
    </row>
    <row r="91" spans="1:25" ht="12.75">
      <c r="A91" s="36">
        <v>3127</v>
      </c>
      <c r="B91" s="4">
        <v>353</v>
      </c>
      <c r="C91" s="37" t="s">
        <v>169</v>
      </c>
      <c r="D91" s="46">
        <v>5205.67</v>
      </c>
      <c r="E91" s="46">
        <f>5+464.6</f>
        <v>469.6</v>
      </c>
      <c r="F91" s="46"/>
      <c r="G91" s="50"/>
      <c r="H91" s="46">
        <f t="shared" si="24"/>
        <v>5675.27</v>
      </c>
      <c r="I91" s="46"/>
      <c r="J91" s="46"/>
      <c r="K91" s="46">
        <f t="shared" si="21"/>
        <v>0</v>
      </c>
      <c r="L91" s="46">
        <v>430.08</v>
      </c>
      <c r="M91" s="46"/>
      <c r="N91" s="46">
        <f t="shared" si="25"/>
        <v>430.08</v>
      </c>
      <c r="O91" s="65">
        <v>3127</v>
      </c>
      <c r="P91" s="4">
        <v>353</v>
      </c>
      <c r="Q91" s="11" t="s">
        <v>61</v>
      </c>
      <c r="R91" s="46">
        <v>1008</v>
      </c>
      <c r="S91" s="46"/>
      <c r="T91" s="46"/>
      <c r="U91" s="46">
        <f t="shared" si="22"/>
        <v>1008</v>
      </c>
      <c r="V91" s="46">
        <v>130</v>
      </c>
      <c r="W91" s="46">
        <f>1100</f>
        <v>1100</v>
      </c>
      <c r="X91" s="46"/>
      <c r="Y91" s="46">
        <f t="shared" si="23"/>
        <v>1230</v>
      </c>
    </row>
    <row r="92" spans="1:25" ht="12.75">
      <c r="A92" s="36">
        <v>3127</v>
      </c>
      <c r="B92" s="4">
        <v>354</v>
      </c>
      <c r="C92" s="37" t="s">
        <v>91</v>
      </c>
      <c r="D92" s="46">
        <v>2930.91</v>
      </c>
      <c r="E92" s="46">
        <f>5+304.58</f>
        <v>309.58</v>
      </c>
      <c r="F92" s="46"/>
      <c r="G92" s="50"/>
      <c r="H92" s="46">
        <f t="shared" si="24"/>
        <v>3240.49</v>
      </c>
      <c r="I92" s="46"/>
      <c r="J92" s="46"/>
      <c r="K92" s="46">
        <f t="shared" si="21"/>
        <v>0</v>
      </c>
      <c r="L92" s="46">
        <v>219.78</v>
      </c>
      <c r="M92" s="46">
        <f>69.08</f>
        <v>69.08</v>
      </c>
      <c r="N92" s="46">
        <f t="shared" si="25"/>
        <v>288.86</v>
      </c>
      <c r="O92" s="65">
        <v>3127</v>
      </c>
      <c r="P92" s="4">
        <v>354</v>
      </c>
      <c r="Q92" s="37" t="s">
        <v>91</v>
      </c>
      <c r="R92" s="46"/>
      <c r="S92" s="46"/>
      <c r="T92" s="46"/>
      <c r="U92" s="46">
        <f t="shared" si="22"/>
        <v>0</v>
      </c>
      <c r="V92" s="46"/>
      <c r="W92" s="46"/>
      <c r="X92" s="46"/>
      <c r="Y92" s="46">
        <f t="shared" si="23"/>
        <v>0</v>
      </c>
    </row>
    <row r="93" spans="1:25" ht="12.75">
      <c r="A93" s="36">
        <v>3122</v>
      </c>
      <c r="B93" s="4">
        <v>355</v>
      </c>
      <c r="C93" s="37" t="s">
        <v>92</v>
      </c>
      <c r="D93" s="46">
        <v>2680.83</v>
      </c>
      <c r="E93" s="46">
        <f>5+105.6+20</f>
        <v>130.6</v>
      </c>
      <c r="F93" s="46"/>
      <c r="G93" s="50"/>
      <c r="H93" s="46">
        <f t="shared" si="24"/>
        <v>2811.43</v>
      </c>
      <c r="I93" s="46"/>
      <c r="J93" s="46"/>
      <c r="K93" s="46">
        <f t="shared" si="21"/>
        <v>0</v>
      </c>
      <c r="L93" s="46">
        <v>659.5500000000001</v>
      </c>
      <c r="M93" s="46"/>
      <c r="N93" s="46">
        <f t="shared" si="25"/>
        <v>659.5500000000001</v>
      </c>
      <c r="O93" s="65">
        <v>3122</v>
      </c>
      <c r="P93" s="4">
        <v>355</v>
      </c>
      <c r="Q93" s="37" t="s">
        <v>92</v>
      </c>
      <c r="R93" s="46"/>
      <c r="S93" s="46"/>
      <c r="T93" s="46"/>
      <c r="U93" s="46">
        <f t="shared" si="22"/>
        <v>0</v>
      </c>
      <c r="V93" s="46"/>
      <c r="W93" s="46"/>
      <c r="X93" s="46"/>
      <c r="Y93" s="46">
        <f t="shared" si="23"/>
        <v>0</v>
      </c>
    </row>
    <row r="94" spans="1:25" ht="12.75">
      <c r="A94" s="36">
        <v>3127</v>
      </c>
      <c r="B94" s="4">
        <v>357</v>
      </c>
      <c r="C94" s="37" t="s">
        <v>144</v>
      </c>
      <c r="D94" s="46">
        <v>9541.609999999999</v>
      </c>
      <c r="E94" s="46">
        <f>5+113.7</f>
        <v>118.7</v>
      </c>
      <c r="F94" s="46"/>
      <c r="G94" s="50"/>
      <c r="H94" s="46">
        <f t="shared" si="24"/>
        <v>9660.31</v>
      </c>
      <c r="I94" s="46"/>
      <c r="J94" s="46"/>
      <c r="K94" s="46">
        <f t="shared" si="21"/>
        <v>0</v>
      </c>
      <c r="L94" s="46">
        <v>1086.9</v>
      </c>
      <c r="M94" s="46"/>
      <c r="N94" s="46">
        <f t="shared" si="25"/>
        <v>1086.9</v>
      </c>
      <c r="O94" s="65">
        <v>3127</v>
      </c>
      <c r="P94" s="4">
        <v>357</v>
      </c>
      <c r="Q94" s="37" t="s">
        <v>144</v>
      </c>
      <c r="R94" s="46"/>
      <c r="S94" s="46"/>
      <c r="T94" s="46"/>
      <c r="U94" s="46">
        <f t="shared" si="22"/>
        <v>0</v>
      </c>
      <c r="V94" s="46">
        <v>356</v>
      </c>
      <c r="W94" s="50">
        <f>400</f>
        <v>400</v>
      </c>
      <c r="X94" s="46"/>
      <c r="Y94" s="46">
        <f t="shared" si="23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1039.15</v>
      </c>
      <c r="E95" s="46"/>
      <c r="F95" s="46"/>
      <c r="G95" s="50"/>
      <c r="H95" s="46">
        <f t="shared" si="24"/>
        <v>1039.15</v>
      </c>
      <c r="I95" s="46"/>
      <c r="J95" s="46"/>
      <c r="K95" s="46">
        <f t="shared" si="21"/>
        <v>0</v>
      </c>
      <c r="L95" s="46">
        <v>117.60000000000001</v>
      </c>
      <c r="M95" s="46"/>
      <c r="N95" s="46">
        <f t="shared" si="25"/>
        <v>117.60000000000001</v>
      </c>
      <c r="O95" s="65">
        <v>3114</v>
      </c>
      <c r="P95" s="4">
        <v>358</v>
      </c>
      <c r="Q95" s="11" t="s">
        <v>62</v>
      </c>
      <c r="R95" s="46"/>
      <c r="S95" s="46"/>
      <c r="T95" s="46"/>
      <c r="U95" s="46">
        <f t="shared" si="22"/>
        <v>0</v>
      </c>
      <c r="V95" s="46"/>
      <c r="W95" s="46"/>
      <c r="X95" s="46"/>
      <c r="Y95" s="46">
        <f t="shared" si="23"/>
        <v>0</v>
      </c>
    </row>
    <row r="96" spans="1:25" ht="12.75">
      <c r="A96" s="36">
        <v>3114</v>
      </c>
      <c r="B96" s="4">
        <v>362</v>
      </c>
      <c r="C96" s="37" t="s">
        <v>114</v>
      </c>
      <c r="D96" s="46">
        <v>874.4</v>
      </c>
      <c r="E96" s="46"/>
      <c r="F96" s="46"/>
      <c r="G96" s="50"/>
      <c r="H96" s="46">
        <f t="shared" si="24"/>
        <v>874.4</v>
      </c>
      <c r="I96" s="46"/>
      <c r="J96" s="46"/>
      <c r="K96" s="46">
        <f t="shared" si="21"/>
        <v>0</v>
      </c>
      <c r="L96" s="46">
        <v>0</v>
      </c>
      <c r="M96" s="46"/>
      <c r="N96" s="46">
        <f t="shared" si="25"/>
        <v>0</v>
      </c>
      <c r="O96" s="65">
        <v>3114</v>
      </c>
      <c r="P96" s="4">
        <v>362</v>
      </c>
      <c r="Q96" s="37" t="s">
        <v>114</v>
      </c>
      <c r="R96" s="46"/>
      <c r="S96" s="46"/>
      <c r="T96" s="46"/>
      <c r="U96" s="46">
        <f t="shared" si="22"/>
        <v>0</v>
      </c>
      <c r="V96" s="46"/>
      <c r="W96" s="46"/>
      <c r="X96" s="46"/>
      <c r="Y96" s="46">
        <f t="shared" si="23"/>
        <v>0</v>
      </c>
    </row>
    <row r="97" spans="1:25" ht="12.75">
      <c r="A97" s="36">
        <v>3114</v>
      </c>
      <c r="B97" s="4">
        <v>363</v>
      </c>
      <c r="C97" s="13" t="s">
        <v>193</v>
      </c>
      <c r="D97" s="46">
        <v>1595.49</v>
      </c>
      <c r="E97" s="50">
        <f>5</f>
        <v>5</v>
      </c>
      <c r="F97" s="46"/>
      <c r="G97" s="50"/>
      <c r="H97" s="46">
        <f t="shared" si="24"/>
        <v>1600.49</v>
      </c>
      <c r="I97" s="46"/>
      <c r="J97" s="46"/>
      <c r="K97" s="46">
        <f t="shared" si="21"/>
        <v>0</v>
      </c>
      <c r="L97" s="46">
        <v>45.03</v>
      </c>
      <c r="M97" s="46"/>
      <c r="N97" s="46">
        <f t="shared" si="25"/>
        <v>45.03</v>
      </c>
      <c r="O97" s="65">
        <v>3114</v>
      </c>
      <c r="P97" s="4">
        <v>363</v>
      </c>
      <c r="Q97" s="11" t="s">
        <v>83</v>
      </c>
      <c r="R97" s="46"/>
      <c r="S97" s="46"/>
      <c r="T97" s="46"/>
      <c r="U97" s="46">
        <f t="shared" si="22"/>
        <v>0</v>
      </c>
      <c r="V97" s="46"/>
      <c r="W97" s="46"/>
      <c r="X97" s="46"/>
      <c r="Y97" s="46">
        <f t="shared" si="23"/>
        <v>0</v>
      </c>
    </row>
    <row r="98" spans="1:25" ht="12.75">
      <c r="A98" s="36">
        <v>3121</v>
      </c>
      <c r="B98" s="4">
        <v>367</v>
      </c>
      <c r="C98" s="13" t="s">
        <v>130</v>
      </c>
      <c r="D98" s="46">
        <v>4030.42</v>
      </c>
      <c r="E98" s="46">
        <f>5+150</f>
        <v>155</v>
      </c>
      <c r="F98" s="46"/>
      <c r="G98" s="50"/>
      <c r="H98" s="46">
        <f t="shared" si="24"/>
        <v>4185.42</v>
      </c>
      <c r="I98" s="46"/>
      <c r="J98" s="46"/>
      <c r="K98" s="46">
        <f t="shared" si="21"/>
        <v>0</v>
      </c>
      <c r="L98" s="46">
        <v>439.52000000000004</v>
      </c>
      <c r="M98" s="46"/>
      <c r="N98" s="46">
        <f t="shared" si="25"/>
        <v>439.52000000000004</v>
      </c>
      <c r="O98" s="65">
        <v>3121</v>
      </c>
      <c r="P98" s="4">
        <v>367</v>
      </c>
      <c r="Q98" s="13" t="s">
        <v>130</v>
      </c>
      <c r="R98" s="46"/>
      <c r="S98" s="46"/>
      <c r="T98" s="46"/>
      <c r="U98" s="46">
        <f t="shared" si="22"/>
        <v>0</v>
      </c>
      <c r="V98" s="46"/>
      <c r="W98" s="46"/>
      <c r="X98" s="46"/>
      <c r="Y98" s="46">
        <f t="shared" si="23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2425.1899999999996</v>
      </c>
      <c r="E99" s="46">
        <f>5+10</f>
        <v>15</v>
      </c>
      <c r="F99" s="46"/>
      <c r="G99" s="50"/>
      <c r="H99" s="46">
        <f t="shared" si="24"/>
        <v>2440.1899999999996</v>
      </c>
      <c r="I99" s="46"/>
      <c r="J99" s="46"/>
      <c r="K99" s="46">
        <f t="shared" si="21"/>
        <v>0</v>
      </c>
      <c r="L99" s="46">
        <v>397.69</v>
      </c>
      <c r="M99" s="46"/>
      <c r="N99" s="46">
        <f t="shared" si="25"/>
        <v>397.69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2"/>
        <v>0</v>
      </c>
      <c r="V99" s="46">
        <v>441</v>
      </c>
      <c r="W99" s="46"/>
      <c r="X99" s="46"/>
      <c r="Y99" s="46">
        <f t="shared" si="23"/>
        <v>441</v>
      </c>
    </row>
    <row r="100" spans="1:25" ht="12.75">
      <c r="A100" s="36">
        <v>3122</v>
      </c>
      <c r="B100" s="5">
        <v>370</v>
      </c>
      <c r="C100" s="71" t="s">
        <v>155</v>
      </c>
      <c r="D100" s="46">
        <v>2848.16</v>
      </c>
      <c r="E100" s="51">
        <f>5-59+20</f>
        <v>-34</v>
      </c>
      <c r="F100" s="51"/>
      <c r="G100" s="60"/>
      <c r="H100" s="46">
        <f t="shared" si="24"/>
        <v>2814.16</v>
      </c>
      <c r="I100" s="51"/>
      <c r="J100" s="51">
        <f>125.6</f>
        <v>125.6</v>
      </c>
      <c r="K100" s="46">
        <f t="shared" si="21"/>
        <v>125.6</v>
      </c>
      <c r="L100" s="46">
        <v>295.06</v>
      </c>
      <c r="M100" s="51"/>
      <c r="N100" s="46">
        <f t="shared" si="25"/>
        <v>295.06</v>
      </c>
      <c r="O100" s="65">
        <v>3122</v>
      </c>
      <c r="P100" s="5">
        <v>370</v>
      </c>
      <c r="Q100" s="12" t="s">
        <v>84</v>
      </c>
      <c r="R100" s="51">
        <v>810</v>
      </c>
      <c r="S100" s="51">
        <f>-10</f>
        <v>-10</v>
      </c>
      <c r="T100" s="51"/>
      <c r="U100" s="46">
        <f t="shared" si="22"/>
        <v>800</v>
      </c>
      <c r="V100" s="51"/>
      <c r="W100" s="51">
        <f>236+10</f>
        <v>246</v>
      </c>
      <c r="X100" s="51"/>
      <c r="Y100" s="46">
        <f t="shared" si="23"/>
        <v>246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2827.96</v>
      </c>
      <c r="E101" s="46">
        <f>60</f>
        <v>60</v>
      </c>
      <c r="F101" s="46"/>
      <c r="G101" s="50"/>
      <c r="H101" s="46">
        <f t="shared" si="24"/>
        <v>2887.96</v>
      </c>
      <c r="I101" s="46"/>
      <c r="J101" s="46"/>
      <c r="K101" s="46">
        <f t="shared" si="21"/>
        <v>0</v>
      </c>
      <c r="L101" s="46">
        <v>70.24000000000001</v>
      </c>
      <c r="M101" s="46"/>
      <c r="N101" s="46">
        <f t="shared" si="25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2"/>
        <v>2000</v>
      </c>
      <c r="V101" s="46"/>
      <c r="W101" s="46"/>
      <c r="X101" s="46"/>
      <c r="Y101" s="46">
        <f t="shared" si="23"/>
        <v>0</v>
      </c>
    </row>
    <row r="102" spans="1:25" ht="24">
      <c r="A102" s="36">
        <v>3127</v>
      </c>
      <c r="B102" s="4">
        <v>372</v>
      </c>
      <c r="C102" s="77" t="s">
        <v>194</v>
      </c>
      <c r="D102" s="46">
        <v>6239.08</v>
      </c>
      <c r="E102" s="46">
        <f>5+80.6</f>
        <v>85.6</v>
      </c>
      <c r="F102" s="46"/>
      <c r="G102" s="50"/>
      <c r="H102" s="46">
        <f t="shared" si="24"/>
        <v>6324.68</v>
      </c>
      <c r="I102" s="46"/>
      <c r="J102" s="46"/>
      <c r="K102" s="46">
        <f t="shared" si="21"/>
        <v>0</v>
      </c>
      <c r="L102" s="46">
        <v>828.71</v>
      </c>
      <c r="M102" s="46"/>
      <c r="N102" s="46">
        <f t="shared" si="25"/>
        <v>828.71</v>
      </c>
      <c r="O102" s="65">
        <v>3127</v>
      </c>
      <c r="P102" s="4">
        <v>372</v>
      </c>
      <c r="Q102" s="37" t="s">
        <v>145</v>
      </c>
      <c r="R102" s="46">
        <v>97</v>
      </c>
      <c r="S102" s="57"/>
      <c r="T102" s="46"/>
      <c r="U102" s="46">
        <f t="shared" si="22"/>
        <v>97</v>
      </c>
      <c r="V102" s="46">
        <v>333.93</v>
      </c>
      <c r="W102" s="50"/>
      <c r="X102" s="50"/>
      <c r="Y102" s="46">
        <f t="shared" si="23"/>
        <v>333.93</v>
      </c>
    </row>
    <row r="103" spans="1:25" ht="12.75">
      <c r="A103" s="36">
        <v>3133</v>
      </c>
      <c r="B103" s="4">
        <v>374</v>
      </c>
      <c r="C103" s="11" t="s">
        <v>89</v>
      </c>
      <c r="D103" s="46">
        <v>1891.3200000000002</v>
      </c>
      <c r="E103" s="46"/>
      <c r="F103" s="46"/>
      <c r="G103" s="50"/>
      <c r="H103" s="46">
        <f t="shared" si="24"/>
        <v>1891.3200000000002</v>
      </c>
      <c r="I103" s="46"/>
      <c r="J103" s="46"/>
      <c r="K103" s="46">
        <f t="shared" si="21"/>
        <v>0</v>
      </c>
      <c r="L103" s="46">
        <v>108.33</v>
      </c>
      <c r="M103" s="46"/>
      <c r="N103" s="46">
        <f t="shared" si="25"/>
        <v>108.33</v>
      </c>
      <c r="O103" s="65">
        <v>3133</v>
      </c>
      <c r="P103" s="4">
        <v>374</v>
      </c>
      <c r="Q103" s="11" t="s">
        <v>89</v>
      </c>
      <c r="R103" s="46"/>
      <c r="S103" s="46"/>
      <c r="T103" s="46"/>
      <c r="U103" s="46">
        <f t="shared" si="22"/>
        <v>0</v>
      </c>
      <c r="V103" s="46"/>
      <c r="W103" s="50"/>
      <c r="X103" s="50"/>
      <c r="Y103" s="46">
        <f t="shared" si="23"/>
        <v>0</v>
      </c>
    </row>
    <row r="104" spans="1:25" ht="12.75">
      <c r="A104" s="36">
        <v>3114</v>
      </c>
      <c r="B104" s="4">
        <v>379</v>
      </c>
      <c r="C104" s="37" t="s">
        <v>195</v>
      </c>
      <c r="D104" s="46">
        <v>603.2</v>
      </c>
      <c r="E104" s="46">
        <f>5</f>
        <v>5</v>
      </c>
      <c r="F104" s="46"/>
      <c r="G104" s="50"/>
      <c r="H104" s="46">
        <f t="shared" si="24"/>
        <v>608.2</v>
      </c>
      <c r="I104" s="46"/>
      <c r="J104" s="46"/>
      <c r="K104" s="46">
        <f t="shared" si="21"/>
        <v>0</v>
      </c>
      <c r="L104" s="46">
        <v>34.7</v>
      </c>
      <c r="M104" s="46"/>
      <c r="N104" s="46">
        <f t="shared" si="25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2"/>
        <v>0</v>
      </c>
      <c r="V104" s="46"/>
      <c r="W104" s="46"/>
      <c r="X104" s="46"/>
      <c r="Y104" s="46">
        <f t="shared" si="23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2736.3</v>
      </c>
      <c r="E105" s="46">
        <f>10</f>
        <v>10</v>
      </c>
      <c r="F105" s="46"/>
      <c r="G105" s="50"/>
      <c r="H105" s="46">
        <f t="shared" si="24"/>
        <v>2746.3</v>
      </c>
      <c r="I105" s="46"/>
      <c r="J105" s="46"/>
      <c r="K105" s="46">
        <f t="shared" si="21"/>
        <v>0</v>
      </c>
      <c r="L105" s="46">
        <v>171.76000000000002</v>
      </c>
      <c r="M105" s="46"/>
      <c r="N105" s="46">
        <f t="shared" si="25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2"/>
        <v>0</v>
      </c>
      <c r="V105" s="46"/>
      <c r="W105" s="46"/>
      <c r="X105" s="46"/>
      <c r="Y105" s="46">
        <f t="shared" si="23"/>
        <v>0</v>
      </c>
    </row>
    <row r="106" spans="1:25" ht="12.75">
      <c r="A106" s="36">
        <v>3114</v>
      </c>
      <c r="B106" s="4">
        <v>381</v>
      </c>
      <c r="C106" s="37" t="s">
        <v>115</v>
      </c>
      <c r="D106" s="46">
        <v>1610.75</v>
      </c>
      <c r="E106" s="46"/>
      <c r="F106" s="46"/>
      <c r="G106" s="50"/>
      <c r="H106" s="46">
        <f t="shared" si="24"/>
        <v>1610.75</v>
      </c>
      <c r="I106" s="46"/>
      <c r="J106" s="46"/>
      <c r="K106" s="46">
        <f t="shared" si="21"/>
        <v>0</v>
      </c>
      <c r="L106" s="46">
        <v>4.260000000000002</v>
      </c>
      <c r="M106" s="46"/>
      <c r="N106" s="46">
        <f t="shared" si="25"/>
        <v>4.260000000000002</v>
      </c>
      <c r="O106" s="65">
        <v>3114</v>
      </c>
      <c r="P106" s="4">
        <v>381</v>
      </c>
      <c r="Q106" s="37" t="s">
        <v>115</v>
      </c>
      <c r="R106" s="46"/>
      <c r="S106" s="46"/>
      <c r="T106" s="46"/>
      <c r="U106" s="46">
        <f t="shared" si="22"/>
        <v>0</v>
      </c>
      <c r="V106" s="46"/>
      <c r="W106" s="46"/>
      <c r="X106" s="46"/>
      <c r="Y106" s="46">
        <f t="shared" si="23"/>
        <v>0</v>
      </c>
    </row>
    <row r="107" spans="1:25" ht="12.75">
      <c r="A107" s="36">
        <v>3114</v>
      </c>
      <c r="B107" s="4">
        <v>383</v>
      </c>
      <c r="C107" s="37" t="s">
        <v>196</v>
      </c>
      <c r="D107" s="46">
        <v>607.2</v>
      </c>
      <c r="E107" s="46"/>
      <c r="F107" s="46"/>
      <c r="G107" s="50"/>
      <c r="H107" s="46">
        <f t="shared" si="24"/>
        <v>607.2</v>
      </c>
      <c r="I107" s="46"/>
      <c r="J107" s="46"/>
      <c r="K107" s="46">
        <f t="shared" si="21"/>
        <v>0</v>
      </c>
      <c r="L107" s="46">
        <v>17.8</v>
      </c>
      <c r="M107" s="46"/>
      <c r="N107" s="46">
        <f t="shared" si="25"/>
        <v>17.8</v>
      </c>
      <c r="O107" s="65">
        <v>3114</v>
      </c>
      <c r="P107" s="4">
        <v>383</v>
      </c>
      <c r="Q107" s="37" t="s">
        <v>146</v>
      </c>
      <c r="R107" s="46"/>
      <c r="S107" s="46"/>
      <c r="T107" s="46"/>
      <c r="U107" s="46">
        <f t="shared" si="22"/>
        <v>0</v>
      </c>
      <c r="V107" s="46"/>
      <c r="W107" s="46"/>
      <c r="X107" s="46"/>
      <c r="Y107" s="46">
        <f t="shared" si="23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2950.2</v>
      </c>
      <c r="E108" s="46">
        <f>5+100</f>
        <v>105</v>
      </c>
      <c r="F108" s="46"/>
      <c r="G108" s="50"/>
      <c r="H108" s="46">
        <f t="shared" si="24"/>
        <v>3055.2</v>
      </c>
      <c r="I108" s="46"/>
      <c r="J108" s="46"/>
      <c r="K108" s="46">
        <f t="shared" si="21"/>
        <v>0</v>
      </c>
      <c r="L108" s="46">
        <v>233.6</v>
      </c>
      <c r="M108" s="46"/>
      <c r="N108" s="46">
        <f t="shared" si="25"/>
        <v>233.6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2"/>
        <v>717</v>
      </c>
      <c r="V108" s="46">
        <v>150</v>
      </c>
      <c r="W108" s="46"/>
      <c r="X108" s="46"/>
      <c r="Y108" s="46">
        <f t="shared" si="23"/>
        <v>150</v>
      </c>
    </row>
    <row r="109" spans="1:25" ht="12.75" customHeight="1">
      <c r="A109" s="36">
        <v>3127</v>
      </c>
      <c r="B109" s="4">
        <v>391</v>
      </c>
      <c r="C109" s="37" t="s">
        <v>153</v>
      </c>
      <c r="D109" s="46">
        <v>10058</v>
      </c>
      <c r="E109" s="46">
        <f>203</f>
        <v>203</v>
      </c>
      <c r="F109" s="46"/>
      <c r="G109" s="50"/>
      <c r="H109" s="46">
        <f t="shared" si="24"/>
        <v>10261</v>
      </c>
      <c r="I109" s="55"/>
      <c r="J109" s="55"/>
      <c r="K109" s="55">
        <f t="shared" si="21"/>
        <v>0</v>
      </c>
      <c r="L109" s="46">
        <v>1966.16</v>
      </c>
      <c r="M109" s="46"/>
      <c r="N109" s="46">
        <f t="shared" si="25"/>
        <v>1966.16</v>
      </c>
      <c r="O109" s="65">
        <v>3127</v>
      </c>
      <c r="P109" s="4">
        <v>391</v>
      </c>
      <c r="Q109" s="37" t="s">
        <v>153</v>
      </c>
      <c r="R109" s="46">
        <v>3500</v>
      </c>
      <c r="S109" s="46"/>
      <c r="T109" s="46"/>
      <c r="U109" s="46">
        <f t="shared" si="22"/>
        <v>3500</v>
      </c>
      <c r="V109" s="46"/>
      <c r="W109" s="46"/>
      <c r="X109" s="46"/>
      <c r="Y109" s="46">
        <f t="shared" si="23"/>
        <v>0</v>
      </c>
    </row>
    <row r="110" spans="1:25" ht="12.75">
      <c r="A110" s="36">
        <v>3127</v>
      </c>
      <c r="B110" s="4">
        <v>392</v>
      </c>
      <c r="C110" s="13" t="s">
        <v>197</v>
      </c>
      <c r="D110" s="46">
        <v>2985</v>
      </c>
      <c r="E110" s="46">
        <f>5+451</f>
        <v>456</v>
      </c>
      <c r="F110" s="46"/>
      <c r="G110" s="50"/>
      <c r="H110" s="46">
        <f t="shared" si="24"/>
        <v>3441</v>
      </c>
      <c r="I110" s="46"/>
      <c r="J110" s="46"/>
      <c r="K110" s="46">
        <f t="shared" si="21"/>
        <v>0</v>
      </c>
      <c r="L110" s="46">
        <v>273.2</v>
      </c>
      <c r="M110" s="46"/>
      <c r="N110" s="46">
        <f t="shared" si="25"/>
        <v>273.2</v>
      </c>
      <c r="O110" s="65">
        <v>3127</v>
      </c>
      <c r="P110" s="4">
        <v>392</v>
      </c>
      <c r="Q110" s="13" t="s">
        <v>128</v>
      </c>
      <c r="R110" s="46"/>
      <c r="S110" s="46"/>
      <c r="T110" s="46"/>
      <c r="U110" s="46">
        <f t="shared" si="22"/>
        <v>0</v>
      </c>
      <c r="V110" s="46">
        <v>14954</v>
      </c>
      <c r="W110" s="46"/>
      <c r="X110" s="46"/>
      <c r="Y110" s="46">
        <f t="shared" si="23"/>
        <v>14954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1990.05</v>
      </c>
      <c r="E111" s="46"/>
      <c r="F111" s="46"/>
      <c r="G111" s="50"/>
      <c r="H111" s="46">
        <f t="shared" si="24"/>
        <v>1990.05</v>
      </c>
      <c r="I111" s="46"/>
      <c r="J111" s="46"/>
      <c r="K111" s="46">
        <f t="shared" si="21"/>
        <v>0</v>
      </c>
      <c r="L111" s="46">
        <v>426.7</v>
      </c>
      <c r="M111" s="46"/>
      <c r="N111" s="46">
        <f t="shared" si="25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2"/>
        <v>170</v>
      </c>
      <c r="V111" s="46"/>
      <c r="W111" s="46"/>
      <c r="X111" s="46"/>
      <c r="Y111" s="46">
        <f t="shared" si="23"/>
        <v>0</v>
      </c>
    </row>
    <row r="112" spans="1:25" ht="12.75">
      <c r="A112" s="36">
        <v>3127</v>
      </c>
      <c r="B112" s="4">
        <v>394</v>
      </c>
      <c r="C112" s="37" t="s">
        <v>198</v>
      </c>
      <c r="D112" s="46">
        <v>6005.5599999999995</v>
      </c>
      <c r="E112" s="46">
        <f>5+541.6</f>
        <v>546.6</v>
      </c>
      <c r="F112" s="46"/>
      <c r="G112" s="50"/>
      <c r="H112" s="46">
        <f t="shared" si="24"/>
        <v>6552.16</v>
      </c>
      <c r="I112" s="46">
        <v>400</v>
      </c>
      <c r="J112" s="46"/>
      <c r="K112" s="46">
        <f t="shared" si="21"/>
        <v>400</v>
      </c>
      <c r="L112" s="46">
        <v>892.89</v>
      </c>
      <c r="M112" s="46"/>
      <c r="N112" s="46">
        <f t="shared" si="25"/>
        <v>892.89</v>
      </c>
      <c r="O112" s="65">
        <v>3127</v>
      </c>
      <c r="P112" s="4">
        <v>394</v>
      </c>
      <c r="Q112" s="11" t="s">
        <v>64</v>
      </c>
      <c r="R112" s="46">
        <v>500</v>
      </c>
      <c r="S112" s="46">
        <f>600</f>
        <v>600</v>
      </c>
      <c r="T112" s="46"/>
      <c r="U112" s="46">
        <f t="shared" si="22"/>
        <v>1100</v>
      </c>
      <c r="V112" s="46"/>
      <c r="W112" s="46">
        <f>100</f>
        <v>100</v>
      </c>
      <c r="X112" s="46"/>
      <c r="Y112" s="46">
        <f t="shared" si="23"/>
        <v>100</v>
      </c>
    </row>
    <row r="113" spans="1:25" ht="12.75">
      <c r="A113" s="36">
        <v>3122</v>
      </c>
      <c r="B113" s="4">
        <v>395</v>
      </c>
      <c r="C113" s="37" t="s">
        <v>156</v>
      </c>
      <c r="D113" s="46">
        <v>2669.5</v>
      </c>
      <c r="E113" s="46">
        <f>5+101.6</f>
        <v>106.6</v>
      </c>
      <c r="F113" s="46"/>
      <c r="G113" s="50"/>
      <c r="H113" s="46">
        <f t="shared" si="24"/>
        <v>2776.1</v>
      </c>
      <c r="I113" s="46"/>
      <c r="J113" s="46"/>
      <c r="K113" s="46">
        <f t="shared" si="21"/>
        <v>0</v>
      </c>
      <c r="L113" s="46">
        <v>347.75</v>
      </c>
      <c r="M113" s="46"/>
      <c r="N113" s="46">
        <f t="shared" si="25"/>
        <v>347.75</v>
      </c>
      <c r="O113" s="65">
        <v>3122</v>
      </c>
      <c r="P113" s="4">
        <v>395</v>
      </c>
      <c r="Q113" s="11" t="s">
        <v>65</v>
      </c>
      <c r="R113" s="46"/>
      <c r="S113" s="46">
        <f>200</f>
        <v>200</v>
      </c>
      <c r="T113" s="46"/>
      <c r="U113" s="46">
        <f t="shared" si="22"/>
        <v>200</v>
      </c>
      <c r="V113" s="46"/>
      <c r="W113" s="46"/>
      <c r="X113" s="46"/>
      <c r="Y113" s="46">
        <f t="shared" si="23"/>
        <v>0</v>
      </c>
    </row>
    <row r="114" spans="1:25" ht="12.75">
      <c r="A114" s="36">
        <v>3127</v>
      </c>
      <c r="B114" s="4">
        <v>397</v>
      </c>
      <c r="C114" s="67" t="s">
        <v>152</v>
      </c>
      <c r="D114" s="46">
        <v>5566.74</v>
      </c>
      <c r="E114" s="46">
        <f>18.5</f>
        <v>18.5</v>
      </c>
      <c r="F114" s="46"/>
      <c r="G114" s="50"/>
      <c r="H114" s="46">
        <f t="shared" si="24"/>
        <v>5585.24</v>
      </c>
      <c r="I114" s="46"/>
      <c r="J114" s="46"/>
      <c r="K114" s="46">
        <f t="shared" si="21"/>
        <v>0</v>
      </c>
      <c r="L114" s="46">
        <v>916.1999999999999</v>
      </c>
      <c r="M114" s="46"/>
      <c r="N114" s="46">
        <f t="shared" si="25"/>
        <v>916.1999999999999</v>
      </c>
      <c r="O114" s="65">
        <v>3127</v>
      </c>
      <c r="P114" s="4">
        <v>397</v>
      </c>
      <c r="Q114" s="11" t="s">
        <v>66</v>
      </c>
      <c r="R114" s="46"/>
      <c r="S114" s="46">
        <f>300</f>
        <v>300</v>
      </c>
      <c r="T114" s="46"/>
      <c r="U114" s="46">
        <f t="shared" si="22"/>
        <v>300</v>
      </c>
      <c r="V114" s="46">
        <v>174</v>
      </c>
      <c r="W114" s="46">
        <f>-174</f>
        <v>-174</v>
      </c>
      <c r="X114" s="46"/>
      <c r="Y114" s="46">
        <f t="shared" si="23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4077.12</v>
      </c>
      <c r="E115" s="46">
        <f>5+241.2</f>
        <v>246.2</v>
      </c>
      <c r="F115" s="46"/>
      <c r="G115" s="50"/>
      <c r="H115" s="46">
        <f t="shared" si="24"/>
        <v>4323.32</v>
      </c>
      <c r="I115" s="46"/>
      <c r="J115" s="46"/>
      <c r="K115" s="46">
        <f t="shared" si="21"/>
        <v>0</v>
      </c>
      <c r="L115" s="46">
        <v>170.42</v>
      </c>
      <c r="M115" s="46"/>
      <c r="N115" s="46">
        <f t="shared" si="25"/>
        <v>170.42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2"/>
        <v>0</v>
      </c>
      <c r="V115" s="46"/>
      <c r="W115" s="46"/>
      <c r="X115" s="46"/>
      <c r="Y115" s="46">
        <f t="shared" si="23"/>
        <v>0</v>
      </c>
    </row>
    <row r="116" spans="1:25" ht="12.75">
      <c r="A116" s="36">
        <v>3127</v>
      </c>
      <c r="B116" s="4">
        <v>400</v>
      </c>
      <c r="C116" s="37" t="s">
        <v>119</v>
      </c>
      <c r="D116" s="46">
        <v>3614.46</v>
      </c>
      <c r="E116" s="46">
        <f>5+43.9</f>
        <v>48.9</v>
      </c>
      <c r="F116" s="46"/>
      <c r="G116" s="50"/>
      <c r="H116" s="46">
        <f t="shared" si="24"/>
        <v>3663.36</v>
      </c>
      <c r="I116" s="46"/>
      <c r="J116" s="46"/>
      <c r="K116" s="46">
        <f t="shared" si="21"/>
        <v>0</v>
      </c>
      <c r="L116" s="46">
        <v>444.55</v>
      </c>
      <c r="M116" s="46"/>
      <c r="N116" s="46">
        <f t="shared" si="25"/>
        <v>444.55</v>
      </c>
      <c r="O116" s="65">
        <v>3127</v>
      </c>
      <c r="P116" s="4">
        <v>400</v>
      </c>
      <c r="Q116" s="37" t="s">
        <v>119</v>
      </c>
      <c r="R116" s="46"/>
      <c r="S116" s="46"/>
      <c r="T116" s="46"/>
      <c r="U116" s="46">
        <f t="shared" si="22"/>
        <v>0</v>
      </c>
      <c r="V116" s="46">
        <v>1602</v>
      </c>
      <c r="W116" s="50"/>
      <c r="X116" s="50"/>
      <c r="Y116" s="46">
        <f t="shared" si="23"/>
        <v>1602</v>
      </c>
    </row>
    <row r="117" spans="1:25" ht="12.75">
      <c r="A117" s="36">
        <v>3124</v>
      </c>
      <c r="B117" s="4">
        <v>401</v>
      </c>
      <c r="C117" s="67" t="s">
        <v>176</v>
      </c>
      <c r="D117" s="46">
        <v>3291.67</v>
      </c>
      <c r="E117" s="50">
        <f>7.6+5</f>
        <v>12.6</v>
      </c>
      <c r="F117" s="46"/>
      <c r="G117" s="50"/>
      <c r="H117" s="46">
        <f t="shared" si="24"/>
        <v>3304.27</v>
      </c>
      <c r="I117" s="46"/>
      <c r="J117" s="46"/>
      <c r="K117" s="46">
        <f t="shared" si="21"/>
        <v>0</v>
      </c>
      <c r="L117" s="46">
        <v>155.65</v>
      </c>
      <c r="M117" s="46"/>
      <c r="N117" s="46">
        <f t="shared" si="25"/>
        <v>155.65</v>
      </c>
      <c r="O117" s="65">
        <v>3124</v>
      </c>
      <c r="P117" s="4">
        <v>401</v>
      </c>
      <c r="Q117" s="67" t="s">
        <v>176</v>
      </c>
      <c r="R117" s="46"/>
      <c r="S117" s="46"/>
      <c r="T117" s="46"/>
      <c r="U117" s="46">
        <f t="shared" si="22"/>
        <v>0</v>
      </c>
      <c r="V117" s="46"/>
      <c r="W117" s="46"/>
      <c r="X117" s="46"/>
      <c r="Y117" s="46">
        <f t="shared" si="23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2264.5</v>
      </c>
      <c r="E118" s="46">
        <f>5</f>
        <v>5</v>
      </c>
      <c r="F118" s="46"/>
      <c r="G118" s="50"/>
      <c r="H118" s="46">
        <f t="shared" si="24"/>
        <v>2269.5</v>
      </c>
      <c r="I118" s="46"/>
      <c r="J118" s="46"/>
      <c r="K118" s="46">
        <f t="shared" si="21"/>
        <v>0</v>
      </c>
      <c r="L118" s="46">
        <v>25.2</v>
      </c>
      <c r="M118" s="46"/>
      <c r="N118" s="46">
        <f t="shared" si="25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2"/>
        <v>0</v>
      </c>
      <c r="V118" s="46"/>
      <c r="W118" s="46"/>
      <c r="X118" s="46"/>
      <c r="Y118" s="46">
        <f t="shared" si="23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6202.25</v>
      </c>
      <c r="E119" s="46">
        <f>5+150</f>
        <v>155</v>
      </c>
      <c r="F119" s="46"/>
      <c r="G119" s="50"/>
      <c r="H119" s="46">
        <f t="shared" si="24"/>
        <v>6357.25</v>
      </c>
      <c r="I119" s="46"/>
      <c r="J119" s="46"/>
      <c r="K119" s="46">
        <f t="shared" si="21"/>
        <v>0</v>
      </c>
      <c r="L119" s="46">
        <v>1105.73</v>
      </c>
      <c r="M119" s="46"/>
      <c r="N119" s="46">
        <f t="shared" si="25"/>
        <v>1105.73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2"/>
        <v>2324</v>
      </c>
      <c r="V119" s="46"/>
      <c r="W119" s="46"/>
      <c r="X119" s="46"/>
      <c r="Y119" s="46">
        <f t="shared" si="23"/>
        <v>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2664.25</v>
      </c>
      <c r="E120" s="46">
        <f>5+8.4</f>
        <v>13.4</v>
      </c>
      <c r="F120" s="46"/>
      <c r="G120" s="50"/>
      <c r="H120" s="46">
        <f t="shared" si="24"/>
        <v>2677.65</v>
      </c>
      <c r="I120" s="46"/>
      <c r="J120" s="46"/>
      <c r="K120" s="46">
        <f t="shared" si="21"/>
        <v>0</v>
      </c>
      <c r="L120" s="46">
        <v>641.82</v>
      </c>
      <c r="M120" s="46"/>
      <c r="N120" s="46">
        <f t="shared" si="25"/>
        <v>641.82</v>
      </c>
      <c r="O120" s="65">
        <v>3127</v>
      </c>
      <c r="P120" s="4">
        <v>411</v>
      </c>
      <c r="Q120" s="11" t="s">
        <v>17</v>
      </c>
      <c r="R120" s="46">
        <v>8000</v>
      </c>
      <c r="S120" s="46"/>
      <c r="T120" s="46"/>
      <c r="U120" s="46">
        <f t="shared" si="22"/>
        <v>8000</v>
      </c>
      <c r="V120" s="46"/>
      <c r="W120" s="46"/>
      <c r="X120" s="46"/>
      <c r="Y120" s="46">
        <f t="shared" si="23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3759.95</v>
      </c>
      <c r="E121" s="46">
        <f>5+450</f>
        <v>455</v>
      </c>
      <c r="F121" s="46"/>
      <c r="G121" s="50"/>
      <c r="H121" s="46">
        <f t="shared" si="24"/>
        <v>4214.95</v>
      </c>
      <c r="I121" s="46"/>
      <c r="J121" s="46"/>
      <c r="K121" s="46">
        <f t="shared" si="21"/>
        <v>0</v>
      </c>
      <c r="L121" s="46">
        <v>25.77</v>
      </c>
      <c r="M121" s="46"/>
      <c r="N121" s="46">
        <f t="shared" si="25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2"/>
        <v>0</v>
      </c>
      <c r="V121" s="46"/>
      <c r="W121" s="46"/>
      <c r="X121" s="46"/>
      <c r="Y121" s="46">
        <f t="shared" si="23"/>
        <v>0</v>
      </c>
    </row>
    <row r="122" spans="1:25" ht="12.75">
      <c r="A122" s="36">
        <v>3122</v>
      </c>
      <c r="B122" s="4">
        <v>414</v>
      </c>
      <c r="C122" s="13" t="s">
        <v>120</v>
      </c>
      <c r="D122" s="46">
        <v>1603</v>
      </c>
      <c r="E122" s="46">
        <f>5</f>
        <v>5</v>
      </c>
      <c r="F122" s="46"/>
      <c r="G122" s="50"/>
      <c r="H122" s="46">
        <f t="shared" si="24"/>
        <v>1608</v>
      </c>
      <c r="I122" s="46"/>
      <c r="J122" s="46"/>
      <c r="K122" s="46">
        <f t="shared" si="21"/>
        <v>0</v>
      </c>
      <c r="L122" s="46">
        <v>161.1</v>
      </c>
      <c r="M122" s="46"/>
      <c r="N122" s="46">
        <f t="shared" si="25"/>
        <v>161.1</v>
      </c>
      <c r="O122" s="65">
        <v>3122</v>
      </c>
      <c r="P122" s="4">
        <v>414</v>
      </c>
      <c r="Q122" s="13" t="s">
        <v>120</v>
      </c>
      <c r="R122" s="46"/>
      <c r="S122" s="46"/>
      <c r="T122" s="46"/>
      <c r="U122" s="46">
        <f t="shared" si="22"/>
        <v>0</v>
      </c>
      <c r="V122" s="46"/>
      <c r="W122" s="46"/>
      <c r="X122" s="46"/>
      <c r="Y122" s="46">
        <f t="shared" si="23"/>
        <v>0</v>
      </c>
    </row>
    <row r="123" spans="1:25" ht="12.75">
      <c r="A123" s="36">
        <v>3122</v>
      </c>
      <c r="B123" s="4">
        <v>415</v>
      </c>
      <c r="C123" s="13" t="s">
        <v>199</v>
      </c>
      <c r="D123" s="46">
        <v>2904.62</v>
      </c>
      <c r="E123" s="50">
        <f>-45.3+5</f>
        <v>-40.3</v>
      </c>
      <c r="F123" s="46"/>
      <c r="G123" s="50"/>
      <c r="H123" s="46">
        <f t="shared" si="24"/>
        <v>2864.3199999999997</v>
      </c>
      <c r="I123" s="46"/>
      <c r="J123" s="46">
        <f>65</f>
        <v>65</v>
      </c>
      <c r="K123" s="46">
        <f t="shared" si="21"/>
        <v>65</v>
      </c>
      <c r="L123" s="46">
        <v>374.38</v>
      </c>
      <c r="M123" s="46"/>
      <c r="N123" s="46">
        <f t="shared" si="25"/>
        <v>374.38</v>
      </c>
      <c r="O123" s="65">
        <v>3122</v>
      </c>
      <c r="P123" s="4">
        <v>415</v>
      </c>
      <c r="Q123" s="11" t="s">
        <v>85</v>
      </c>
      <c r="R123" s="46">
        <v>500</v>
      </c>
      <c r="S123" s="46">
        <f>1500</f>
        <v>1500</v>
      </c>
      <c r="T123" s="46"/>
      <c r="U123" s="46">
        <f t="shared" si="22"/>
        <v>2000</v>
      </c>
      <c r="V123" s="46"/>
      <c r="W123" s="46"/>
      <c r="X123" s="46"/>
      <c r="Y123" s="46">
        <f t="shared" si="23"/>
        <v>0</v>
      </c>
    </row>
    <row r="124" spans="1:25" ht="12.75">
      <c r="A124" s="36">
        <v>3127</v>
      </c>
      <c r="B124" s="4">
        <v>416</v>
      </c>
      <c r="C124" s="37" t="s">
        <v>103</v>
      </c>
      <c r="D124" s="46">
        <v>12052.56</v>
      </c>
      <c r="E124" s="46">
        <f>5+255</f>
        <v>260</v>
      </c>
      <c r="F124" s="46"/>
      <c r="G124" s="50"/>
      <c r="H124" s="46">
        <f t="shared" si="24"/>
        <v>12312.56</v>
      </c>
      <c r="I124" s="46"/>
      <c r="J124" s="46"/>
      <c r="K124" s="46">
        <f aca="true" t="shared" si="26" ref="K124:K145">I124+J124</f>
        <v>0</v>
      </c>
      <c r="L124" s="46">
        <v>2116.22</v>
      </c>
      <c r="M124" s="46"/>
      <c r="N124" s="46">
        <f t="shared" si="25"/>
        <v>2116.22</v>
      </c>
      <c r="O124" s="65">
        <v>3127</v>
      </c>
      <c r="P124" s="4">
        <v>416</v>
      </c>
      <c r="Q124" s="37" t="s">
        <v>103</v>
      </c>
      <c r="R124" s="46"/>
      <c r="S124" s="46"/>
      <c r="T124" s="46"/>
      <c r="U124" s="46">
        <f aca="true" t="shared" si="27" ref="U124:U145">SUM(R124:T124)</f>
        <v>0</v>
      </c>
      <c r="V124" s="46"/>
      <c r="W124" s="46"/>
      <c r="X124" s="46"/>
      <c r="Y124" s="46">
        <f aca="true" t="shared" si="28" ref="Y124:Y145">SUM(V124:X124)</f>
        <v>0</v>
      </c>
    </row>
    <row r="125" spans="1:25" ht="12.75">
      <c r="A125" s="36">
        <v>3127</v>
      </c>
      <c r="B125" s="4">
        <v>418</v>
      </c>
      <c r="C125" s="13" t="s">
        <v>131</v>
      </c>
      <c r="D125" s="46">
        <v>6450.61</v>
      </c>
      <c r="E125" s="46">
        <f>5+495+20</f>
        <v>520</v>
      </c>
      <c r="F125" s="46"/>
      <c r="G125" s="50"/>
      <c r="H125" s="46">
        <f aca="true" t="shared" si="29" ref="H125:H145">D125+E125+F125+G125</f>
        <v>6970.61</v>
      </c>
      <c r="I125" s="46"/>
      <c r="J125" s="57"/>
      <c r="K125" s="46">
        <f t="shared" si="26"/>
        <v>0</v>
      </c>
      <c r="L125" s="46">
        <v>428.09999999999997</v>
      </c>
      <c r="M125" s="46"/>
      <c r="N125" s="46">
        <f aca="true" t="shared" si="30" ref="N125:N145">L125+M125</f>
        <v>428.09999999999997</v>
      </c>
      <c r="O125" s="65">
        <v>3127</v>
      </c>
      <c r="P125" s="4">
        <v>418</v>
      </c>
      <c r="Q125" s="13" t="s">
        <v>131</v>
      </c>
      <c r="R125" s="46"/>
      <c r="S125" s="46"/>
      <c r="T125" s="46"/>
      <c r="U125" s="46">
        <f t="shared" si="27"/>
        <v>0</v>
      </c>
      <c r="V125" s="46">
        <v>2500</v>
      </c>
      <c r="W125" s="50">
        <f>350</f>
        <v>350</v>
      </c>
      <c r="X125" s="50"/>
      <c r="Y125" s="46">
        <f t="shared" si="28"/>
        <v>2850</v>
      </c>
    </row>
    <row r="126" spans="1:25" ht="12.75">
      <c r="A126" s="36">
        <v>3127</v>
      </c>
      <c r="B126" s="4">
        <v>419</v>
      </c>
      <c r="C126" s="37" t="s">
        <v>200</v>
      </c>
      <c r="D126" s="46">
        <v>7842.29</v>
      </c>
      <c r="E126" s="46">
        <f>5+710.7</f>
        <v>715.7</v>
      </c>
      <c r="F126" s="46"/>
      <c r="G126" s="50"/>
      <c r="H126" s="46">
        <f t="shared" si="29"/>
        <v>8557.99</v>
      </c>
      <c r="I126" s="46"/>
      <c r="J126" s="46"/>
      <c r="K126" s="46">
        <f t="shared" si="26"/>
        <v>0</v>
      </c>
      <c r="L126" s="46">
        <v>1072.7</v>
      </c>
      <c r="M126" s="46"/>
      <c r="N126" s="46">
        <f t="shared" si="30"/>
        <v>1072.7</v>
      </c>
      <c r="O126" s="65">
        <v>3127</v>
      </c>
      <c r="P126" s="4">
        <v>419</v>
      </c>
      <c r="Q126" s="11" t="s">
        <v>67</v>
      </c>
      <c r="R126" s="46">
        <v>2779</v>
      </c>
      <c r="S126" s="50">
        <f>200</f>
        <v>200</v>
      </c>
      <c r="T126" s="50"/>
      <c r="U126" s="46">
        <f t="shared" si="27"/>
        <v>2979</v>
      </c>
      <c r="V126" s="46">
        <v>2096</v>
      </c>
      <c r="W126" s="46">
        <f>400</f>
        <v>400</v>
      </c>
      <c r="X126" s="46"/>
      <c r="Y126" s="46">
        <f t="shared" si="28"/>
        <v>2496</v>
      </c>
    </row>
    <row r="127" spans="1:25" ht="12.75">
      <c r="A127" s="36">
        <v>3123</v>
      </c>
      <c r="B127" s="4">
        <v>420</v>
      </c>
      <c r="C127" s="11" t="s">
        <v>14</v>
      </c>
      <c r="D127" s="46">
        <v>1992.51</v>
      </c>
      <c r="E127" s="46">
        <f>5+389.1+6</f>
        <v>400.1</v>
      </c>
      <c r="F127" s="46"/>
      <c r="G127" s="50"/>
      <c r="H127" s="46">
        <f t="shared" si="29"/>
        <v>2392.61</v>
      </c>
      <c r="I127" s="46"/>
      <c r="J127" s="46"/>
      <c r="K127" s="46">
        <f t="shared" si="26"/>
        <v>0</v>
      </c>
      <c r="L127" s="46">
        <v>97.36</v>
      </c>
      <c r="M127" s="46"/>
      <c r="N127" s="46">
        <f t="shared" si="30"/>
        <v>97.36</v>
      </c>
      <c r="O127" s="65">
        <v>3123</v>
      </c>
      <c r="P127" s="4">
        <v>420</v>
      </c>
      <c r="Q127" s="11" t="s">
        <v>14</v>
      </c>
      <c r="R127" s="46"/>
      <c r="S127" s="46">
        <f>500</f>
        <v>500</v>
      </c>
      <c r="T127" s="46"/>
      <c r="U127" s="46">
        <f t="shared" si="27"/>
        <v>500</v>
      </c>
      <c r="V127" s="46"/>
      <c r="W127" s="46">
        <f>300</f>
        <v>300</v>
      </c>
      <c r="X127" s="46"/>
      <c r="Y127" s="46">
        <f t="shared" si="28"/>
        <v>300</v>
      </c>
    </row>
    <row r="128" spans="1:25" ht="12.75">
      <c r="A128" s="36">
        <v>3127</v>
      </c>
      <c r="B128" s="4">
        <v>422</v>
      </c>
      <c r="C128" s="67" t="s">
        <v>170</v>
      </c>
      <c r="D128" s="46">
        <v>6414.31</v>
      </c>
      <c r="E128" s="46">
        <f>5+110.2</f>
        <v>115.2</v>
      </c>
      <c r="F128" s="46"/>
      <c r="G128" s="50"/>
      <c r="H128" s="46">
        <f t="shared" si="29"/>
        <v>6529.51</v>
      </c>
      <c r="I128" s="46"/>
      <c r="J128" s="46"/>
      <c r="K128" s="46">
        <f t="shared" si="26"/>
        <v>0</v>
      </c>
      <c r="L128" s="46">
        <v>656.9599999999999</v>
      </c>
      <c r="M128" s="46"/>
      <c r="N128" s="46">
        <f t="shared" si="30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7"/>
        <v>0</v>
      </c>
      <c r="V128" s="46">
        <v>1700</v>
      </c>
      <c r="W128" s="46">
        <f>400</f>
        <v>400</v>
      </c>
      <c r="X128" s="46"/>
      <c r="Y128" s="46">
        <f t="shared" si="28"/>
        <v>2100</v>
      </c>
    </row>
    <row r="129" spans="1:25" ht="12.75">
      <c r="A129" s="36">
        <v>3124</v>
      </c>
      <c r="B129" s="4">
        <v>423</v>
      </c>
      <c r="C129" s="37" t="s">
        <v>177</v>
      </c>
      <c r="D129" s="46">
        <v>3937.8</v>
      </c>
      <c r="E129" s="46">
        <f>45.2</f>
        <v>45.2</v>
      </c>
      <c r="F129" s="46"/>
      <c r="G129" s="50"/>
      <c r="H129" s="46">
        <f t="shared" si="29"/>
        <v>3983</v>
      </c>
      <c r="I129" s="46"/>
      <c r="J129" s="46"/>
      <c r="K129" s="46">
        <f t="shared" si="26"/>
        <v>0</v>
      </c>
      <c r="L129" s="46">
        <v>436.38</v>
      </c>
      <c r="M129" s="46"/>
      <c r="N129" s="46">
        <f t="shared" si="30"/>
        <v>436.38</v>
      </c>
      <c r="O129" s="65">
        <v>3124</v>
      </c>
      <c r="P129" s="4">
        <v>423</v>
      </c>
      <c r="Q129" s="37" t="s">
        <v>177</v>
      </c>
      <c r="R129" s="46"/>
      <c r="S129" s="46"/>
      <c r="T129" s="46"/>
      <c r="U129" s="46">
        <f t="shared" si="27"/>
        <v>0</v>
      </c>
      <c r="V129" s="46">
        <v>735.77</v>
      </c>
      <c r="W129" s="46"/>
      <c r="X129" s="46"/>
      <c r="Y129" s="46">
        <f t="shared" si="28"/>
        <v>735.77</v>
      </c>
    </row>
    <row r="130" spans="1:25" ht="12.75">
      <c r="A130" s="36">
        <v>3112</v>
      </c>
      <c r="B130" s="4">
        <v>425</v>
      </c>
      <c r="C130" s="37" t="s">
        <v>178</v>
      </c>
      <c r="D130" s="46">
        <v>1275.3</v>
      </c>
      <c r="E130" s="46">
        <f>5</f>
        <v>5</v>
      </c>
      <c r="F130" s="46"/>
      <c r="G130" s="50"/>
      <c r="H130" s="46">
        <f t="shared" si="29"/>
        <v>1280.3</v>
      </c>
      <c r="I130" s="46"/>
      <c r="J130" s="46"/>
      <c r="K130" s="46">
        <f t="shared" si="26"/>
        <v>0</v>
      </c>
      <c r="L130" s="46">
        <v>50.129999999999995</v>
      </c>
      <c r="M130" s="46"/>
      <c r="N130" s="46">
        <f t="shared" si="30"/>
        <v>50.129999999999995</v>
      </c>
      <c r="O130" s="65">
        <v>3112</v>
      </c>
      <c r="P130" s="4">
        <v>425</v>
      </c>
      <c r="Q130" s="37" t="s">
        <v>178</v>
      </c>
      <c r="R130" s="46"/>
      <c r="S130" s="46"/>
      <c r="T130" s="46"/>
      <c r="U130" s="46">
        <f t="shared" si="27"/>
        <v>0</v>
      </c>
      <c r="V130" s="46"/>
      <c r="W130" s="46"/>
      <c r="X130" s="46"/>
      <c r="Y130" s="46">
        <f t="shared" si="28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810.1700000000001</v>
      </c>
      <c r="E131" s="46">
        <f>5</f>
        <v>5</v>
      </c>
      <c r="F131" s="46"/>
      <c r="G131" s="50"/>
      <c r="H131" s="46">
        <f t="shared" si="29"/>
        <v>815.1700000000001</v>
      </c>
      <c r="I131" s="46"/>
      <c r="J131" s="46"/>
      <c r="K131" s="46">
        <f t="shared" si="26"/>
        <v>0</v>
      </c>
      <c r="L131" s="46">
        <v>1.2600000000000016</v>
      </c>
      <c r="M131" s="46"/>
      <c r="N131" s="46">
        <f t="shared" si="30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7"/>
        <v>0</v>
      </c>
      <c r="V131" s="46"/>
      <c r="W131" s="46"/>
      <c r="X131" s="46"/>
      <c r="Y131" s="46">
        <f t="shared" si="28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9"/>
        <v>2403.68</v>
      </c>
      <c r="I132" s="46"/>
      <c r="J132" s="46"/>
      <c r="K132" s="46">
        <f t="shared" si="26"/>
        <v>0</v>
      </c>
      <c r="L132" s="46">
        <v>72.21</v>
      </c>
      <c r="M132" s="46"/>
      <c r="N132" s="46">
        <f t="shared" si="30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7"/>
        <v>0</v>
      </c>
      <c r="V132" s="46"/>
      <c r="W132" s="46"/>
      <c r="X132" s="46"/>
      <c r="Y132" s="46">
        <f t="shared" si="28"/>
        <v>0</v>
      </c>
    </row>
    <row r="133" spans="1:25" ht="12.75" customHeight="1">
      <c r="A133" s="36">
        <v>3133</v>
      </c>
      <c r="B133" s="4">
        <v>428</v>
      </c>
      <c r="C133" s="37" t="s">
        <v>157</v>
      </c>
      <c r="D133" s="46">
        <v>2989.6299999999997</v>
      </c>
      <c r="E133" s="46">
        <f>5+5</f>
        <v>10</v>
      </c>
      <c r="F133" s="46"/>
      <c r="G133" s="50"/>
      <c r="H133" s="46">
        <f t="shared" si="29"/>
        <v>2999.6299999999997</v>
      </c>
      <c r="I133" s="46"/>
      <c r="J133" s="46"/>
      <c r="K133" s="46">
        <f t="shared" si="26"/>
        <v>0</v>
      </c>
      <c r="L133" s="46">
        <v>271.29</v>
      </c>
      <c r="M133" s="46"/>
      <c r="N133" s="46">
        <f t="shared" si="30"/>
        <v>271.29</v>
      </c>
      <c r="O133" s="65">
        <v>3133</v>
      </c>
      <c r="P133" s="4">
        <v>428</v>
      </c>
      <c r="Q133" s="37" t="s">
        <v>147</v>
      </c>
      <c r="R133" s="46"/>
      <c r="S133" s="46">
        <f>350</f>
        <v>350</v>
      </c>
      <c r="T133" s="46"/>
      <c r="U133" s="46">
        <f t="shared" si="27"/>
        <v>350</v>
      </c>
      <c r="V133" s="46"/>
      <c r="W133" s="46"/>
      <c r="X133" s="46"/>
      <c r="Y133" s="46">
        <f t="shared" si="28"/>
        <v>0</v>
      </c>
    </row>
    <row r="134" spans="1:25" ht="25.5">
      <c r="A134" s="36">
        <v>3114</v>
      </c>
      <c r="B134" s="4">
        <v>431</v>
      </c>
      <c r="C134" s="67" t="s">
        <v>201</v>
      </c>
      <c r="D134" s="46">
        <v>1514.0400000000002</v>
      </c>
      <c r="E134" s="46">
        <f>40</f>
        <v>40</v>
      </c>
      <c r="F134" s="46"/>
      <c r="G134" s="50"/>
      <c r="H134" s="46">
        <f t="shared" si="29"/>
        <v>1554.0400000000002</v>
      </c>
      <c r="I134" s="46"/>
      <c r="J134" s="46"/>
      <c r="K134" s="46">
        <f t="shared" si="26"/>
        <v>0</v>
      </c>
      <c r="L134" s="46">
        <v>142.32999999999998</v>
      </c>
      <c r="M134" s="46"/>
      <c r="N134" s="46">
        <f t="shared" si="30"/>
        <v>142.32999999999998</v>
      </c>
      <c r="O134" s="65">
        <v>3114</v>
      </c>
      <c r="P134" s="4">
        <v>431</v>
      </c>
      <c r="Q134" s="37" t="s">
        <v>121</v>
      </c>
      <c r="R134" s="46"/>
      <c r="S134" s="46"/>
      <c r="T134" s="46"/>
      <c r="U134" s="46">
        <f t="shared" si="27"/>
        <v>0</v>
      </c>
      <c r="V134" s="46"/>
      <c r="W134" s="46"/>
      <c r="X134" s="46"/>
      <c r="Y134" s="46">
        <f t="shared" si="28"/>
        <v>0</v>
      </c>
    </row>
    <row r="135" spans="1:25" ht="12.75">
      <c r="A135" s="36">
        <v>3114</v>
      </c>
      <c r="B135" s="4">
        <v>432</v>
      </c>
      <c r="C135" s="37" t="s">
        <v>148</v>
      </c>
      <c r="D135" s="46">
        <v>2433</v>
      </c>
      <c r="E135" s="46">
        <f>5</f>
        <v>5</v>
      </c>
      <c r="F135" s="46"/>
      <c r="G135" s="50"/>
      <c r="H135" s="46">
        <f t="shared" si="29"/>
        <v>2438</v>
      </c>
      <c r="I135" s="46"/>
      <c r="J135" s="46"/>
      <c r="K135" s="46">
        <f t="shared" si="26"/>
        <v>0</v>
      </c>
      <c r="L135" s="46">
        <v>11.1</v>
      </c>
      <c r="M135" s="46"/>
      <c r="N135" s="46">
        <f t="shared" si="30"/>
        <v>11.1</v>
      </c>
      <c r="O135" s="65">
        <v>3114</v>
      </c>
      <c r="P135" s="4">
        <v>432</v>
      </c>
      <c r="Q135" s="37" t="s">
        <v>148</v>
      </c>
      <c r="R135" s="46"/>
      <c r="S135" s="46"/>
      <c r="T135" s="46"/>
      <c r="U135" s="46">
        <f t="shared" si="27"/>
        <v>0</v>
      </c>
      <c r="V135" s="46"/>
      <c r="W135" s="46"/>
      <c r="X135" s="46"/>
      <c r="Y135" s="46">
        <f t="shared" si="28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564.1</v>
      </c>
      <c r="E136" s="46">
        <f>5+12</f>
        <v>17</v>
      </c>
      <c r="F136" s="46"/>
      <c r="G136" s="50"/>
      <c r="H136" s="46">
        <f t="shared" si="29"/>
        <v>581.1</v>
      </c>
      <c r="I136" s="46"/>
      <c r="J136" s="46"/>
      <c r="K136" s="46">
        <f t="shared" si="26"/>
        <v>0</v>
      </c>
      <c r="L136" s="46">
        <v>0</v>
      </c>
      <c r="M136" s="46"/>
      <c r="N136" s="46">
        <f t="shared" si="30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7"/>
        <v>0</v>
      </c>
      <c r="V136" s="46"/>
      <c r="W136" s="46"/>
      <c r="X136" s="46"/>
      <c r="Y136" s="46">
        <f t="shared" si="28"/>
        <v>0</v>
      </c>
    </row>
    <row r="137" spans="1:25" ht="12.75">
      <c r="A137" s="36">
        <v>3114</v>
      </c>
      <c r="B137" s="4">
        <v>436</v>
      </c>
      <c r="C137" s="37" t="s">
        <v>101</v>
      </c>
      <c r="D137" s="46">
        <v>2068.7</v>
      </c>
      <c r="E137" s="46"/>
      <c r="F137" s="46"/>
      <c r="G137" s="50"/>
      <c r="H137" s="46">
        <f t="shared" si="29"/>
        <v>2068.7</v>
      </c>
      <c r="I137" s="46"/>
      <c r="J137" s="46"/>
      <c r="K137" s="46">
        <f t="shared" si="26"/>
        <v>0</v>
      </c>
      <c r="L137" s="46">
        <v>65.3</v>
      </c>
      <c r="M137" s="46"/>
      <c r="N137" s="46">
        <f t="shared" si="30"/>
        <v>65.3</v>
      </c>
      <c r="O137" s="65">
        <v>3114</v>
      </c>
      <c r="P137" s="4">
        <v>436</v>
      </c>
      <c r="Q137" s="37" t="s">
        <v>101</v>
      </c>
      <c r="R137" s="46"/>
      <c r="S137" s="46"/>
      <c r="T137" s="46"/>
      <c r="U137" s="46">
        <f t="shared" si="27"/>
        <v>0</v>
      </c>
      <c r="V137" s="46"/>
      <c r="W137" s="46"/>
      <c r="X137" s="46"/>
      <c r="Y137" s="46">
        <f t="shared" si="28"/>
        <v>0</v>
      </c>
    </row>
    <row r="138" spans="1:25" ht="12.75">
      <c r="A138" s="36">
        <v>3127</v>
      </c>
      <c r="B138" s="4">
        <v>445</v>
      </c>
      <c r="C138" s="71" t="s">
        <v>202</v>
      </c>
      <c r="D138" s="46">
        <v>8414.72</v>
      </c>
      <c r="E138" s="46">
        <f>5+874.4+6</f>
        <v>885.4</v>
      </c>
      <c r="F138" s="46"/>
      <c r="G138" s="50"/>
      <c r="H138" s="46">
        <f t="shared" si="29"/>
        <v>9300.119999999999</v>
      </c>
      <c r="I138" s="46">
        <v>379.25</v>
      </c>
      <c r="J138" s="46"/>
      <c r="K138" s="46">
        <f t="shared" si="26"/>
        <v>379.25</v>
      </c>
      <c r="L138" s="46">
        <v>1110.3500000000001</v>
      </c>
      <c r="M138" s="46"/>
      <c r="N138" s="46">
        <f t="shared" si="30"/>
        <v>1110.3500000000001</v>
      </c>
      <c r="O138" s="65">
        <v>3127</v>
      </c>
      <c r="P138" s="4">
        <v>445</v>
      </c>
      <c r="Q138" s="40" t="s">
        <v>87</v>
      </c>
      <c r="R138" s="46">
        <v>500</v>
      </c>
      <c r="S138" s="46">
        <f>1916.75</f>
        <v>1916.75</v>
      </c>
      <c r="T138" s="46"/>
      <c r="U138" s="46">
        <f t="shared" si="27"/>
        <v>2416.75</v>
      </c>
      <c r="V138" s="46"/>
      <c r="W138" s="46"/>
      <c r="X138" s="46"/>
      <c r="Y138" s="46">
        <f t="shared" si="28"/>
        <v>0</v>
      </c>
    </row>
    <row r="139" spans="1:25" ht="12.75">
      <c r="A139" s="36">
        <v>3127</v>
      </c>
      <c r="B139" s="4">
        <v>446</v>
      </c>
      <c r="C139" s="74" t="s">
        <v>162</v>
      </c>
      <c r="D139" s="46">
        <v>1944</v>
      </c>
      <c r="E139" s="46">
        <f>5+8.3</f>
        <v>13.3</v>
      </c>
      <c r="F139" s="46"/>
      <c r="G139" s="50"/>
      <c r="H139" s="46">
        <f t="shared" si="29"/>
        <v>1957.3</v>
      </c>
      <c r="I139" s="46"/>
      <c r="J139" s="46"/>
      <c r="K139" s="46">
        <f t="shared" si="26"/>
        <v>0</v>
      </c>
      <c r="L139" s="46">
        <v>259.8</v>
      </c>
      <c r="M139" s="46"/>
      <c r="N139" s="46">
        <f t="shared" si="30"/>
        <v>259.8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7"/>
        <v>0</v>
      </c>
      <c r="V139" s="46"/>
      <c r="W139" s="46"/>
      <c r="X139" s="46"/>
      <c r="Y139" s="46">
        <f t="shared" si="28"/>
        <v>0</v>
      </c>
    </row>
    <row r="140" spans="1:25" ht="12.75">
      <c r="A140" s="36">
        <v>3127</v>
      </c>
      <c r="B140" s="4">
        <v>447</v>
      </c>
      <c r="C140" s="40" t="s">
        <v>171</v>
      </c>
      <c r="D140" s="46">
        <v>3529.12</v>
      </c>
      <c r="E140" s="46">
        <f>5+243.2</f>
        <v>248.2</v>
      </c>
      <c r="F140" s="46"/>
      <c r="G140" s="46"/>
      <c r="H140" s="46">
        <f t="shared" si="29"/>
        <v>3777.3199999999997</v>
      </c>
      <c r="I140" s="46"/>
      <c r="J140" s="46"/>
      <c r="K140" s="46">
        <f t="shared" si="26"/>
        <v>0</v>
      </c>
      <c r="L140" s="46">
        <v>468.03000000000003</v>
      </c>
      <c r="M140" s="46"/>
      <c r="N140" s="46">
        <f t="shared" si="30"/>
        <v>468.03000000000003</v>
      </c>
      <c r="O140" s="65">
        <v>3127</v>
      </c>
      <c r="P140" s="4">
        <v>447</v>
      </c>
      <c r="Q140" s="12" t="s">
        <v>72</v>
      </c>
      <c r="R140" s="46">
        <v>4350</v>
      </c>
      <c r="S140" s="73">
        <f>-4200+3850</f>
        <v>-350</v>
      </c>
      <c r="T140" s="46"/>
      <c r="U140" s="46">
        <f t="shared" si="27"/>
        <v>4000</v>
      </c>
      <c r="V140" s="46">
        <v>451</v>
      </c>
      <c r="W140" s="50">
        <f>350</f>
        <v>350</v>
      </c>
      <c r="X140" s="50"/>
      <c r="Y140" s="46">
        <f t="shared" si="28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4024.1</v>
      </c>
      <c r="E141" s="61">
        <f>5+43.3</f>
        <v>48.3</v>
      </c>
      <c r="F141" s="61"/>
      <c r="G141" s="61"/>
      <c r="H141" s="46">
        <f t="shared" si="29"/>
        <v>4072.4</v>
      </c>
      <c r="I141" s="61"/>
      <c r="J141" s="61"/>
      <c r="K141" s="46">
        <f t="shared" si="26"/>
        <v>0</v>
      </c>
      <c r="L141" s="46">
        <v>171.57</v>
      </c>
      <c r="M141" s="61"/>
      <c r="N141" s="46">
        <f t="shared" si="30"/>
        <v>171.57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7"/>
        <v>0</v>
      </c>
      <c r="V141" s="61"/>
      <c r="W141" s="61"/>
      <c r="X141" s="61"/>
      <c r="Y141" s="46">
        <f t="shared" si="28"/>
        <v>0</v>
      </c>
    </row>
    <row r="142" spans="1:25" ht="12.75">
      <c r="A142" s="36">
        <v>3114</v>
      </c>
      <c r="B142" s="4">
        <v>452</v>
      </c>
      <c r="C142" s="40" t="s">
        <v>159</v>
      </c>
      <c r="D142" s="46">
        <v>1737.7</v>
      </c>
      <c r="E142" s="46"/>
      <c r="F142" s="46"/>
      <c r="G142" s="46"/>
      <c r="H142" s="46">
        <f t="shared" si="29"/>
        <v>1737.7</v>
      </c>
      <c r="I142" s="46"/>
      <c r="J142" s="46"/>
      <c r="K142" s="46">
        <f t="shared" si="26"/>
        <v>0</v>
      </c>
      <c r="L142" s="46">
        <v>28.4</v>
      </c>
      <c r="M142" s="46"/>
      <c r="N142" s="46">
        <f t="shared" si="30"/>
        <v>28.4</v>
      </c>
      <c r="O142" s="65">
        <v>3114</v>
      </c>
      <c r="P142" s="4">
        <v>452</v>
      </c>
      <c r="Q142" s="40" t="s">
        <v>159</v>
      </c>
      <c r="R142" s="46"/>
      <c r="S142" s="46"/>
      <c r="T142" s="46"/>
      <c r="U142" s="46">
        <f t="shared" si="27"/>
        <v>0</v>
      </c>
      <c r="V142" s="46"/>
      <c r="W142" s="46"/>
      <c r="X142" s="46"/>
      <c r="Y142" s="46">
        <f t="shared" si="28"/>
        <v>0</v>
      </c>
    </row>
    <row r="143" spans="1:25" ht="12.75">
      <c r="A143" s="36">
        <v>3119</v>
      </c>
      <c r="B143" s="4">
        <v>453</v>
      </c>
      <c r="C143" s="40" t="s">
        <v>132</v>
      </c>
      <c r="D143" s="46">
        <v>660</v>
      </c>
      <c r="E143" s="46"/>
      <c r="F143" s="46"/>
      <c r="G143" s="46"/>
      <c r="H143" s="46">
        <f t="shared" si="29"/>
        <v>660</v>
      </c>
      <c r="I143" s="46"/>
      <c r="J143" s="46"/>
      <c r="K143" s="46">
        <f t="shared" si="26"/>
        <v>0</v>
      </c>
      <c r="L143" s="46">
        <v>0</v>
      </c>
      <c r="M143" s="46"/>
      <c r="N143" s="46">
        <f t="shared" si="30"/>
        <v>0</v>
      </c>
      <c r="O143" s="65">
        <v>3119</v>
      </c>
      <c r="P143" s="4">
        <v>453</v>
      </c>
      <c r="Q143" s="40" t="s">
        <v>132</v>
      </c>
      <c r="R143" s="46"/>
      <c r="S143" s="46"/>
      <c r="T143" s="46"/>
      <c r="U143" s="46">
        <f t="shared" si="27"/>
        <v>0</v>
      </c>
      <c r="V143" s="46"/>
      <c r="W143" s="46"/>
      <c r="X143" s="46"/>
      <c r="Y143" s="46">
        <f t="shared" si="28"/>
        <v>0</v>
      </c>
    </row>
    <row r="144" spans="1:25" ht="12.75">
      <c r="A144" s="36">
        <v>3127</v>
      </c>
      <c r="B144" s="4">
        <v>454</v>
      </c>
      <c r="C144" s="37" t="s">
        <v>172</v>
      </c>
      <c r="D144" s="46">
        <v>12201.92</v>
      </c>
      <c r="E144" s="46">
        <f>5+1002.2</f>
        <v>1007.2</v>
      </c>
      <c r="F144" s="46"/>
      <c r="G144" s="46"/>
      <c r="H144" s="46">
        <f t="shared" si="29"/>
        <v>13209.12</v>
      </c>
      <c r="I144" s="46"/>
      <c r="J144" s="46"/>
      <c r="K144" s="46">
        <f>I144+J144</f>
        <v>0</v>
      </c>
      <c r="L144" s="46">
        <v>2884.79</v>
      </c>
      <c r="M144" s="46"/>
      <c r="N144" s="46">
        <f t="shared" si="30"/>
        <v>2884.79</v>
      </c>
      <c r="O144" s="65">
        <v>3127</v>
      </c>
      <c r="P144" s="4">
        <v>454</v>
      </c>
      <c r="Q144" s="11" t="s">
        <v>90</v>
      </c>
      <c r="R144" s="46">
        <v>862</v>
      </c>
      <c r="S144" s="46"/>
      <c r="T144" s="46"/>
      <c r="U144" s="46">
        <f t="shared" si="27"/>
        <v>862</v>
      </c>
      <c r="V144" s="46">
        <v>6454</v>
      </c>
      <c r="W144" s="46"/>
      <c r="X144" s="46"/>
      <c r="Y144" s="46">
        <f t="shared" si="28"/>
        <v>6454</v>
      </c>
    </row>
    <row r="145" spans="1:25" ht="13.5" thickBot="1">
      <c r="A145" s="80">
        <v>3146</v>
      </c>
      <c r="B145" s="81">
        <v>455</v>
      </c>
      <c r="C145" s="82" t="s">
        <v>158</v>
      </c>
      <c r="D145" s="62">
        <v>5512.1</v>
      </c>
      <c r="E145" s="62">
        <f>5</f>
        <v>5</v>
      </c>
      <c r="F145" s="62"/>
      <c r="G145" s="62"/>
      <c r="H145" s="62">
        <f t="shared" si="29"/>
        <v>5517.1</v>
      </c>
      <c r="I145" s="62"/>
      <c r="J145" s="62"/>
      <c r="K145" s="62">
        <f t="shared" si="26"/>
        <v>0</v>
      </c>
      <c r="L145" s="62">
        <v>195.44</v>
      </c>
      <c r="M145" s="62"/>
      <c r="N145" s="62">
        <f t="shared" si="30"/>
        <v>195.44</v>
      </c>
      <c r="O145" s="83">
        <v>3146</v>
      </c>
      <c r="P145" s="81">
        <v>455</v>
      </c>
      <c r="Q145" s="82" t="s">
        <v>158</v>
      </c>
      <c r="R145" s="62"/>
      <c r="S145" s="62"/>
      <c r="T145" s="62"/>
      <c r="U145" s="62">
        <f t="shared" si="27"/>
        <v>0</v>
      </c>
      <c r="V145" s="62">
        <v>93</v>
      </c>
      <c r="W145" s="62">
        <f>114</f>
        <v>114</v>
      </c>
      <c r="X145" s="62"/>
      <c r="Y145" s="62">
        <f t="shared" si="28"/>
        <v>207</v>
      </c>
    </row>
    <row r="146" spans="4:12" ht="12.75">
      <c r="D146" s="78"/>
      <c r="E146" s="68"/>
      <c r="F146" s="68"/>
      <c r="G146" s="68"/>
      <c r="H146" s="79"/>
      <c r="I146" s="68"/>
      <c r="J146" s="68"/>
      <c r="K146" s="68"/>
      <c r="L146" s="78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ht="12.75">
      <c r="L148" s="70"/>
    </row>
    <row r="149" ht="12.75">
      <c r="L149" s="70"/>
    </row>
  </sheetData>
  <sheetProtection/>
  <mergeCells count="11"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  <mergeCell ref="L4:N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customWidth="1"/>
    <col min="7" max="7" width="9.28125" style="0" bestFit="1" customWidth="1"/>
    <col min="8" max="8" width="10.140625" style="0" bestFit="1" customWidth="1"/>
    <col min="9" max="9" width="10.140625" style="0" customWidth="1"/>
    <col min="10" max="10" width="9.28125" style="0" customWidth="1"/>
    <col min="11" max="11" width="9.8515625" style="0" customWidth="1"/>
    <col min="12" max="12" width="10.421875" style="0" customWidth="1"/>
    <col min="13" max="13" width="8.140625" style="0" customWidth="1"/>
    <col min="14" max="14" width="9.28125" style="0" bestFit="1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customWidth="1"/>
    <col min="21" max="21" width="9.28125" style="0" bestFit="1" customWidth="1"/>
    <col min="22" max="22" width="10.7109375" style="0" customWidth="1"/>
    <col min="23" max="23" width="9.28125" style="0" customWidth="1"/>
    <col min="24" max="24" width="10.140625" style="0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84" t="s">
        <v>165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6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5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86" t="s">
        <v>18</v>
      </c>
      <c r="B4" s="88" t="s">
        <v>41</v>
      </c>
      <c r="C4" s="89" t="s">
        <v>0</v>
      </c>
      <c r="D4" s="91" t="s">
        <v>74</v>
      </c>
      <c r="E4" s="92"/>
      <c r="F4" s="92"/>
      <c r="G4" s="92"/>
      <c r="H4" s="93"/>
      <c r="I4" s="91" t="s">
        <v>81</v>
      </c>
      <c r="J4" s="92"/>
      <c r="K4" s="93"/>
      <c r="L4" s="94" t="s">
        <v>154</v>
      </c>
      <c r="M4" s="95"/>
      <c r="N4" s="96"/>
      <c r="O4" s="86" t="s">
        <v>18</v>
      </c>
      <c r="P4" s="88" t="s">
        <v>41</v>
      </c>
      <c r="Q4" s="89" t="s">
        <v>0</v>
      </c>
      <c r="R4" s="94" t="s">
        <v>110</v>
      </c>
      <c r="S4" s="92"/>
      <c r="T4" s="92"/>
      <c r="U4" s="92"/>
      <c r="V4" s="92"/>
      <c r="W4" s="92"/>
      <c r="X4" s="92"/>
      <c r="Y4" s="93"/>
    </row>
    <row r="5" spans="1:25" ht="75.75" customHeight="1" thickBot="1">
      <c r="A5" s="87"/>
      <c r="B5" s="87"/>
      <c r="C5" s="90"/>
      <c r="D5" s="17" t="s">
        <v>122</v>
      </c>
      <c r="E5" s="17" t="s">
        <v>77</v>
      </c>
      <c r="F5" s="17" t="s">
        <v>80</v>
      </c>
      <c r="G5" s="18" t="s">
        <v>75</v>
      </c>
      <c r="H5" s="17" t="s">
        <v>180</v>
      </c>
      <c r="I5" s="19" t="s">
        <v>95</v>
      </c>
      <c r="J5" s="19" t="s">
        <v>82</v>
      </c>
      <c r="K5" s="19" t="s">
        <v>184</v>
      </c>
      <c r="L5" s="20" t="s">
        <v>96</v>
      </c>
      <c r="M5" s="17" t="s">
        <v>77</v>
      </c>
      <c r="N5" s="20" t="s">
        <v>181</v>
      </c>
      <c r="O5" s="97"/>
      <c r="P5" s="98"/>
      <c r="Q5" s="99"/>
      <c r="R5" s="28" t="s">
        <v>111</v>
      </c>
      <c r="S5" s="28" t="s">
        <v>76</v>
      </c>
      <c r="T5" s="28" t="s">
        <v>80</v>
      </c>
      <c r="U5" s="28" t="s">
        <v>182</v>
      </c>
      <c r="V5" s="28" t="s">
        <v>97</v>
      </c>
      <c r="W5" s="28" t="s">
        <v>76</v>
      </c>
      <c r="X5" s="28" t="s">
        <v>80</v>
      </c>
      <c r="Y5" s="28" t="s">
        <v>183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0</v>
      </c>
      <c r="F7" s="44">
        <f t="shared" si="0"/>
        <v>0</v>
      </c>
      <c r="G7" s="44">
        <f t="shared" si="0"/>
        <v>0</v>
      </c>
      <c r="H7" s="44">
        <f t="shared" si="0"/>
        <v>20876.5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0</v>
      </c>
      <c r="N7" s="44">
        <f t="shared" si="0"/>
        <v>354.5</v>
      </c>
      <c r="O7" s="63"/>
      <c r="P7" s="64"/>
      <c r="Q7" s="44" t="s">
        <v>105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149</v>
      </c>
      <c r="D9" s="46">
        <v>20876.5</v>
      </c>
      <c r="E9" s="46"/>
      <c r="F9" s="47"/>
      <c r="G9" s="46"/>
      <c r="H9" s="46">
        <f>D9+E9+F9+G9</f>
        <v>20876.5</v>
      </c>
      <c r="I9" s="46">
        <v>10000</v>
      </c>
      <c r="J9" s="46"/>
      <c r="K9" s="46">
        <f>I9+J9</f>
        <v>10000</v>
      </c>
      <c r="L9" s="46">
        <v>354.5</v>
      </c>
      <c r="M9" s="46"/>
      <c r="N9" s="46">
        <f>L9+M9</f>
        <v>354.5</v>
      </c>
      <c r="O9" s="65">
        <v>2212</v>
      </c>
      <c r="P9" s="66">
        <v>901</v>
      </c>
      <c r="Q9" s="49" t="s">
        <v>149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133</v>
      </c>
      <c r="D10" s="44">
        <f>D12</f>
        <v>67339.84</v>
      </c>
      <c r="E10" s="44">
        <f aca="true" t="shared" si="2" ref="E10:N10">E12</f>
        <v>1972</v>
      </c>
      <c r="F10" s="44">
        <f t="shared" si="2"/>
        <v>0</v>
      </c>
      <c r="G10" s="44">
        <f t="shared" si="2"/>
        <v>140</v>
      </c>
      <c r="H10" s="44">
        <f t="shared" si="2"/>
        <v>69451.84</v>
      </c>
      <c r="I10" s="44">
        <f t="shared" si="2"/>
        <v>1000</v>
      </c>
      <c r="J10" s="44">
        <f t="shared" si="2"/>
        <v>200</v>
      </c>
      <c r="K10" s="44">
        <f t="shared" si="2"/>
        <v>1200</v>
      </c>
      <c r="L10" s="44">
        <f t="shared" si="2"/>
        <v>350</v>
      </c>
      <c r="M10" s="44">
        <f t="shared" si="2"/>
        <v>0</v>
      </c>
      <c r="N10" s="44">
        <f t="shared" si="2"/>
        <v>350</v>
      </c>
      <c r="O10" s="65"/>
      <c r="P10" s="64"/>
      <c r="Q10" s="52"/>
      <c r="R10" s="51"/>
      <c r="S10" s="51"/>
      <c r="T10" s="51"/>
      <c r="U10" s="51"/>
      <c r="V10" s="51"/>
      <c r="W10" s="51"/>
      <c r="X10" s="51"/>
      <c r="Y10" s="51"/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38.25" customHeight="1">
      <c r="A12" s="36">
        <v>3639</v>
      </c>
      <c r="B12" s="4">
        <v>902</v>
      </c>
      <c r="C12" s="39" t="s">
        <v>205</v>
      </c>
      <c r="D12" s="57">
        <v>67339.84</v>
      </c>
      <c r="E12" s="50">
        <f>1972</f>
        <v>1972</v>
      </c>
      <c r="F12" s="46"/>
      <c r="G12" s="46">
        <f>340-200</f>
        <v>140</v>
      </c>
      <c r="H12" s="46">
        <f>D12+E12+F12+G12</f>
        <v>69451.84</v>
      </c>
      <c r="I12" s="46">
        <v>1000</v>
      </c>
      <c r="J12" s="46">
        <f>200</f>
        <v>200</v>
      </c>
      <c r="K12" s="46">
        <f>I12+J12</f>
        <v>1200</v>
      </c>
      <c r="L12" s="46">
        <v>350</v>
      </c>
      <c r="M12" s="46"/>
      <c r="N12" s="46">
        <f>L12+M12</f>
        <v>350</v>
      </c>
      <c r="O12" s="65"/>
      <c r="P12" s="64">
        <v>902</v>
      </c>
      <c r="Q12" s="52"/>
      <c r="R12" s="51"/>
      <c r="S12" s="51"/>
      <c r="T12" s="51"/>
      <c r="U12" s="51"/>
      <c r="V12" s="51"/>
      <c r="W12" s="51"/>
      <c r="X12" s="51"/>
      <c r="Y12" s="51"/>
    </row>
    <row r="13" spans="1:25" ht="12.75">
      <c r="A13" s="36"/>
      <c r="B13" s="2"/>
      <c r="C13" s="9" t="s">
        <v>24</v>
      </c>
      <c r="D13" s="53">
        <f>SUM(D15:D19)</f>
        <v>223604</v>
      </c>
      <c r="E13" s="53">
        <f aca="true" t="shared" si="3" ref="E13:N13">SUM(E15:E19)</f>
        <v>250</v>
      </c>
      <c r="F13" s="53">
        <f t="shared" si="3"/>
        <v>0</v>
      </c>
      <c r="G13" s="53">
        <f t="shared" si="3"/>
        <v>60</v>
      </c>
      <c r="H13" s="53">
        <f t="shared" si="3"/>
        <v>223914</v>
      </c>
      <c r="I13" s="53">
        <f t="shared" si="3"/>
        <v>0</v>
      </c>
      <c r="J13" s="53">
        <f t="shared" si="3"/>
        <v>0</v>
      </c>
      <c r="K13" s="53">
        <f t="shared" si="3"/>
        <v>0</v>
      </c>
      <c r="L13" s="53">
        <f t="shared" si="3"/>
        <v>23967</v>
      </c>
      <c r="M13" s="53">
        <f t="shared" si="3"/>
        <v>0</v>
      </c>
      <c r="N13" s="53">
        <f t="shared" si="3"/>
        <v>23967</v>
      </c>
      <c r="O13" s="65"/>
      <c r="P13" s="64"/>
      <c r="Q13" s="53" t="s">
        <v>106</v>
      </c>
      <c r="R13" s="53">
        <f aca="true" t="shared" si="4" ref="R13:Y13">SUM(R15:R19)</f>
        <v>5444.91</v>
      </c>
      <c r="S13" s="53">
        <f t="shared" si="4"/>
        <v>0</v>
      </c>
      <c r="T13" s="53">
        <f t="shared" si="4"/>
        <v>0</v>
      </c>
      <c r="U13" s="53">
        <f t="shared" si="4"/>
        <v>5444.91</v>
      </c>
      <c r="V13" s="53">
        <f t="shared" si="4"/>
        <v>30121.33</v>
      </c>
      <c r="W13" s="53">
        <f t="shared" si="4"/>
        <v>4000</v>
      </c>
      <c r="X13" s="53">
        <f t="shared" si="4"/>
        <v>0</v>
      </c>
      <c r="Y13" s="53">
        <f t="shared" si="4"/>
        <v>34121.33</v>
      </c>
    </row>
    <row r="14" spans="1:25" ht="12.75">
      <c r="A14" s="36"/>
      <c r="B14" s="4"/>
      <c r="C14" s="6" t="s">
        <v>48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123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17236.9</v>
      </c>
      <c r="W15" s="46">
        <f>4000</f>
        <v>4000</v>
      </c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/>
      <c r="F16" s="46"/>
      <c r="G16" s="46"/>
      <c r="H16" s="46">
        <f>D16+E16+F16+G16</f>
        <v>7500</v>
      </c>
      <c r="I16" s="55"/>
      <c r="J16" s="55"/>
      <c r="K16" s="55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204</v>
      </c>
      <c r="D18" s="46">
        <v>169485</v>
      </c>
      <c r="E18" s="46"/>
      <c r="F18" s="46"/>
      <c r="G18" s="46">
        <v>60</v>
      </c>
      <c r="H18" s="46">
        <f>D18+E18+F18+G18</f>
        <v>169545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5950</v>
      </c>
      <c r="E19" s="46">
        <v>250</v>
      </c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149934.5</v>
      </c>
      <c r="E20" s="44">
        <f aca="true" t="shared" si="5" ref="E20:N20">SUM(E22:E31)</f>
        <v>1698.1</v>
      </c>
      <c r="F20" s="44">
        <f t="shared" si="5"/>
        <v>0</v>
      </c>
      <c r="G20" s="44">
        <f t="shared" si="5"/>
        <v>0</v>
      </c>
      <c r="H20" s="44">
        <f t="shared" si="5"/>
        <v>151632.6</v>
      </c>
      <c r="I20" s="44">
        <f t="shared" si="5"/>
        <v>0</v>
      </c>
      <c r="J20" s="44">
        <f t="shared" si="5"/>
        <v>0</v>
      </c>
      <c r="K20" s="44">
        <f t="shared" si="5"/>
        <v>0</v>
      </c>
      <c r="L20" s="44">
        <f t="shared" si="5"/>
        <v>10090.9</v>
      </c>
      <c r="M20" s="45">
        <f t="shared" si="5"/>
        <v>228.1</v>
      </c>
      <c r="N20" s="44">
        <f t="shared" si="5"/>
        <v>10319</v>
      </c>
      <c r="O20" s="63"/>
      <c r="P20" s="64"/>
      <c r="Q20" s="44" t="s">
        <v>107</v>
      </c>
      <c r="R20" s="44">
        <f aca="true" t="shared" si="6" ref="R20:Y20">SUM(R22:R31)</f>
        <v>830</v>
      </c>
      <c r="S20" s="44">
        <f t="shared" si="6"/>
        <v>0</v>
      </c>
      <c r="T20" s="44">
        <f t="shared" si="6"/>
        <v>0</v>
      </c>
      <c r="U20" s="44">
        <f t="shared" si="6"/>
        <v>830</v>
      </c>
      <c r="V20" s="44">
        <f t="shared" si="6"/>
        <v>2778</v>
      </c>
      <c r="W20" s="44">
        <f t="shared" si="6"/>
        <v>0</v>
      </c>
      <c r="X20" s="44">
        <f t="shared" si="6"/>
        <v>0</v>
      </c>
      <c r="Y20" s="44">
        <f t="shared" si="6"/>
        <v>2778</v>
      </c>
    </row>
    <row r="21" spans="1:25" ht="12.75">
      <c r="A21" s="35"/>
      <c r="B21" s="2"/>
      <c r="C21" s="6" t="s">
        <v>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11878.06</v>
      </c>
      <c r="E22" s="46">
        <f>5+228.1+145</f>
        <v>378.1</v>
      </c>
      <c r="F22" s="46"/>
      <c r="G22" s="46"/>
      <c r="H22" s="46">
        <f>D22+E22+F22+G22</f>
        <v>12256.16</v>
      </c>
      <c r="I22" s="46"/>
      <c r="J22" s="46"/>
      <c r="K22" s="46">
        <f aca="true" t="shared" si="7" ref="K22:K31">I22+J22</f>
        <v>0</v>
      </c>
      <c r="L22" s="46">
        <v>736.6</v>
      </c>
      <c r="M22" s="46">
        <v>119.9</v>
      </c>
      <c r="N22" s="46">
        <f aca="true" t="shared" si="8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9" ref="U22:U31">SUM(R22:T22)</f>
        <v>0</v>
      </c>
      <c r="V22" s="46"/>
      <c r="W22" s="46"/>
      <c r="X22" s="46"/>
      <c r="Y22" s="46">
        <f aca="true" t="shared" si="10" ref="Y22:Y31">SUM(V22:X22)</f>
        <v>0</v>
      </c>
    </row>
    <row r="23" spans="1:25" ht="12.75">
      <c r="A23" s="36">
        <v>3315</v>
      </c>
      <c r="B23" s="4">
        <v>602</v>
      </c>
      <c r="C23" s="8" t="s">
        <v>93</v>
      </c>
      <c r="D23" s="46">
        <v>6043.36</v>
      </c>
      <c r="E23" s="46">
        <f>5+95</f>
        <v>100</v>
      </c>
      <c r="F23" s="46"/>
      <c r="G23" s="46"/>
      <c r="H23" s="46">
        <f aca="true" t="shared" si="11" ref="H23:H31">D23+E23+F23+G23</f>
        <v>6143.36</v>
      </c>
      <c r="I23" s="46"/>
      <c r="J23" s="46"/>
      <c r="K23" s="46">
        <f t="shared" si="7"/>
        <v>0</v>
      </c>
      <c r="L23" s="46">
        <v>200</v>
      </c>
      <c r="M23" s="46">
        <v>1.1</v>
      </c>
      <c r="N23" s="46">
        <f t="shared" si="8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9"/>
        <v>0</v>
      </c>
      <c r="V23" s="46">
        <v>50</v>
      </c>
      <c r="W23" s="46"/>
      <c r="X23" s="46"/>
      <c r="Y23" s="46">
        <f t="shared" si="10"/>
        <v>50</v>
      </c>
    </row>
    <row r="24" spans="1:25" ht="12.75">
      <c r="A24" s="36">
        <v>3315</v>
      </c>
      <c r="B24" s="4">
        <v>603</v>
      </c>
      <c r="C24" s="41" t="s">
        <v>124</v>
      </c>
      <c r="D24" s="46">
        <v>31175.48</v>
      </c>
      <c r="E24" s="46">
        <f>5+315</f>
        <v>320</v>
      </c>
      <c r="F24" s="46"/>
      <c r="G24" s="46"/>
      <c r="H24" s="46">
        <f t="shared" si="11"/>
        <v>31495.48</v>
      </c>
      <c r="I24" s="46"/>
      <c r="J24" s="46"/>
      <c r="K24" s="46">
        <f t="shared" si="7"/>
        <v>0</v>
      </c>
      <c r="L24" s="46">
        <v>788.4</v>
      </c>
      <c r="M24" s="46">
        <v>13.1</v>
      </c>
      <c r="N24" s="46">
        <f t="shared" si="8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9"/>
        <v>0</v>
      </c>
      <c r="V24" s="46"/>
      <c r="W24" s="46"/>
      <c r="X24" s="46"/>
      <c r="Y24" s="46">
        <f t="shared" si="10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52110.6</v>
      </c>
      <c r="E25" s="46">
        <v>5</v>
      </c>
      <c r="F25" s="46"/>
      <c r="G25" s="46"/>
      <c r="H25" s="46">
        <f t="shared" si="11"/>
        <v>52115.6</v>
      </c>
      <c r="I25" s="46"/>
      <c r="J25" s="46"/>
      <c r="K25" s="46">
        <f t="shared" si="7"/>
        <v>0</v>
      </c>
      <c r="L25" s="46">
        <v>5400</v>
      </c>
      <c r="M25" s="46"/>
      <c r="N25" s="46">
        <f t="shared" si="8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9"/>
        <v>650</v>
      </c>
      <c r="V25" s="46">
        <v>1120</v>
      </c>
      <c r="W25" s="46"/>
      <c r="X25" s="46"/>
      <c r="Y25" s="46">
        <f t="shared" si="10"/>
        <v>1120</v>
      </c>
    </row>
    <row r="26" spans="1:25" ht="12.75">
      <c r="A26" s="36">
        <v>3319</v>
      </c>
      <c r="B26" s="4">
        <v>605</v>
      </c>
      <c r="C26" s="8" t="s">
        <v>179</v>
      </c>
      <c r="D26" s="46">
        <v>4596.4</v>
      </c>
      <c r="E26" s="46">
        <f>5+35+300</f>
        <v>340</v>
      </c>
      <c r="F26" s="46"/>
      <c r="G26" s="46"/>
      <c r="H26" s="46">
        <f t="shared" si="11"/>
        <v>4936.4</v>
      </c>
      <c r="I26" s="46"/>
      <c r="J26" s="46"/>
      <c r="K26" s="46">
        <f t="shared" si="7"/>
        <v>0</v>
      </c>
      <c r="L26" s="46">
        <v>96</v>
      </c>
      <c r="M26" s="46">
        <v>-19.1</v>
      </c>
      <c r="N26" s="46">
        <f t="shared" si="8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9"/>
        <v>0</v>
      </c>
      <c r="V26" s="46">
        <v>200</v>
      </c>
      <c r="W26" s="46"/>
      <c r="X26" s="46"/>
      <c r="Y26" s="46">
        <f t="shared" si="10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10104.6</v>
      </c>
      <c r="E27" s="50"/>
      <c r="F27" s="46"/>
      <c r="G27" s="46"/>
      <c r="H27" s="46">
        <f t="shared" si="11"/>
        <v>10104.6</v>
      </c>
      <c r="I27" s="46"/>
      <c r="J27" s="46"/>
      <c r="K27" s="46">
        <f t="shared" si="7"/>
        <v>0</v>
      </c>
      <c r="L27" s="46">
        <v>153.3</v>
      </c>
      <c r="M27" s="46">
        <v>113</v>
      </c>
      <c r="N27" s="46">
        <f t="shared" si="8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9"/>
        <v>0</v>
      </c>
      <c r="V27" s="46"/>
      <c r="W27" s="46"/>
      <c r="X27" s="46"/>
      <c r="Y27" s="46">
        <f t="shared" si="10"/>
        <v>0</v>
      </c>
    </row>
    <row r="28" spans="1:25" ht="12.75">
      <c r="A28" s="36">
        <v>3319</v>
      </c>
      <c r="B28" s="4">
        <v>607</v>
      </c>
      <c r="C28" s="8" t="s">
        <v>117</v>
      </c>
      <c r="D28" s="46">
        <v>5310.7</v>
      </c>
      <c r="E28" s="50">
        <v>5</v>
      </c>
      <c r="F28" s="46"/>
      <c r="G28" s="46"/>
      <c r="H28" s="46">
        <f t="shared" si="11"/>
        <v>5315.7</v>
      </c>
      <c r="I28" s="46"/>
      <c r="J28" s="46"/>
      <c r="K28" s="46">
        <f t="shared" si="7"/>
        <v>0</v>
      </c>
      <c r="L28" s="46">
        <v>200.3</v>
      </c>
      <c r="M28" s="46"/>
      <c r="N28" s="46">
        <f t="shared" si="8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9"/>
        <v>0</v>
      </c>
      <c r="V28" s="46">
        <v>100</v>
      </c>
      <c r="W28" s="46"/>
      <c r="X28" s="46"/>
      <c r="Y28" s="46">
        <f t="shared" si="10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8237.02</v>
      </c>
      <c r="E29" s="46">
        <f>158</f>
        <v>158</v>
      </c>
      <c r="F29" s="46"/>
      <c r="G29" s="46"/>
      <c r="H29" s="46">
        <f t="shared" si="11"/>
        <v>8395.02</v>
      </c>
      <c r="I29" s="46"/>
      <c r="J29" s="46"/>
      <c r="K29" s="46">
        <f t="shared" si="7"/>
        <v>0</v>
      </c>
      <c r="L29" s="46">
        <v>142.2</v>
      </c>
      <c r="M29" s="46"/>
      <c r="N29" s="46">
        <f t="shared" si="8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9"/>
        <v>0</v>
      </c>
      <c r="V29" s="46">
        <v>350</v>
      </c>
      <c r="W29" s="46"/>
      <c r="X29" s="46"/>
      <c r="Y29" s="46">
        <f t="shared" si="10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8797.7</v>
      </c>
      <c r="E30" s="46">
        <f>198</f>
        <v>198</v>
      </c>
      <c r="F30" s="46"/>
      <c r="G30" s="46"/>
      <c r="H30" s="46">
        <f t="shared" si="11"/>
        <v>8995.7</v>
      </c>
      <c r="I30" s="46"/>
      <c r="J30" s="46"/>
      <c r="K30" s="46">
        <f t="shared" si="7"/>
        <v>0</v>
      </c>
      <c r="L30" s="46">
        <v>1804.5</v>
      </c>
      <c r="M30" s="46"/>
      <c r="N30" s="46">
        <f t="shared" si="8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9"/>
        <v>180</v>
      </c>
      <c r="V30" s="46">
        <v>478</v>
      </c>
      <c r="W30" s="46"/>
      <c r="X30" s="46"/>
      <c r="Y30" s="46">
        <f t="shared" si="10"/>
        <v>478</v>
      </c>
    </row>
    <row r="31" spans="1:25" ht="12.75">
      <c r="A31" s="36">
        <v>3315</v>
      </c>
      <c r="B31" s="4">
        <v>610</v>
      </c>
      <c r="C31" s="41" t="s">
        <v>150</v>
      </c>
      <c r="D31" s="57">
        <v>11680.58</v>
      </c>
      <c r="E31" s="46">
        <f>5+189</f>
        <v>194</v>
      </c>
      <c r="F31" s="46"/>
      <c r="G31" s="46"/>
      <c r="H31" s="46">
        <f t="shared" si="11"/>
        <v>11874.58</v>
      </c>
      <c r="I31" s="46"/>
      <c r="J31" s="46"/>
      <c r="K31" s="46">
        <f t="shared" si="7"/>
        <v>0</v>
      </c>
      <c r="L31" s="46">
        <v>569.6</v>
      </c>
      <c r="M31" s="46">
        <v>0.1</v>
      </c>
      <c r="N31" s="46">
        <f t="shared" si="8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9"/>
        <v>0</v>
      </c>
      <c r="V31" s="46">
        <v>480</v>
      </c>
      <c r="W31" s="46"/>
      <c r="X31" s="46"/>
      <c r="Y31" s="46">
        <f t="shared" si="10"/>
        <v>480</v>
      </c>
    </row>
    <row r="32" spans="1:25" ht="12.75">
      <c r="A32" s="36"/>
      <c r="B32" s="4"/>
      <c r="C32" s="10" t="s">
        <v>26</v>
      </c>
      <c r="D32" s="58">
        <f>SUM(D34:D57)</f>
        <v>161300</v>
      </c>
      <c r="E32" s="58">
        <f aca="true" t="shared" si="12" ref="E32:N32">SUM(E34:E57)</f>
        <v>45</v>
      </c>
      <c r="F32" s="58">
        <f t="shared" si="12"/>
        <v>0</v>
      </c>
      <c r="G32" s="58">
        <f t="shared" si="12"/>
        <v>0</v>
      </c>
      <c r="H32" s="58">
        <f t="shared" si="12"/>
        <v>161345</v>
      </c>
      <c r="I32" s="58">
        <f t="shared" si="12"/>
        <v>0</v>
      </c>
      <c r="J32" s="58">
        <f t="shared" si="12"/>
        <v>0</v>
      </c>
      <c r="K32" s="58">
        <f t="shared" si="12"/>
        <v>0</v>
      </c>
      <c r="L32" s="58">
        <f t="shared" si="12"/>
        <v>33696</v>
      </c>
      <c r="M32" s="58">
        <f t="shared" si="12"/>
        <v>0</v>
      </c>
      <c r="N32" s="58">
        <f t="shared" si="12"/>
        <v>33696</v>
      </c>
      <c r="O32" s="65"/>
      <c r="P32" s="66"/>
      <c r="Q32" s="58" t="s">
        <v>108</v>
      </c>
      <c r="R32" s="58">
        <f aca="true" t="shared" si="13" ref="R32:Y32">SUM(R34:R57)</f>
        <v>200</v>
      </c>
      <c r="S32" s="58">
        <f t="shared" si="13"/>
        <v>400</v>
      </c>
      <c r="T32" s="58">
        <f t="shared" si="13"/>
        <v>0</v>
      </c>
      <c r="U32" s="58">
        <f t="shared" si="13"/>
        <v>600</v>
      </c>
      <c r="V32" s="58">
        <f t="shared" si="13"/>
        <v>11445</v>
      </c>
      <c r="W32" s="58">
        <f t="shared" si="13"/>
        <v>-250</v>
      </c>
      <c r="X32" s="58">
        <f t="shared" si="13"/>
        <v>0</v>
      </c>
      <c r="Y32" s="58">
        <f t="shared" si="13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102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/>
      <c r="F34" s="46"/>
      <c r="G34" s="46"/>
      <c r="H34" s="46">
        <f>D34+E34+F34+G34</f>
        <v>5620</v>
      </c>
      <c r="I34" s="46"/>
      <c r="J34" s="46"/>
      <c r="K34" s="46">
        <f aca="true" t="shared" si="14" ref="K34:K57">I34+J34</f>
        <v>0</v>
      </c>
      <c r="L34" s="46">
        <v>1351</v>
      </c>
      <c r="M34" s="46"/>
      <c r="N34" s="46">
        <f aca="true" t="shared" si="15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6" ref="U34:U57">SUM(R34:T34)</f>
        <v>0</v>
      </c>
      <c r="V34" s="46">
        <v>400</v>
      </c>
      <c r="W34" s="46"/>
      <c r="X34" s="46"/>
      <c r="Y34" s="46">
        <f aca="true" t="shared" si="17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3540</v>
      </c>
      <c r="E35" s="46">
        <v>5</v>
      </c>
      <c r="F35" s="46"/>
      <c r="G35" s="46"/>
      <c r="H35" s="46">
        <f aca="true" t="shared" si="18" ref="H35:H57">D35+E35+F35+G35</f>
        <v>3545</v>
      </c>
      <c r="I35" s="46"/>
      <c r="J35" s="46"/>
      <c r="K35" s="46">
        <f t="shared" si="14"/>
        <v>0</v>
      </c>
      <c r="L35" s="46">
        <v>582</v>
      </c>
      <c r="M35" s="46"/>
      <c r="N35" s="46">
        <f t="shared" si="15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6"/>
        <v>0</v>
      </c>
      <c r="V35" s="46">
        <v>150</v>
      </c>
      <c r="W35" s="46"/>
      <c r="X35" s="46"/>
      <c r="Y35" s="46">
        <f t="shared" si="17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17430</v>
      </c>
      <c r="E36" s="46">
        <v>5</v>
      </c>
      <c r="F36" s="46"/>
      <c r="G36" s="46"/>
      <c r="H36" s="46">
        <f t="shared" si="18"/>
        <v>17435</v>
      </c>
      <c r="I36" s="46"/>
      <c r="J36" s="46"/>
      <c r="K36" s="46">
        <f t="shared" si="14"/>
        <v>0</v>
      </c>
      <c r="L36" s="46">
        <v>1471</v>
      </c>
      <c r="M36" s="46"/>
      <c r="N36" s="46">
        <f t="shared" si="15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6"/>
        <v>0</v>
      </c>
      <c r="V36" s="46"/>
      <c r="W36" s="46"/>
      <c r="X36" s="46"/>
      <c r="Y36" s="46">
        <f t="shared" si="17"/>
        <v>0</v>
      </c>
    </row>
    <row r="37" spans="1:25" ht="12.75">
      <c r="A37" s="36">
        <v>4350</v>
      </c>
      <c r="B37" s="4">
        <v>804</v>
      </c>
      <c r="C37" s="7" t="s">
        <v>98</v>
      </c>
      <c r="D37" s="46">
        <v>4370</v>
      </c>
      <c r="E37" s="46">
        <v>5</v>
      </c>
      <c r="F37" s="46"/>
      <c r="G37" s="46"/>
      <c r="H37" s="46">
        <f t="shared" si="18"/>
        <v>4375</v>
      </c>
      <c r="I37" s="46"/>
      <c r="J37" s="46"/>
      <c r="K37" s="46">
        <f t="shared" si="14"/>
        <v>0</v>
      </c>
      <c r="L37" s="46">
        <v>1035</v>
      </c>
      <c r="M37" s="46"/>
      <c r="N37" s="46">
        <f t="shared" si="15"/>
        <v>1035</v>
      </c>
      <c r="O37" s="36">
        <v>4350</v>
      </c>
      <c r="P37" s="4">
        <v>804</v>
      </c>
      <c r="Q37" s="7" t="s">
        <v>98</v>
      </c>
      <c r="R37" s="46"/>
      <c r="S37" s="46"/>
      <c r="T37" s="46"/>
      <c r="U37" s="46">
        <f t="shared" si="16"/>
        <v>0</v>
      </c>
      <c r="V37" s="46"/>
      <c r="W37" s="46"/>
      <c r="X37" s="46"/>
      <c r="Y37" s="46">
        <f t="shared" si="17"/>
        <v>0</v>
      </c>
    </row>
    <row r="38" spans="1:25" ht="12.75">
      <c r="A38" s="36">
        <v>4350</v>
      </c>
      <c r="B38" s="4">
        <v>805</v>
      </c>
      <c r="C38" s="7" t="s">
        <v>151</v>
      </c>
      <c r="D38" s="46">
        <v>14400</v>
      </c>
      <c r="E38" s="46">
        <v>5</v>
      </c>
      <c r="F38" s="46"/>
      <c r="G38" s="46"/>
      <c r="H38" s="46">
        <f t="shared" si="18"/>
        <v>14405</v>
      </c>
      <c r="I38" s="46"/>
      <c r="J38" s="46"/>
      <c r="K38" s="46">
        <f t="shared" si="14"/>
        <v>0</v>
      </c>
      <c r="L38" s="46">
        <v>3497</v>
      </c>
      <c r="M38" s="46"/>
      <c r="N38" s="46">
        <f t="shared" si="15"/>
        <v>3497</v>
      </c>
      <c r="O38" s="36">
        <v>4350</v>
      </c>
      <c r="P38" s="4">
        <v>805</v>
      </c>
      <c r="Q38" s="7" t="s">
        <v>151</v>
      </c>
      <c r="R38" s="46"/>
      <c r="S38" s="46"/>
      <c r="T38" s="46"/>
      <c r="U38" s="46">
        <f t="shared" si="16"/>
        <v>0</v>
      </c>
      <c r="V38" s="46">
        <v>4525</v>
      </c>
      <c r="W38" s="46"/>
      <c r="X38" s="46"/>
      <c r="Y38" s="46">
        <f t="shared" si="17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/>
      <c r="F39" s="46"/>
      <c r="G39" s="46"/>
      <c r="H39" s="46">
        <f t="shared" si="18"/>
        <v>2360</v>
      </c>
      <c r="I39" s="46"/>
      <c r="J39" s="46"/>
      <c r="K39" s="46">
        <f t="shared" si="14"/>
        <v>0</v>
      </c>
      <c r="L39" s="46">
        <v>501</v>
      </c>
      <c r="M39" s="46"/>
      <c r="N39" s="46">
        <f t="shared" si="15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6"/>
        <v>0</v>
      </c>
      <c r="V39" s="46"/>
      <c r="W39" s="46"/>
      <c r="X39" s="46"/>
      <c r="Y39" s="46">
        <f t="shared" si="17"/>
        <v>0</v>
      </c>
    </row>
    <row r="40" spans="1:25" ht="12.75">
      <c r="A40" s="36">
        <v>4357</v>
      </c>
      <c r="B40" s="4">
        <v>807</v>
      </c>
      <c r="C40" s="7" t="s">
        <v>136</v>
      </c>
      <c r="D40" s="46">
        <v>8300</v>
      </c>
      <c r="E40" s="46">
        <v>5</v>
      </c>
      <c r="F40" s="46"/>
      <c r="G40" s="50"/>
      <c r="H40" s="46">
        <f t="shared" si="18"/>
        <v>8305</v>
      </c>
      <c r="I40" s="46"/>
      <c r="J40" s="46"/>
      <c r="K40" s="46">
        <f t="shared" si="14"/>
        <v>0</v>
      </c>
      <c r="L40" s="46">
        <v>1838</v>
      </c>
      <c r="M40" s="46"/>
      <c r="N40" s="46">
        <f t="shared" si="15"/>
        <v>1838</v>
      </c>
      <c r="O40" s="36">
        <v>4357</v>
      </c>
      <c r="P40" s="4">
        <v>807</v>
      </c>
      <c r="Q40" s="7" t="s">
        <v>136</v>
      </c>
      <c r="R40" s="46"/>
      <c r="S40" s="46"/>
      <c r="T40" s="46"/>
      <c r="U40" s="46">
        <f t="shared" si="16"/>
        <v>0</v>
      </c>
      <c r="V40" s="46"/>
      <c r="W40" s="46"/>
      <c r="X40" s="46"/>
      <c r="Y40" s="46">
        <f t="shared" si="17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/>
      <c r="G41" s="50"/>
      <c r="H41" s="46">
        <f t="shared" si="18"/>
        <v>1810</v>
      </c>
      <c r="I41" s="46"/>
      <c r="J41" s="46"/>
      <c r="K41" s="46">
        <f t="shared" si="14"/>
        <v>0</v>
      </c>
      <c r="L41" s="46">
        <v>389</v>
      </c>
      <c r="M41" s="46"/>
      <c r="N41" s="46">
        <f t="shared" si="15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6"/>
        <v>0</v>
      </c>
      <c r="V41" s="46"/>
      <c r="W41" s="46"/>
      <c r="X41" s="46"/>
      <c r="Y41" s="46">
        <f t="shared" si="17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6400</v>
      </c>
      <c r="E42" s="46">
        <v>5</v>
      </c>
      <c r="F42" s="46"/>
      <c r="G42" s="50"/>
      <c r="H42" s="46">
        <f t="shared" si="18"/>
        <v>6405</v>
      </c>
      <c r="I42" s="46"/>
      <c r="J42" s="46"/>
      <c r="K42" s="46">
        <f t="shared" si="14"/>
        <v>0</v>
      </c>
      <c r="L42" s="46">
        <v>727</v>
      </c>
      <c r="M42" s="46"/>
      <c r="N42" s="46">
        <f t="shared" si="15"/>
        <v>727</v>
      </c>
      <c r="O42" s="36">
        <v>4350</v>
      </c>
      <c r="P42" s="4">
        <v>809</v>
      </c>
      <c r="Q42" s="7" t="s">
        <v>33</v>
      </c>
      <c r="R42" s="46"/>
      <c r="S42" s="46">
        <v>400</v>
      </c>
      <c r="T42" s="46"/>
      <c r="U42" s="46">
        <f t="shared" si="16"/>
        <v>400</v>
      </c>
      <c r="V42" s="46">
        <v>1000</v>
      </c>
      <c r="W42" s="46"/>
      <c r="X42" s="46"/>
      <c r="Y42" s="46">
        <f t="shared" si="17"/>
        <v>1000</v>
      </c>
    </row>
    <row r="43" spans="1:25" ht="12.75">
      <c r="A43" s="36">
        <v>4350</v>
      </c>
      <c r="B43" s="4">
        <v>810</v>
      </c>
      <c r="C43" s="7" t="s">
        <v>134</v>
      </c>
      <c r="D43" s="46">
        <v>2600</v>
      </c>
      <c r="E43" s="46"/>
      <c r="F43" s="46"/>
      <c r="G43" s="50"/>
      <c r="H43" s="46">
        <f t="shared" si="18"/>
        <v>2600</v>
      </c>
      <c r="I43" s="46"/>
      <c r="J43" s="46"/>
      <c r="K43" s="46">
        <f t="shared" si="14"/>
        <v>0</v>
      </c>
      <c r="L43" s="46">
        <v>266</v>
      </c>
      <c r="M43" s="46"/>
      <c r="N43" s="46">
        <f t="shared" si="15"/>
        <v>266</v>
      </c>
      <c r="O43" s="36">
        <v>4350</v>
      </c>
      <c r="P43" s="4">
        <v>810</v>
      </c>
      <c r="Q43" s="7" t="s">
        <v>134</v>
      </c>
      <c r="R43" s="46"/>
      <c r="S43" s="46"/>
      <c r="T43" s="46"/>
      <c r="U43" s="46">
        <f t="shared" si="16"/>
        <v>0</v>
      </c>
      <c r="V43" s="46"/>
      <c r="W43" s="46"/>
      <c r="X43" s="46"/>
      <c r="Y43" s="46">
        <f t="shared" si="17"/>
        <v>0</v>
      </c>
    </row>
    <row r="44" spans="1:25" ht="12.75">
      <c r="A44" s="36">
        <v>4350</v>
      </c>
      <c r="B44" s="4">
        <v>811</v>
      </c>
      <c r="C44" s="7" t="s">
        <v>116</v>
      </c>
      <c r="D44" s="46">
        <v>4060</v>
      </c>
      <c r="E44" s="46">
        <v>5</v>
      </c>
      <c r="F44" s="46"/>
      <c r="G44" s="50"/>
      <c r="H44" s="46">
        <f t="shared" si="18"/>
        <v>4065</v>
      </c>
      <c r="I44" s="46"/>
      <c r="J44" s="46"/>
      <c r="K44" s="46">
        <f t="shared" si="14"/>
        <v>0</v>
      </c>
      <c r="L44" s="46">
        <v>1045</v>
      </c>
      <c r="M44" s="46"/>
      <c r="N44" s="46">
        <f t="shared" si="15"/>
        <v>1045</v>
      </c>
      <c r="O44" s="36">
        <v>4350</v>
      </c>
      <c r="P44" s="4">
        <v>811</v>
      </c>
      <c r="Q44" s="7" t="s">
        <v>116</v>
      </c>
      <c r="R44" s="46"/>
      <c r="S44" s="46"/>
      <c r="T44" s="46"/>
      <c r="U44" s="46">
        <f t="shared" si="16"/>
        <v>0</v>
      </c>
      <c r="V44" s="46"/>
      <c r="W44" s="46"/>
      <c r="X44" s="46"/>
      <c r="Y44" s="46">
        <f t="shared" si="17"/>
        <v>0</v>
      </c>
    </row>
    <row r="45" spans="1:25" ht="12.75">
      <c r="A45" s="36">
        <v>4357</v>
      </c>
      <c r="B45" s="4">
        <v>813</v>
      </c>
      <c r="C45" s="7" t="s">
        <v>112</v>
      </c>
      <c r="D45" s="46">
        <v>16880</v>
      </c>
      <c r="E45" s="46"/>
      <c r="F45" s="46"/>
      <c r="G45" s="50"/>
      <c r="H45" s="46">
        <f t="shared" si="18"/>
        <v>16880</v>
      </c>
      <c r="I45" s="46"/>
      <c r="J45" s="46"/>
      <c r="K45" s="46">
        <f t="shared" si="14"/>
        <v>0</v>
      </c>
      <c r="L45" s="46">
        <v>986</v>
      </c>
      <c r="M45" s="46"/>
      <c r="N45" s="46">
        <f t="shared" si="15"/>
        <v>986</v>
      </c>
      <c r="O45" s="36">
        <v>4357</v>
      </c>
      <c r="P45" s="4">
        <v>813</v>
      </c>
      <c r="Q45" s="7" t="s">
        <v>112</v>
      </c>
      <c r="R45" s="46">
        <v>200</v>
      </c>
      <c r="S45" s="46"/>
      <c r="T45" s="46"/>
      <c r="U45" s="46">
        <f t="shared" si="16"/>
        <v>200</v>
      </c>
      <c r="V45" s="46">
        <v>1000</v>
      </c>
      <c r="W45" s="46">
        <f>-250</f>
        <v>-250</v>
      </c>
      <c r="X45" s="46"/>
      <c r="Y45" s="46">
        <f t="shared" si="17"/>
        <v>750</v>
      </c>
    </row>
    <row r="46" spans="1:25" ht="12.75">
      <c r="A46" s="36">
        <v>4357</v>
      </c>
      <c r="B46" s="4">
        <v>814</v>
      </c>
      <c r="C46" s="41" t="s">
        <v>206</v>
      </c>
      <c r="D46" s="46">
        <v>5360</v>
      </c>
      <c r="E46" s="46">
        <v>5</v>
      </c>
      <c r="F46" s="46"/>
      <c r="G46" s="50"/>
      <c r="H46" s="46">
        <f t="shared" si="18"/>
        <v>5365</v>
      </c>
      <c r="I46" s="46"/>
      <c r="J46" s="46"/>
      <c r="K46" s="46">
        <f t="shared" si="14"/>
        <v>0</v>
      </c>
      <c r="L46" s="46">
        <v>956</v>
      </c>
      <c r="M46" s="46"/>
      <c r="N46" s="46">
        <f t="shared" si="15"/>
        <v>956</v>
      </c>
      <c r="O46" s="36">
        <v>4357</v>
      </c>
      <c r="P46" s="4">
        <v>814</v>
      </c>
      <c r="Q46" s="41" t="s">
        <v>206</v>
      </c>
      <c r="R46" s="46"/>
      <c r="S46" s="46"/>
      <c r="T46" s="46"/>
      <c r="U46" s="46">
        <f t="shared" si="16"/>
        <v>0</v>
      </c>
      <c r="V46" s="46">
        <v>300</v>
      </c>
      <c r="W46" s="46"/>
      <c r="X46" s="46"/>
      <c r="Y46" s="46">
        <f t="shared" si="17"/>
        <v>300</v>
      </c>
    </row>
    <row r="47" spans="1:25" ht="12.75" customHeight="1">
      <c r="A47" s="36">
        <v>4357</v>
      </c>
      <c r="B47" s="4">
        <v>815</v>
      </c>
      <c r="C47" s="41" t="s">
        <v>207</v>
      </c>
      <c r="D47" s="46">
        <v>5150</v>
      </c>
      <c r="E47" s="50"/>
      <c r="F47" s="46"/>
      <c r="G47" s="50"/>
      <c r="H47" s="46">
        <f t="shared" si="18"/>
        <v>5150</v>
      </c>
      <c r="I47" s="46"/>
      <c r="J47" s="46"/>
      <c r="K47" s="46">
        <f t="shared" si="14"/>
        <v>0</v>
      </c>
      <c r="L47" s="46">
        <v>2031</v>
      </c>
      <c r="M47" s="46"/>
      <c r="N47" s="46">
        <f t="shared" si="15"/>
        <v>2031</v>
      </c>
      <c r="O47" s="36">
        <v>4357</v>
      </c>
      <c r="P47" s="4">
        <v>815</v>
      </c>
      <c r="Q47" s="41" t="s">
        <v>207</v>
      </c>
      <c r="R47" s="46"/>
      <c r="S47" s="46"/>
      <c r="T47" s="46"/>
      <c r="U47" s="46">
        <f t="shared" si="16"/>
        <v>0</v>
      </c>
      <c r="V47" s="46">
        <v>3200</v>
      </c>
      <c r="W47" s="46"/>
      <c r="X47" s="46"/>
      <c r="Y47" s="46">
        <f t="shared" si="17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7900</v>
      </c>
      <c r="E48" s="50">
        <v>5</v>
      </c>
      <c r="F48" s="46"/>
      <c r="G48" s="50"/>
      <c r="H48" s="46">
        <f t="shared" si="18"/>
        <v>7905</v>
      </c>
      <c r="I48" s="46"/>
      <c r="J48" s="46"/>
      <c r="K48" s="46">
        <f t="shared" si="14"/>
        <v>0</v>
      </c>
      <c r="L48" s="46">
        <v>1599</v>
      </c>
      <c r="M48" s="46"/>
      <c r="N48" s="46">
        <f t="shared" si="15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6"/>
        <v>0</v>
      </c>
      <c r="V48" s="46">
        <v>570</v>
      </c>
      <c r="W48" s="46"/>
      <c r="X48" s="46"/>
      <c r="Y48" s="46">
        <f t="shared" si="17"/>
        <v>570</v>
      </c>
    </row>
    <row r="49" spans="1:25" ht="12.75">
      <c r="A49" s="36">
        <v>4357</v>
      </c>
      <c r="B49" s="4">
        <v>818</v>
      </c>
      <c r="C49" s="8" t="s">
        <v>86</v>
      </c>
      <c r="D49" s="46">
        <v>9550</v>
      </c>
      <c r="E49" s="50"/>
      <c r="F49" s="46"/>
      <c r="G49" s="50"/>
      <c r="H49" s="46">
        <f t="shared" si="18"/>
        <v>9550</v>
      </c>
      <c r="I49" s="46"/>
      <c r="J49" s="46"/>
      <c r="K49" s="46">
        <f t="shared" si="14"/>
        <v>0</v>
      </c>
      <c r="L49" s="46">
        <v>2454</v>
      </c>
      <c r="M49" s="46"/>
      <c r="N49" s="46">
        <f t="shared" si="15"/>
        <v>2454</v>
      </c>
      <c r="O49" s="36">
        <v>4357</v>
      </c>
      <c r="P49" s="4">
        <v>818</v>
      </c>
      <c r="Q49" s="8" t="s">
        <v>86</v>
      </c>
      <c r="R49" s="46"/>
      <c r="S49" s="46"/>
      <c r="T49" s="46"/>
      <c r="U49" s="46">
        <f t="shared" si="16"/>
        <v>0</v>
      </c>
      <c r="V49" s="46"/>
      <c r="W49" s="46"/>
      <c r="X49" s="46"/>
      <c r="Y49" s="46">
        <f t="shared" si="17"/>
        <v>0</v>
      </c>
    </row>
    <row r="50" spans="1:25" ht="12.75">
      <c r="A50" s="36">
        <v>4357</v>
      </c>
      <c r="B50" s="4">
        <v>819</v>
      </c>
      <c r="C50" s="8" t="s">
        <v>137</v>
      </c>
      <c r="D50" s="46">
        <v>7370</v>
      </c>
      <c r="E50" s="50"/>
      <c r="F50" s="46"/>
      <c r="G50" s="50"/>
      <c r="H50" s="46">
        <f t="shared" si="18"/>
        <v>7370</v>
      </c>
      <c r="I50" s="46"/>
      <c r="J50" s="46"/>
      <c r="K50" s="46">
        <f t="shared" si="14"/>
        <v>0</v>
      </c>
      <c r="L50" s="46">
        <v>1162</v>
      </c>
      <c r="M50" s="46"/>
      <c r="N50" s="46">
        <f t="shared" si="15"/>
        <v>1162</v>
      </c>
      <c r="O50" s="36">
        <v>4357</v>
      </c>
      <c r="P50" s="4">
        <v>819</v>
      </c>
      <c r="Q50" s="8" t="s">
        <v>137</v>
      </c>
      <c r="R50" s="46"/>
      <c r="S50" s="46"/>
      <c r="T50" s="46"/>
      <c r="U50" s="46">
        <f t="shared" si="16"/>
        <v>0</v>
      </c>
      <c r="V50" s="46"/>
      <c r="W50" s="46"/>
      <c r="X50" s="46"/>
      <c r="Y50" s="46">
        <f t="shared" si="17"/>
        <v>0</v>
      </c>
    </row>
    <row r="51" spans="1:25" ht="12.75">
      <c r="A51" s="36">
        <v>4357</v>
      </c>
      <c r="B51" s="4">
        <v>820</v>
      </c>
      <c r="C51" s="8" t="s">
        <v>99</v>
      </c>
      <c r="D51" s="46">
        <v>7260</v>
      </c>
      <c r="E51" s="50"/>
      <c r="F51" s="46"/>
      <c r="G51" s="50"/>
      <c r="H51" s="46">
        <f t="shared" si="18"/>
        <v>7260</v>
      </c>
      <c r="I51" s="46"/>
      <c r="J51" s="46"/>
      <c r="K51" s="46">
        <f t="shared" si="14"/>
        <v>0</v>
      </c>
      <c r="L51" s="46">
        <v>2083</v>
      </c>
      <c r="M51" s="46"/>
      <c r="N51" s="46">
        <f t="shared" si="15"/>
        <v>2083</v>
      </c>
      <c r="O51" s="36">
        <v>4357</v>
      </c>
      <c r="P51" s="4">
        <v>820</v>
      </c>
      <c r="Q51" s="8" t="s">
        <v>99</v>
      </c>
      <c r="R51" s="46"/>
      <c r="S51" s="46"/>
      <c r="T51" s="46"/>
      <c r="U51" s="46">
        <f t="shared" si="16"/>
        <v>0</v>
      </c>
      <c r="V51" s="46"/>
      <c r="W51" s="46"/>
      <c r="X51" s="46"/>
      <c r="Y51" s="46">
        <f t="shared" si="17"/>
        <v>0</v>
      </c>
    </row>
    <row r="52" spans="1:25" ht="12.75">
      <c r="A52" s="36">
        <v>4357</v>
      </c>
      <c r="B52" s="4">
        <v>821</v>
      </c>
      <c r="C52" s="8" t="s">
        <v>104</v>
      </c>
      <c r="D52" s="46">
        <v>6850</v>
      </c>
      <c r="E52" s="50"/>
      <c r="F52" s="46"/>
      <c r="G52" s="50"/>
      <c r="H52" s="46">
        <f t="shared" si="18"/>
        <v>6850</v>
      </c>
      <c r="I52" s="46"/>
      <c r="J52" s="46"/>
      <c r="K52" s="46">
        <f t="shared" si="14"/>
        <v>0</v>
      </c>
      <c r="L52" s="46">
        <v>3422</v>
      </c>
      <c r="M52" s="46"/>
      <c r="N52" s="46">
        <f t="shared" si="15"/>
        <v>3422</v>
      </c>
      <c r="O52" s="36">
        <v>4357</v>
      </c>
      <c r="P52" s="4">
        <v>821</v>
      </c>
      <c r="Q52" s="8" t="s">
        <v>104</v>
      </c>
      <c r="R52" s="46"/>
      <c r="S52" s="46"/>
      <c r="T52" s="46"/>
      <c r="U52" s="46">
        <f t="shared" si="16"/>
        <v>0</v>
      </c>
      <c r="V52" s="46"/>
      <c r="W52" s="46"/>
      <c r="X52" s="46"/>
      <c r="Y52" s="46">
        <f t="shared" si="17"/>
        <v>0</v>
      </c>
    </row>
    <row r="53" spans="1:25" ht="12.75">
      <c r="A53" s="36">
        <v>4350</v>
      </c>
      <c r="B53" s="4">
        <v>824</v>
      </c>
      <c r="C53" s="8" t="s">
        <v>135</v>
      </c>
      <c r="D53" s="46">
        <v>6110</v>
      </c>
      <c r="E53" s="46"/>
      <c r="F53" s="46"/>
      <c r="G53" s="46"/>
      <c r="H53" s="46">
        <f t="shared" si="18"/>
        <v>6110</v>
      </c>
      <c r="I53" s="46"/>
      <c r="J53" s="46"/>
      <c r="K53" s="46">
        <f t="shared" si="14"/>
        <v>0</v>
      </c>
      <c r="L53" s="46">
        <v>2114</v>
      </c>
      <c r="M53" s="46"/>
      <c r="N53" s="46">
        <f t="shared" si="15"/>
        <v>2114</v>
      </c>
      <c r="O53" s="36">
        <v>4350</v>
      </c>
      <c r="P53" s="4">
        <v>824</v>
      </c>
      <c r="Q53" s="8" t="s">
        <v>135</v>
      </c>
      <c r="R53" s="46"/>
      <c r="S53" s="46"/>
      <c r="T53" s="46"/>
      <c r="U53" s="46">
        <f t="shared" si="16"/>
        <v>0</v>
      </c>
      <c r="V53" s="46"/>
      <c r="W53" s="46"/>
      <c r="X53" s="46"/>
      <c r="Y53" s="46">
        <f t="shared" si="17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/>
      <c r="F54" s="46"/>
      <c r="G54" s="46"/>
      <c r="H54" s="46">
        <f t="shared" si="18"/>
        <v>2170</v>
      </c>
      <c r="I54" s="46"/>
      <c r="J54" s="46"/>
      <c r="K54" s="46">
        <f t="shared" si="14"/>
        <v>0</v>
      </c>
      <c r="L54" s="46">
        <v>387</v>
      </c>
      <c r="M54" s="46"/>
      <c r="N54" s="46">
        <f t="shared" si="15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6"/>
        <v>0</v>
      </c>
      <c r="V54" s="46"/>
      <c r="W54" s="46"/>
      <c r="X54" s="46"/>
      <c r="Y54" s="46">
        <f t="shared" si="17"/>
        <v>0</v>
      </c>
    </row>
    <row r="55" spans="1:25" ht="12.75">
      <c r="A55" s="36">
        <v>4350</v>
      </c>
      <c r="B55" s="4">
        <v>826</v>
      </c>
      <c r="C55" s="8" t="s">
        <v>100</v>
      </c>
      <c r="D55" s="46">
        <v>5470</v>
      </c>
      <c r="E55" s="46"/>
      <c r="F55" s="46"/>
      <c r="G55" s="46"/>
      <c r="H55" s="46">
        <f t="shared" si="18"/>
        <v>5470</v>
      </c>
      <c r="I55" s="46"/>
      <c r="J55" s="46"/>
      <c r="K55" s="46">
        <f t="shared" si="14"/>
        <v>0</v>
      </c>
      <c r="L55" s="46">
        <v>1067</v>
      </c>
      <c r="M55" s="46"/>
      <c r="N55" s="46">
        <f t="shared" si="15"/>
        <v>1067</v>
      </c>
      <c r="O55" s="36">
        <v>4350</v>
      </c>
      <c r="P55" s="4">
        <v>826</v>
      </c>
      <c r="Q55" s="8" t="s">
        <v>100</v>
      </c>
      <c r="R55" s="46"/>
      <c r="S55" s="46"/>
      <c r="T55" s="46"/>
      <c r="U55" s="46">
        <f t="shared" si="16"/>
        <v>0</v>
      </c>
      <c r="V55" s="46">
        <v>300</v>
      </c>
      <c r="W55" s="46"/>
      <c r="X55" s="46"/>
      <c r="Y55" s="46">
        <f t="shared" si="17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/>
      <c r="F56" s="46"/>
      <c r="G56" s="46"/>
      <c r="H56" s="46">
        <f t="shared" si="18"/>
        <v>3260</v>
      </c>
      <c r="I56" s="46"/>
      <c r="J56" s="46"/>
      <c r="K56" s="46">
        <f t="shared" si="14"/>
        <v>0</v>
      </c>
      <c r="L56" s="46">
        <v>1481</v>
      </c>
      <c r="M56" s="46"/>
      <c r="N56" s="46">
        <f t="shared" si="15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6"/>
        <v>0</v>
      </c>
      <c r="V56" s="46"/>
      <c r="W56" s="46"/>
      <c r="X56" s="46"/>
      <c r="Y56" s="46">
        <f t="shared" si="17"/>
        <v>0</v>
      </c>
    </row>
    <row r="57" spans="1:25" ht="12.75">
      <c r="A57" s="36">
        <v>4357</v>
      </c>
      <c r="B57" s="4">
        <v>828</v>
      </c>
      <c r="C57" s="8" t="s">
        <v>113</v>
      </c>
      <c r="D57" s="46">
        <v>7080</v>
      </c>
      <c r="E57" s="46"/>
      <c r="F57" s="46"/>
      <c r="G57" s="46"/>
      <c r="H57" s="46">
        <f t="shared" si="18"/>
        <v>7080</v>
      </c>
      <c r="I57" s="46"/>
      <c r="J57" s="46"/>
      <c r="K57" s="46">
        <f t="shared" si="14"/>
        <v>0</v>
      </c>
      <c r="L57" s="46">
        <v>1252</v>
      </c>
      <c r="M57" s="46"/>
      <c r="N57" s="46">
        <f t="shared" si="15"/>
        <v>1252</v>
      </c>
      <c r="O57" s="36">
        <v>4357</v>
      </c>
      <c r="P57" s="4">
        <v>828</v>
      </c>
      <c r="Q57" s="8" t="s">
        <v>113</v>
      </c>
      <c r="R57" s="46"/>
      <c r="S57" s="46"/>
      <c r="T57" s="46"/>
      <c r="U57" s="46">
        <f t="shared" si="16"/>
        <v>0</v>
      </c>
      <c r="V57" s="46"/>
      <c r="W57" s="46"/>
      <c r="X57" s="46"/>
      <c r="Y57" s="46">
        <f t="shared" si="17"/>
        <v>0</v>
      </c>
    </row>
    <row r="58" spans="1:25" ht="12.75">
      <c r="A58" s="36"/>
      <c r="B58" s="4"/>
      <c r="C58" s="10" t="s">
        <v>27</v>
      </c>
      <c r="D58" s="58">
        <f aca="true" t="shared" si="19" ref="D58:N58">SUM(D60:D145)</f>
        <v>342955.69999999984</v>
      </c>
      <c r="E58" s="58">
        <f t="shared" si="19"/>
        <v>14129.700000000004</v>
      </c>
      <c r="F58" s="58">
        <f t="shared" si="19"/>
        <v>0</v>
      </c>
      <c r="G58" s="58">
        <f t="shared" si="19"/>
        <v>0</v>
      </c>
      <c r="H58" s="58">
        <f t="shared" si="19"/>
        <v>357085.39999999985</v>
      </c>
      <c r="I58" s="58">
        <f t="shared" si="19"/>
        <v>911.55</v>
      </c>
      <c r="J58" s="58">
        <f t="shared" si="19"/>
        <v>450.6</v>
      </c>
      <c r="K58" s="58">
        <f t="shared" si="19"/>
        <v>1362.15</v>
      </c>
      <c r="L58" s="58">
        <f t="shared" si="19"/>
        <v>43326.299999999996</v>
      </c>
      <c r="M58" s="58">
        <f t="shared" si="19"/>
        <v>125.6</v>
      </c>
      <c r="N58" s="58">
        <f t="shared" si="19"/>
        <v>43451.9</v>
      </c>
      <c r="O58" s="65"/>
      <c r="P58" s="66"/>
      <c r="Q58" s="58" t="s">
        <v>109</v>
      </c>
      <c r="R58" s="58">
        <f aca="true" t="shared" si="20" ref="R58:Y58">SUM(R60:R145)</f>
        <v>44360</v>
      </c>
      <c r="S58" s="72">
        <f t="shared" si="20"/>
        <v>10021.75</v>
      </c>
      <c r="T58" s="58">
        <f t="shared" si="20"/>
        <v>0</v>
      </c>
      <c r="U58" s="58">
        <f t="shared" si="20"/>
        <v>54381.75</v>
      </c>
      <c r="V58" s="58">
        <f t="shared" si="20"/>
        <v>52750.7</v>
      </c>
      <c r="W58" s="58">
        <f t="shared" si="20"/>
        <v>8571</v>
      </c>
      <c r="X58" s="58">
        <f t="shared" si="20"/>
        <v>0</v>
      </c>
      <c r="Y58" s="58">
        <f t="shared" si="20"/>
        <v>61321.7</v>
      </c>
    </row>
    <row r="59" spans="1:25" ht="15" customHeight="1">
      <c r="A59" s="36"/>
      <c r="B59" s="4"/>
      <c r="C59" s="30" t="s">
        <v>203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3535.05</v>
      </c>
      <c r="E60" s="46">
        <f>5+125.92</f>
        <v>130.92000000000002</v>
      </c>
      <c r="F60" s="46"/>
      <c r="G60" s="50"/>
      <c r="H60" s="46">
        <f>D60+E60+F60+G60</f>
        <v>3665.9700000000003</v>
      </c>
      <c r="I60" s="46"/>
      <c r="J60" s="46"/>
      <c r="K60" s="46">
        <f aca="true" t="shared" si="21" ref="K60:K123">I60+J60</f>
        <v>0</v>
      </c>
      <c r="L60" s="46">
        <v>455.48</v>
      </c>
      <c r="M60" s="46">
        <f>52.92</f>
        <v>52.92</v>
      </c>
      <c r="N60" s="46">
        <f>L60+M60</f>
        <v>508.40000000000003</v>
      </c>
      <c r="O60" s="65">
        <v>3121</v>
      </c>
      <c r="P60" s="4">
        <v>301</v>
      </c>
      <c r="Q60" s="11" t="s">
        <v>6</v>
      </c>
      <c r="R60" s="46"/>
      <c r="S60" s="46">
        <f>300</f>
        <v>300</v>
      </c>
      <c r="T60" s="46"/>
      <c r="U60" s="46">
        <f aca="true" t="shared" si="22" ref="U60:U123">SUM(R60:T60)</f>
        <v>300</v>
      </c>
      <c r="V60" s="46">
        <v>250</v>
      </c>
      <c r="W60" s="46"/>
      <c r="X60" s="46"/>
      <c r="Y60" s="46">
        <f aca="true" t="shared" si="23" ref="Y60:Y123">SUM(V60:X60)</f>
        <v>250</v>
      </c>
    </row>
    <row r="61" spans="1:25" ht="12.75">
      <c r="A61" s="36">
        <v>3121</v>
      </c>
      <c r="B61" s="4">
        <v>302</v>
      </c>
      <c r="C61" s="37" t="s">
        <v>185</v>
      </c>
      <c r="D61" s="46">
        <v>5251.72</v>
      </c>
      <c r="E61" s="46"/>
      <c r="F61" s="46"/>
      <c r="G61" s="50"/>
      <c r="H61" s="46">
        <f aca="true" t="shared" si="24" ref="H61:H124">D61+E61+F61+G61</f>
        <v>5251.72</v>
      </c>
      <c r="I61" s="46"/>
      <c r="J61" s="46"/>
      <c r="K61" s="46">
        <f t="shared" si="21"/>
        <v>0</v>
      </c>
      <c r="L61" s="46">
        <v>482.9</v>
      </c>
      <c r="M61" s="46"/>
      <c r="N61" s="46">
        <f aca="true" t="shared" si="25" ref="N61:N124">L61+M61</f>
        <v>482.9</v>
      </c>
      <c r="O61" s="65">
        <v>3121</v>
      </c>
      <c r="P61" s="4">
        <v>302</v>
      </c>
      <c r="Q61" s="37" t="s">
        <v>138</v>
      </c>
      <c r="R61" s="46"/>
      <c r="S61" s="46"/>
      <c r="T61" s="46"/>
      <c r="U61" s="46">
        <f t="shared" si="22"/>
        <v>0</v>
      </c>
      <c r="V61" s="46"/>
      <c r="W61" s="46"/>
      <c r="X61" s="46"/>
      <c r="Y61" s="46">
        <f t="shared" si="23"/>
        <v>0</v>
      </c>
    </row>
    <row r="62" spans="1:25" ht="12.75">
      <c r="A62" s="36">
        <v>3121</v>
      </c>
      <c r="B62" s="4">
        <v>303</v>
      </c>
      <c r="C62" s="37" t="s">
        <v>186</v>
      </c>
      <c r="D62" s="46">
        <v>1357.6</v>
      </c>
      <c r="E62" s="46">
        <f>5</f>
        <v>5</v>
      </c>
      <c r="F62" s="46"/>
      <c r="G62" s="50"/>
      <c r="H62" s="46">
        <f t="shared" si="24"/>
        <v>1362.6</v>
      </c>
      <c r="I62" s="46"/>
      <c r="J62" s="46"/>
      <c r="K62" s="46">
        <f t="shared" si="21"/>
        <v>0</v>
      </c>
      <c r="L62" s="46">
        <v>114.5</v>
      </c>
      <c r="M62" s="46"/>
      <c r="N62" s="46">
        <f t="shared" si="25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2"/>
        <v>0</v>
      </c>
      <c r="V62" s="46"/>
      <c r="W62" s="46"/>
      <c r="X62" s="46"/>
      <c r="Y62" s="46">
        <f t="shared" si="23"/>
        <v>0</v>
      </c>
    </row>
    <row r="63" spans="1:25" ht="12.75">
      <c r="A63" s="36">
        <v>3122</v>
      </c>
      <c r="B63" s="4">
        <v>305</v>
      </c>
      <c r="C63" s="13" t="s">
        <v>166</v>
      </c>
      <c r="D63" s="46">
        <v>4927.120000000001</v>
      </c>
      <c r="E63" s="46">
        <f>5+289</f>
        <v>294</v>
      </c>
      <c r="F63" s="46"/>
      <c r="G63" s="50"/>
      <c r="H63" s="46">
        <f t="shared" si="24"/>
        <v>5221.120000000001</v>
      </c>
      <c r="I63" s="46">
        <v>132.3</v>
      </c>
      <c r="J63" s="46"/>
      <c r="K63" s="46">
        <f t="shared" si="21"/>
        <v>132.3</v>
      </c>
      <c r="L63" s="46">
        <v>1125.92</v>
      </c>
      <c r="M63" s="46"/>
      <c r="N63" s="46">
        <f t="shared" si="25"/>
        <v>1125.92</v>
      </c>
      <c r="O63" s="65">
        <v>3122</v>
      </c>
      <c r="P63" s="4">
        <v>305</v>
      </c>
      <c r="Q63" s="13" t="s">
        <v>125</v>
      </c>
      <c r="R63" s="46"/>
      <c r="S63" s="46"/>
      <c r="T63" s="46"/>
      <c r="U63" s="46">
        <f t="shared" si="22"/>
        <v>0</v>
      </c>
      <c r="V63" s="46"/>
      <c r="W63" s="46"/>
      <c r="X63" s="46"/>
      <c r="Y63" s="46">
        <f t="shared" si="23"/>
        <v>0</v>
      </c>
    </row>
    <row r="64" spans="1:25" ht="12.75">
      <c r="A64" s="36">
        <v>3122</v>
      </c>
      <c r="B64" s="4">
        <v>307</v>
      </c>
      <c r="C64" s="37" t="s">
        <v>118</v>
      </c>
      <c r="D64" s="46">
        <v>4250.08</v>
      </c>
      <c r="E64" s="46">
        <f>5+152.4</f>
        <v>157.4</v>
      </c>
      <c r="F64" s="46"/>
      <c r="G64" s="50"/>
      <c r="H64" s="46">
        <f t="shared" si="24"/>
        <v>4407.48</v>
      </c>
      <c r="I64" s="46"/>
      <c r="J64" s="46"/>
      <c r="K64" s="46">
        <f t="shared" si="21"/>
        <v>0</v>
      </c>
      <c r="L64" s="46">
        <v>752.9000000000001</v>
      </c>
      <c r="M64" s="46"/>
      <c r="N64" s="46">
        <f t="shared" si="25"/>
        <v>752.9000000000001</v>
      </c>
      <c r="O64" s="65">
        <v>3122</v>
      </c>
      <c r="P64" s="4">
        <v>307</v>
      </c>
      <c r="Q64" s="37" t="s">
        <v>118</v>
      </c>
      <c r="R64" s="46">
        <v>377</v>
      </c>
      <c r="S64" s="50">
        <f>500</f>
        <v>500</v>
      </c>
      <c r="T64" s="46"/>
      <c r="U64" s="46">
        <f t="shared" si="22"/>
        <v>877</v>
      </c>
      <c r="V64" s="46"/>
      <c r="W64" s="50"/>
      <c r="X64" s="46"/>
      <c r="Y64" s="46">
        <f t="shared" si="23"/>
        <v>0</v>
      </c>
    </row>
    <row r="65" spans="1:25" ht="12.75">
      <c r="A65" s="36">
        <v>3127</v>
      </c>
      <c r="B65" s="4">
        <v>308</v>
      </c>
      <c r="C65" s="37" t="s">
        <v>139</v>
      </c>
      <c r="D65" s="46">
        <v>13779.39</v>
      </c>
      <c r="E65" s="46">
        <f>5+900.7+20</f>
        <v>925.7</v>
      </c>
      <c r="F65" s="46"/>
      <c r="G65" s="50"/>
      <c r="H65" s="46">
        <f t="shared" si="24"/>
        <v>14705.09</v>
      </c>
      <c r="I65" s="46"/>
      <c r="J65" s="46"/>
      <c r="K65" s="46">
        <f t="shared" si="21"/>
        <v>0</v>
      </c>
      <c r="L65" s="46">
        <v>1172.06</v>
      </c>
      <c r="M65" s="46"/>
      <c r="N65" s="46">
        <f t="shared" si="25"/>
        <v>1172.06</v>
      </c>
      <c r="O65" s="65">
        <v>3127</v>
      </c>
      <c r="P65" s="4">
        <v>308</v>
      </c>
      <c r="Q65" s="37" t="s">
        <v>139</v>
      </c>
      <c r="R65" s="46"/>
      <c r="S65" s="46">
        <f>2000</f>
        <v>2000</v>
      </c>
      <c r="T65" s="46"/>
      <c r="U65" s="46">
        <f t="shared" si="22"/>
        <v>2000</v>
      </c>
      <c r="V65" s="46"/>
      <c r="W65" s="46"/>
      <c r="X65" s="46"/>
      <c r="Y65" s="46">
        <f t="shared" si="23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7332.599999999999</v>
      </c>
      <c r="E66" s="46">
        <f>5+476</f>
        <v>481</v>
      </c>
      <c r="F66" s="46"/>
      <c r="G66" s="50"/>
      <c r="H66" s="46">
        <f t="shared" si="24"/>
        <v>7813.599999999999</v>
      </c>
      <c r="I66" s="46"/>
      <c r="J66" s="46"/>
      <c r="K66" s="46">
        <f t="shared" si="21"/>
        <v>0</v>
      </c>
      <c r="L66" s="46">
        <v>1385.28</v>
      </c>
      <c r="M66" s="46"/>
      <c r="N66" s="46">
        <f t="shared" si="25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2"/>
        <v>0</v>
      </c>
      <c r="V66" s="46"/>
      <c r="W66" s="46">
        <f>500</f>
        <v>500</v>
      </c>
      <c r="X66" s="46"/>
      <c r="Y66" s="46">
        <f t="shared" si="23"/>
        <v>500</v>
      </c>
    </row>
    <row r="67" spans="1:25" ht="12.75">
      <c r="A67" s="36">
        <v>3122</v>
      </c>
      <c r="B67" s="4">
        <v>310</v>
      </c>
      <c r="C67" s="37" t="s">
        <v>187</v>
      </c>
      <c r="D67" s="46">
        <v>1831.56</v>
      </c>
      <c r="E67" s="46">
        <f>5+90</f>
        <v>95</v>
      </c>
      <c r="F67" s="46"/>
      <c r="G67" s="50"/>
      <c r="H67" s="46">
        <f t="shared" si="24"/>
        <v>1926.56</v>
      </c>
      <c r="I67" s="46"/>
      <c r="J67" s="46"/>
      <c r="K67" s="46">
        <f t="shared" si="21"/>
        <v>0</v>
      </c>
      <c r="L67" s="46">
        <v>354.35</v>
      </c>
      <c r="M67" s="46"/>
      <c r="N67" s="46">
        <f t="shared" si="25"/>
        <v>354.35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2"/>
        <v>0</v>
      </c>
      <c r="V67" s="46"/>
      <c r="W67" s="46">
        <f>1100</f>
        <v>1100</v>
      </c>
      <c r="X67" s="46"/>
      <c r="Y67" s="46">
        <f t="shared" si="23"/>
        <v>1100</v>
      </c>
    </row>
    <row r="68" spans="1:25" ht="12.75">
      <c r="A68" s="36">
        <v>3122</v>
      </c>
      <c r="B68" s="4">
        <v>312</v>
      </c>
      <c r="C68" s="42" t="s">
        <v>188</v>
      </c>
      <c r="D68" s="46">
        <v>6457.76</v>
      </c>
      <c r="E68" s="46">
        <f>5+18</f>
        <v>23</v>
      </c>
      <c r="F68" s="46"/>
      <c r="G68" s="50"/>
      <c r="H68" s="46">
        <f t="shared" si="24"/>
        <v>6480.76</v>
      </c>
      <c r="I68" s="46"/>
      <c r="J68" s="46"/>
      <c r="K68" s="46">
        <f t="shared" si="21"/>
        <v>0</v>
      </c>
      <c r="L68" s="46">
        <v>1413.48</v>
      </c>
      <c r="M68" s="46"/>
      <c r="N68" s="46">
        <f t="shared" si="25"/>
        <v>1413.48</v>
      </c>
      <c r="O68" s="65">
        <v>3122</v>
      </c>
      <c r="P68" s="4">
        <v>312</v>
      </c>
      <c r="Q68" s="42" t="s">
        <v>140</v>
      </c>
      <c r="R68" s="46"/>
      <c r="S68" s="46"/>
      <c r="T68" s="46"/>
      <c r="U68" s="46">
        <f t="shared" si="22"/>
        <v>0</v>
      </c>
      <c r="V68" s="46"/>
      <c r="W68" s="46">
        <f>200</f>
        <v>200</v>
      </c>
      <c r="X68" s="46"/>
      <c r="Y68" s="46">
        <f t="shared" si="23"/>
        <v>200</v>
      </c>
    </row>
    <row r="69" spans="1:25" ht="12.75">
      <c r="A69" s="36">
        <v>3122</v>
      </c>
      <c r="B69" s="4">
        <v>314</v>
      </c>
      <c r="C69" s="37" t="s">
        <v>126</v>
      </c>
      <c r="D69" s="46">
        <v>5702.09</v>
      </c>
      <c r="E69" s="46">
        <f>5+485+20</f>
        <v>510</v>
      </c>
      <c r="F69" s="46"/>
      <c r="G69" s="50"/>
      <c r="H69" s="46">
        <f t="shared" si="24"/>
        <v>6212.09</v>
      </c>
      <c r="I69" s="46"/>
      <c r="J69" s="46"/>
      <c r="K69" s="46">
        <f t="shared" si="21"/>
        <v>0</v>
      </c>
      <c r="L69" s="46">
        <v>680.8</v>
      </c>
      <c r="M69" s="46"/>
      <c r="N69" s="46">
        <f t="shared" si="25"/>
        <v>680.8</v>
      </c>
      <c r="O69" s="65">
        <v>3122</v>
      </c>
      <c r="P69" s="4">
        <v>314</v>
      </c>
      <c r="Q69" s="37" t="s">
        <v>126</v>
      </c>
      <c r="R69" s="46">
        <v>10658</v>
      </c>
      <c r="S69" s="46">
        <f>500</f>
        <v>500</v>
      </c>
      <c r="T69" s="46"/>
      <c r="U69" s="46">
        <f t="shared" si="22"/>
        <v>11158</v>
      </c>
      <c r="V69" s="46"/>
      <c r="W69" s="46"/>
      <c r="X69" s="46"/>
      <c r="Y69" s="46">
        <f t="shared" si="23"/>
        <v>0</v>
      </c>
    </row>
    <row r="70" spans="1:25" ht="12.75">
      <c r="A70" s="36">
        <v>3127</v>
      </c>
      <c r="B70" s="5">
        <v>317</v>
      </c>
      <c r="C70" s="40" t="s">
        <v>141</v>
      </c>
      <c r="D70" s="46">
        <v>6234.61</v>
      </c>
      <c r="E70" s="51">
        <f>5+585+15</f>
        <v>605</v>
      </c>
      <c r="F70" s="51"/>
      <c r="G70" s="60"/>
      <c r="H70" s="46">
        <f t="shared" si="24"/>
        <v>6839.61</v>
      </c>
      <c r="I70" s="51"/>
      <c r="J70" s="51"/>
      <c r="K70" s="46">
        <f t="shared" si="21"/>
        <v>0</v>
      </c>
      <c r="L70" s="46">
        <v>1165.45</v>
      </c>
      <c r="M70" s="51"/>
      <c r="N70" s="46">
        <f t="shared" si="25"/>
        <v>1165.45</v>
      </c>
      <c r="O70" s="65">
        <v>3127</v>
      </c>
      <c r="P70" s="5">
        <v>317</v>
      </c>
      <c r="Q70" s="40" t="s">
        <v>141</v>
      </c>
      <c r="R70" s="51"/>
      <c r="S70" s="51"/>
      <c r="T70" s="51"/>
      <c r="U70" s="46">
        <f t="shared" si="22"/>
        <v>0</v>
      </c>
      <c r="V70" s="51">
        <v>4000</v>
      </c>
      <c r="W70" s="51"/>
      <c r="X70" s="51"/>
      <c r="Y70" s="46">
        <f t="shared" si="23"/>
        <v>4000</v>
      </c>
    </row>
    <row r="71" spans="1:25" ht="12.75">
      <c r="A71" s="36">
        <v>3127</v>
      </c>
      <c r="B71" s="4">
        <v>318</v>
      </c>
      <c r="C71" s="37" t="s">
        <v>129</v>
      </c>
      <c r="D71" s="46">
        <v>7795.2</v>
      </c>
      <c r="E71" s="46">
        <f>5</f>
        <v>5</v>
      </c>
      <c r="F71" s="46"/>
      <c r="G71" s="50"/>
      <c r="H71" s="46">
        <f t="shared" si="24"/>
        <v>7800.2</v>
      </c>
      <c r="I71" s="46"/>
      <c r="J71" s="46"/>
      <c r="K71" s="46">
        <f t="shared" si="21"/>
        <v>0</v>
      </c>
      <c r="L71" s="46">
        <v>555.3</v>
      </c>
      <c r="M71" s="46"/>
      <c r="N71" s="46">
        <f t="shared" si="25"/>
        <v>555.3</v>
      </c>
      <c r="O71" s="65">
        <v>3127</v>
      </c>
      <c r="P71" s="4">
        <v>318</v>
      </c>
      <c r="Q71" s="37" t="s">
        <v>129</v>
      </c>
      <c r="R71" s="46"/>
      <c r="S71" s="46"/>
      <c r="T71" s="46"/>
      <c r="U71" s="46">
        <f t="shared" si="22"/>
        <v>0</v>
      </c>
      <c r="V71" s="46"/>
      <c r="W71" s="46"/>
      <c r="X71" s="46"/>
      <c r="Y71" s="46">
        <f t="shared" si="23"/>
        <v>0</v>
      </c>
    </row>
    <row r="72" spans="1:25" ht="12.75">
      <c r="A72" s="36">
        <v>3124</v>
      </c>
      <c r="B72" s="4">
        <v>319</v>
      </c>
      <c r="C72" s="37" t="s">
        <v>189</v>
      </c>
      <c r="D72" s="46">
        <v>5824.85</v>
      </c>
      <c r="E72" s="46">
        <f>5+172.6</f>
        <v>177.6</v>
      </c>
      <c r="F72" s="46"/>
      <c r="G72" s="50"/>
      <c r="H72" s="46">
        <f t="shared" si="24"/>
        <v>6002.450000000001</v>
      </c>
      <c r="I72" s="46"/>
      <c r="J72" s="46"/>
      <c r="K72" s="46">
        <f t="shared" si="21"/>
        <v>0</v>
      </c>
      <c r="L72" s="46">
        <v>1383.6</v>
      </c>
      <c r="M72" s="46"/>
      <c r="N72" s="46">
        <f t="shared" si="25"/>
        <v>1383.6</v>
      </c>
      <c r="O72" s="65">
        <v>3124</v>
      </c>
      <c r="P72" s="4">
        <v>319</v>
      </c>
      <c r="Q72" s="37" t="s">
        <v>173</v>
      </c>
      <c r="R72" s="46"/>
      <c r="S72" s="46">
        <f>250</f>
        <v>250</v>
      </c>
      <c r="T72" s="46"/>
      <c r="U72" s="46">
        <f t="shared" si="22"/>
        <v>250</v>
      </c>
      <c r="V72" s="46"/>
      <c r="W72" s="46">
        <f>450</f>
        <v>450</v>
      </c>
      <c r="X72" s="46"/>
      <c r="Y72" s="46">
        <f t="shared" si="23"/>
        <v>450</v>
      </c>
    </row>
    <row r="73" spans="1:25" ht="12.75">
      <c r="A73" s="36">
        <v>3114</v>
      </c>
      <c r="B73" s="4">
        <v>320</v>
      </c>
      <c r="C73" s="37" t="s">
        <v>190</v>
      </c>
      <c r="D73" s="46">
        <v>4508.400000000001</v>
      </c>
      <c r="E73" s="46">
        <f>5+60+6</f>
        <v>71</v>
      </c>
      <c r="F73" s="46"/>
      <c r="G73" s="50"/>
      <c r="H73" s="46">
        <f t="shared" si="24"/>
        <v>4579.400000000001</v>
      </c>
      <c r="I73" s="46"/>
      <c r="J73" s="46"/>
      <c r="K73" s="46">
        <f t="shared" si="21"/>
        <v>0</v>
      </c>
      <c r="L73" s="46">
        <v>573.62</v>
      </c>
      <c r="M73" s="46"/>
      <c r="N73" s="46">
        <f t="shared" si="25"/>
        <v>573.62</v>
      </c>
      <c r="O73" s="65">
        <v>3114</v>
      </c>
      <c r="P73" s="4">
        <v>320</v>
      </c>
      <c r="Q73" s="11" t="s">
        <v>88</v>
      </c>
      <c r="R73" s="46">
        <v>123</v>
      </c>
      <c r="S73" s="46"/>
      <c r="T73" s="46"/>
      <c r="U73" s="46">
        <f t="shared" si="22"/>
        <v>123</v>
      </c>
      <c r="V73" s="46"/>
      <c r="W73" s="46">
        <f>350</f>
        <v>350</v>
      </c>
      <c r="X73" s="46"/>
      <c r="Y73" s="46">
        <f t="shared" si="23"/>
        <v>350</v>
      </c>
    </row>
    <row r="74" spans="1:25" ht="12.75">
      <c r="A74" s="36">
        <v>3114</v>
      </c>
      <c r="B74" s="4">
        <v>321</v>
      </c>
      <c r="C74" s="37" t="s">
        <v>174</v>
      </c>
      <c r="D74" s="46">
        <v>7200.66</v>
      </c>
      <c r="E74" s="46">
        <f>5+309</f>
        <v>314</v>
      </c>
      <c r="F74" s="46"/>
      <c r="G74" s="50"/>
      <c r="H74" s="46">
        <f t="shared" si="24"/>
        <v>7514.66</v>
      </c>
      <c r="I74" s="46"/>
      <c r="J74" s="46"/>
      <c r="K74" s="46">
        <f t="shared" si="21"/>
        <v>0</v>
      </c>
      <c r="L74" s="46">
        <v>864.8199999999999</v>
      </c>
      <c r="M74" s="46"/>
      <c r="N74" s="46">
        <f t="shared" si="25"/>
        <v>864.8199999999999</v>
      </c>
      <c r="O74" s="65">
        <v>3114</v>
      </c>
      <c r="P74" s="4">
        <v>321</v>
      </c>
      <c r="Q74" s="37" t="s">
        <v>174</v>
      </c>
      <c r="R74" s="46"/>
      <c r="S74" s="46"/>
      <c r="T74" s="46"/>
      <c r="U74" s="46">
        <f t="shared" si="22"/>
        <v>0</v>
      </c>
      <c r="V74" s="46"/>
      <c r="W74" s="46"/>
      <c r="X74" s="46"/>
      <c r="Y74" s="46">
        <f t="shared" si="23"/>
        <v>0</v>
      </c>
    </row>
    <row r="75" spans="1:25" ht="12.75">
      <c r="A75" s="36">
        <v>3133</v>
      </c>
      <c r="B75" s="4">
        <v>322</v>
      </c>
      <c r="C75" s="11" t="s">
        <v>54</v>
      </c>
      <c r="D75" s="46">
        <v>3384.88</v>
      </c>
      <c r="E75" s="46">
        <f>3.6</f>
        <v>3.6</v>
      </c>
      <c r="F75" s="46"/>
      <c r="G75" s="50"/>
      <c r="H75" s="46">
        <f t="shared" si="24"/>
        <v>3388.48</v>
      </c>
      <c r="I75" s="46"/>
      <c r="J75" s="46"/>
      <c r="K75" s="46">
        <f t="shared" si="21"/>
        <v>0</v>
      </c>
      <c r="L75" s="46">
        <v>117.39</v>
      </c>
      <c r="M75" s="46">
        <f>3.6</f>
        <v>3.6</v>
      </c>
      <c r="N75" s="46">
        <f t="shared" si="25"/>
        <v>120.99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2"/>
        <v>0</v>
      </c>
      <c r="V75" s="46"/>
      <c r="W75" s="46"/>
      <c r="X75" s="46"/>
      <c r="Y75" s="46">
        <f t="shared" si="23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1218.3</v>
      </c>
      <c r="E76" s="46"/>
      <c r="F76" s="46"/>
      <c r="G76" s="50"/>
      <c r="H76" s="46">
        <f t="shared" si="24"/>
        <v>1218.3</v>
      </c>
      <c r="I76" s="46"/>
      <c r="J76" s="46"/>
      <c r="K76" s="46">
        <f t="shared" si="21"/>
        <v>0</v>
      </c>
      <c r="L76" s="46">
        <v>4.8</v>
      </c>
      <c r="M76" s="46"/>
      <c r="N76" s="46">
        <f t="shared" si="25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2"/>
        <v>0</v>
      </c>
      <c r="V76" s="46"/>
      <c r="W76" s="46"/>
      <c r="X76" s="46"/>
      <c r="Y76" s="46">
        <f t="shared" si="23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355.5</v>
      </c>
      <c r="E77" s="46"/>
      <c r="F77" s="46"/>
      <c r="G77" s="50"/>
      <c r="H77" s="46">
        <f t="shared" si="24"/>
        <v>355.5</v>
      </c>
      <c r="I77" s="46"/>
      <c r="J77" s="46"/>
      <c r="K77" s="46">
        <f t="shared" si="21"/>
        <v>0</v>
      </c>
      <c r="L77" s="46">
        <v>0.7</v>
      </c>
      <c r="M77" s="46"/>
      <c r="N77" s="46">
        <f t="shared" si="25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2"/>
        <v>0</v>
      </c>
      <c r="V77" s="46"/>
      <c r="W77" s="46"/>
      <c r="X77" s="46"/>
      <c r="Y77" s="46">
        <f t="shared" si="23"/>
        <v>0</v>
      </c>
    </row>
    <row r="78" spans="1:25" ht="12.75">
      <c r="A78" s="36">
        <v>3147</v>
      </c>
      <c r="B78" s="4">
        <v>332</v>
      </c>
      <c r="C78" s="67" t="s">
        <v>167</v>
      </c>
      <c r="D78" s="46">
        <v>3990.81</v>
      </c>
      <c r="E78" s="46">
        <f>5+140+6</f>
        <v>151</v>
      </c>
      <c r="F78" s="46"/>
      <c r="G78" s="73"/>
      <c r="H78" s="46">
        <f t="shared" si="24"/>
        <v>4141.8099999999995</v>
      </c>
      <c r="I78" s="46"/>
      <c r="J78" s="46">
        <f>260</f>
        <v>260</v>
      </c>
      <c r="K78" s="46">
        <f t="shared" si="21"/>
        <v>260</v>
      </c>
      <c r="L78" s="46">
        <v>1239.49</v>
      </c>
      <c r="M78" s="46"/>
      <c r="N78" s="46">
        <f t="shared" si="25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2"/>
        <v>3360</v>
      </c>
      <c r="V78" s="46"/>
      <c r="W78" s="50">
        <f>200+500</f>
        <v>700</v>
      </c>
      <c r="X78" s="46"/>
      <c r="Y78" s="46">
        <f t="shared" si="23"/>
        <v>700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/>
      <c r="F79" s="46"/>
      <c r="G79" s="50"/>
      <c r="H79" s="46">
        <f t="shared" si="24"/>
        <v>2548.22</v>
      </c>
      <c r="I79" s="46"/>
      <c r="J79" s="46"/>
      <c r="K79" s="46">
        <f t="shared" si="21"/>
        <v>0</v>
      </c>
      <c r="L79" s="46">
        <v>705.12</v>
      </c>
      <c r="M79" s="46"/>
      <c r="N79" s="46">
        <f t="shared" si="25"/>
        <v>705.12</v>
      </c>
      <c r="O79" s="65">
        <v>3141</v>
      </c>
      <c r="P79" s="4">
        <v>335</v>
      </c>
      <c r="Q79" s="11" t="s">
        <v>53</v>
      </c>
      <c r="R79" s="46"/>
      <c r="S79" s="46">
        <f>800</f>
        <v>800</v>
      </c>
      <c r="T79" s="46"/>
      <c r="U79" s="46">
        <f t="shared" si="22"/>
        <v>800</v>
      </c>
      <c r="V79" s="46">
        <v>1900</v>
      </c>
      <c r="W79" s="46"/>
      <c r="X79" s="46"/>
      <c r="Y79" s="46">
        <f t="shared" si="23"/>
        <v>1900</v>
      </c>
    </row>
    <row r="80" spans="1:25" ht="12.75">
      <c r="A80" s="36">
        <v>3121</v>
      </c>
      <c r="B80" s="4">
        <v>338</v>
      </c>
      <c r="C80" s="11" t="s">
        <v>8</v>
      </c>
      <c r="D80" s="46">
        <v>2336.7</v>
      </c>
      <c r="E80" s="46">
        <f>5</f>
        <v>5</v>
      </c>
      <c r="F80" s="46"/>
      <c r="G80" s="50"/>
      <c r="H80" s="46">
        <f t="shared" si="24"/>
        <v>2341.7</v>
      </c>
      <c r="I80" s="46"/>
      <c r="J80" s="46"/>
      <c r="K80" s="46">
        <f t="shared" si="21"/>
        <v>0</v>
      </c>
      <c r="L80" s="46">
        <v>100.1</v>
      </c>
      <c r="M80" s="46"/>
      <c r="N80" s="46">
        <f t="shared" si="25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2"/>
        <v>1225</v>
      </c>
      <c r="V80" s="46"/>
      <c r="W80" s="46"/>
      <c r="X80" s="46"/>
      <c r="Y80" s="46">
        <f t="shared" si="23"/>
        <v>0</v>
      </c>
    </row>
    <row r="81" spans="1:25" ht="12.75">
      <c r="A81" s="36">
        <v>3121</v>
      </c>
      <c r="B81" s="4">
        <v>339</v>
      </c>
      <c r="C81" s="37" t="s">
        <v>160</v>
      </c>
      <c r="D81" s="46">
        <v>2695.58</v>
      </c>
      <c r="E81" s="46">
        <f>5+200</f>
        <v>205</v>
      </c>
      <c r="F81" s="46"/>
      <c r="G81" s="50"/>
      <c r="H81" s="46">
        <f t="shared" si="24"/>
        <v>2900.58</v>
      </c>
      <c r="I81" s="46"/>
      <c r="J81" s="46"/>
      <c r="K81" s="46">
        <f t="shared" si="21"/>
        <v>0</v>
      </c>
      <c r="L81" s="46">
        <v>144.54999999999998</v>
      </c>
      <c r="M81" s="46"/>
      <c r="N81" s="46">
        <f t="shared" si="25"/>
        <v>144.54999999999998</v>
      </c>
      <c r="O81" s="65">
        <v>3121</v>
      </c>
      <c r="P81" s="4">
        <v>339</v>
      </c>
      <c r="Q81" s="37" t="s">
        <v>160</v>
      </c>
      <c r="R81" s="46"/>
      <c r="S81" s="50"/>
      <c r="T81" s="46"/>
      <c r="U81" s="46">
        <f t="shared" si="22"/>
        <v>0</v>
      </c>
      <c r="V81" s="46">
        <v>4500</v>
      </c>
      <c r="W81" s="46"/>
      <c r="X81" s="46"/>
      <c r="Y81" s="46">
        <f t="shared" si="23"/>
        <v>4500</v>
      </c>
    </row>
    <row r="82" spans="1:25" ht="12.75">
      <c r="A82" s="36">
        <v>3121</v>
      </c>
      <c r="B82" s="4">
        <v>340</v>
      </c>
      <c r="C82" s="37" t="s">
        <v>164</v>
      </c>
      <c r="D82" s="46">
        <v>3647.0600000000004</v>
      </c>
      <c r="E82" s="46">
        <f>50</f>
        <v>50</v>
      </c>
      <c r="F82" s="46"/>
      <c r="G82" s="50"/>
      <c r="H82" s="46">
        <f t="shared" si="24"/>
        <v>3697.0600000000004</v>
      </c>
      <c r="I82" s="46"/>
      <c r="J82" s="46"/>
      <c r="K82" s="46">
        <f t="shared" si="21"/>
        <v>0</v>
      </c>
      <c r="L82" s="46">
        <v>363.77000000000004</v>
      </c>
      <c r="M82" s="46"/>
      <c r="N82" s="46">
        <f t="shared" si="25"/>
        <v>363.77000000000004</v>
      </c>
      <c r="O82" s="65">
        <v>3121</v>
      </c>
      <c r="P82" s="4">
        <v>340</v>
      </c>
      <c r="Q82" s="11" t="s">
        <v>9</v>
      </c>
      <c r="R82" s="46"/>
      <c r="S82" s="50">
        <f>300</f>
        <v>300</v>
      </c>
      <c r="T82" s="46"/>
      <c r="U82" s="46">
        <f t="shared" si="22"/>
        <v>300</v>
      </c>
      <c r="V82" s="46"/>
      <c r="W82" s="46"/>
      <c r="X82" s="46"/>
      <c r="Y82" s="46">
        <f t="shared" si="23"/>
        <v>0</v>
      </c>
    </row>
    <row r="83" spans="1:25" ht="12.75">
      <c r="A83" s="36">
        <v>3122</v>
      </c>
      <c r="B83" s="4">
        <v>341</v>
      </c>
      <c r="C83" s="37" t="s">
        <v>191</v>
      </c>
      <c r="D83" s="46">
        <v>2207.6</v>
      </c>
      <c r="E83" s="46">
        <f>130</f>
        <v>130</v>
      </c>
      <c r="F83" s="46"/>
      <c r="G83" s="50"/>
      <c r="H83" s="46">
        <f t="shared" si="24"/>
        <v>2337.6</v>
      </c>
      <c r="I83" s="46"/>
      <c r="J83" s="57"/>
      <c r="K83" s="46">
        <f t="shared" si="21"/>
        <v>0</v>
      </c>
      <c r="L83" s="46">
        <v>114</v>
      </c>
      <c r="M83" s="46"/>
      <c r="N83" s="46">
        <f t="shared" si="25"/>
        <v>114</v>
      </c>
      <c r="O83" s="65">
        <v>3122</v>
      </c>
      <c r="P83" s="4">
        <v>341</v>
      </c>
      <c r="Q83" s="37" t="s">
        <v>127</v>
      </c>
      <c r="R83" s="46"/>
      <c r="S83" s="50">
        <f>100</f>
        <v>100</v>
      </c>
      <c r="T83" s="46"/>
      <c r="U83" s="46">
        <f t="shared" si="22"/>
        <v>100</v>
      </c>
      <c r="V83" s="46"/>
      <c r="W83" s="46"/>
      <c r="X83" s="46"/>
      <c r="Y83" s="46">
        <f t="shared" si="23"/>
        <v>0</v>
      </c>
    </row>
    <row r="84" spans="1:25" ht="25.5">
      <c r="A84" s="36">
        <v>3127</v>
      </c>
      <c r="B84" s="4">
        <v>342</v>
      </c>
      <c r="C84" s="67" t="s">
        <v>192</v>
      </c>
      <c r="D84" s="46">
        <v>6267.74</v>
      </c>
      <c r="E84" s="46">
        <f>5+261.3</f>
        <v>266.3</v>
      </c>
      <c r="F84" s="46"/>
      <c r="G84" s="50"/>
      <c r="H84" s="46">
        <f t="shared" si="24"/>
        <v>6534.04</v>
      </c>
      <c r="I84" s="46"/>
      <c r="J84" s="46"/>
      <c r="K84" s="46">
        <f t="shared" si="21"/>
        <v>0</v>
      </c>
      <c r="L84" s="46">
        <v>1384.7199999999998</v>
      </c>
      <c r="M84" s="46"/>
      <c r="N84" s="46">
        <f t="shared" si="25"/>
        <v>1384.7199999999998</v>
      </c>
      <c r="O84" s="65">
        <v>3127</v>
      </c>
      <c r="P84" s="4">
        <v>342</v>
      </c>
      <c r="Q84" s="11" t="s">
        <v>58</v>
      </c>
      <c r="R84" s="46"/>
      <c r="S84" s="46"/>
      <c r="T84" s="46"/>
      <c r="U84" s="46">
        <f t="shared" si="22"/>
        <v>0</v>
      </c>
      <c r="V84" s="46">
        <v>427</v>
      </c>
      <c r="W84" s="46">
        <f>350</f>
        <v>350</v>
      </c>
      <c r="X84" s="46"/>
      <c r="Y84" s="46">
        <f t="shared" si="23"/>
        <v>777</v>
      </c>
    </row>
    <row r="85" spans="1:25" ht="12.75">
      <c r="A85" s="36">
        <v>3127</v>
      </c>
      <c r="B85" s="4">
        <v>344</v>
      </c>
      <c r="C85" s="67" t="s">
        <v>161</v>
      </c>
      <c r="D85" s="46">
        <v>3504.52</v>
      </c>
      <c r="E85" s="46">
        <f>5+540.5</f>
        <v>545.5</v>
      </c>
      <c r="F85" s="46"/>
      <c r="G85" s="50"/>
      <c r="H85" s="46">
        <f t="shared" si="24"/>
        <v>4050.02</v>
      </c>
      <c r="I85" s="46"/>
      <c r="J85" s="46"/>
      <c r="K85" s="46">
        <f t="shared" si="21"/>
        <v>0</v>
      </c>
      <c r="L85" s="46">
        <v>888.1399999999999</v>
      </c>
      <c r="M85" s="46"/>
      <c r="N85" s="46">
        <f t="shared" si="25"/>
        <v>888.1399999999999</v>
      </c>
      <c r="O85" s="65">
        <v>3127</v>
      </c>
      <c r="P85" s="4">
        <v>344</v>
      </c>
      <c r="Q85" s="11" t="s">
        <v>59</v>
      </c>
      <c r="R85" s="46"/>
      <c r="S85" s="46"/>
      <c r="T85" s="46"/>
      <c r="U85" s="46">
        <f t="shared" si="22"/>
        <v>0</v>
      </c>
      <c r="V85" s="46">
        <v>5063</v>
      </c>
      <c r="W85" s="46"/>
      <c r="X85" s="46"/>
      <c r="Y85" s="46">
        <f t="shared" si="23"/>
        <v>5063</v>
      </c>
    </row>
    <row r="86" spans="1:25" ht="12.75">
      <c r="A86" s="36">
        <v>3124</v>
      </c>
      <c r="B86" s="4">
        <v>345</v>
      </c>
      <c r="C86" s="67" t="s">
        <v>168</v>
      </c>
      <c r="D86" s="46">
        <v>8183.66</v>
      </c>
      <c r="E86" s="46">
        <f>5+562.6+10</f>
        <v>577.6</v>
      </c>
      <c r="F86" s="46"/>
      <c r="G86" s="50"/>
      <c r="H86" s="46">
        <f t="shared" si="24"/>
        <v>8761.26</v>
      </c>
      <c r="I86" s="46"/>
      <c r="J86" s="46"/>
      <c r="K86" s="46">
        <f t="shared" si="21"/>
        <v>0</v>
      </c>
      <c r="L86" s="46">
        <v>1215.5</v>
      </c>
      <c r="M86" s="46"/>
      <c r="N86" s="46">
        <f t="shared" si="25"/>
        <v>1215.5</v>
      </c>
      <c r="O86" s="65">
        <v>3124</v>
      </c>
      <c r="P86" s="4">
        <v>345</v>
      </c>
      <c r="Q86" s="37" t="s">
        <v>142</v>
      </c>
      <c r="R86" s="46">
        <v>500</v>
      </c>
      <c r="S86" s="46">
        <f>65</f>
        <v>65</v>
      </c>
      <c r="T86" s="46"/>
      <c r="U86" s="46">
        <f t="shared" si="22"/>
        <v>565</v>
      </c>
      <c r="V86" s="46">
        <v>3915</v>
      </c>
      <c r="W86" s="46">
        <f>1400-65</f>
        <v>1335</v>
      </c>
      <c r="X86" s="46"/>
      <c r="Y86" s="46">
        <f t="shared" si="23"/>
        <v>5250</v>
      </c>
    </row>
    <row r="87" spans="1:25" ht="12.75">
      <c r="A87" s="36">
        <v>3114</v>
      </c>
      <c r="B87" s="4">
        <v>346</v>
      </c>
      <c r="C87" s="37" t="s">
        <v>175</v>
      </c>
      <c r="D87" s="46">
        <v>2850.16</v>
      </c>
      <c r="E87" s="46">
        <f>5</f>
        <v>5</v>
      </c>
      <c r="F87" s="46"/>
      <c r="G87" s="50"/>
      <c r="H87" s="46">
        <f t="shared" si="24"/>
        <v>2855.16</v>
      </c>
      <c r="I87" s="46"/>
      <c r="J87" s="46"/>
      <c r="K87" s="46">
        <f t="shared" si="21"/>
        <v>0</v>
      </c>
      <c r="L87" s="46">
        <v>372.20000000000005</v>
      </c>
      <c r="M87" s="46"/>
      <c r="N87" s="46">
        <f t="shared" si="25"/>
        <v>372.20000000000005</v>
      </c>
      <c r="O87" s="65">
        <v>3114</v>
      </c>
      <c r="P87" s="4">
        <v>346</v>
      </c>
      <c r="Q87" s="37" t="s">
        <v>175</v>
      </c>
      <c r="R87" s="46"/>
      <c r="S87" s="46"/>
      <c r="T87" s="46"/>
      <c r="U87" s="46">
        <f t="shared" si="22"/>
        <v>0</v>
      </c>
      <c r="V87" s="46"/>
      <c r="W87" s="46"/>
      <c r="X87" s="46"/>
      <c r="Y87" s="46">
        <f t="shared" si="23"/>
        <v>0</v>
      </c>
    </row>
    <row r="88" spans="1:25" ht="12.75">
      <c r="A88" s="36">
        <v>3114</v>
      </c>
      <c r="B88" s="4">
        <v>347</v>
      </c>
      <c r="C88" s="13" t="s">
        <v>94</v>
      </c>
      <c r="D88" s="46">
        <v>1648.8</v>
      </c>
      <c r="E88" s="46">
        <f>5</f>
        <v>5</v>
      </c>
      <c r="F88" s="46"/>
      <c r="G88" s="50"/>
      <c r="H88" s="46">
        <f t="shared" si="24"/>
        <v>1653.8</v>
      </c>
      <c r="I88" s="46"/>
      <c r="J88" s="46"/>
      <c r="K88" s="46">
        <f t="shared" si="21"/>
        <v>0</v>
      </c>
      <c r="L88" s="46">
        <v>204.8</v>
      </c>
      <c r="M88" s="46"/>
      <c r="N88" s="46">
        <f t="shared" si="25"/>
        <v>204.8</v>
      </c>
      <c r="O88" s="65">
        <v>3114</v>
      </c>
      <c r="P88" s="4">
        <v>347</v>
      </c>
      <c r="Q88" s="13" t="s">
        <v>94</v>
      </c>
      <c r="R88" s="46"/>
      <c r="S88" s="46"/>
      <c r="T88" s="46"/>
      <c r="U88" s="46">
        <f t="shared" si="22"/>
        <v>0</v>
      </c>
      <c r="V88" s="46"/>
      <c r="W88" s="46"/>
      <c r="X88" s="46"/>
      <c r="Y88" s="46">
        <f t="shared" si="23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5148.01</v>
      </c>
      <c r="E89" s="46">
        <f>5+80</f>
        <v>85</v>
      </c>
      <c r="F89" s="46"/>
      <c r="G89" s="50"/>
      <c r="H89" s="46">
        <f t="shared" si="24"/>
        <v>5233.01</v>
      </c>
      <c r="I89" s="46"/>
      <c r="J89" s="46"/>
      <c r="K89" s="46">
        <f t="shared" si="21"/>
        <v>0</v>
      </c>
      <c r="L89" s="46">
        <v>362.71</v>
      </c>
      <c r="M89" s="46"/>
      <c r="N89" s="46">
        <f t="shared" si="25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2"/>
        <v>0</v>
      </c>
      <c r="V89" s="46">
        <v>525</v>
      </c>
      <c r="W89" s="46"/>
      <c r="X89" s="46"/>
      <c r="Y89" s="46">
        <f t="shared" si="23"/>
        <v>525</v>
      </c>
    </row>
    <row r="90" spans="1:25" ht="12.75">
      <c r="A90" s="36">
        <v>3294</v>
      </c>
      <c r="B90" s="4">
        <v>352</v>
      </c>
      <c r="C90" s="37" t="s">
        <v>163</v>
      </c>
      <c r="D90" s="46">
        <v>3912.6</v>
      </c>
      <c r="E90" s="46">
        <f>5+288.9</f>
        <v>293.9</v>
      </c>
      <c r="F90" s="46"/>
      <c r="G90" s="50"/>
      <c r="H90" s="46">
        <f t="shared" si="24"/>
        <v>4206.5</v>
      </c>
      <c r="I90" s="46"/>
      <c r="J90" s="46"/>
      <c r="K90" s="46">
        <f t="shared" si="21"/>
        <v>0</v>
      </c>
      <c r="L90" s="46">
        <v>0</v>
      </c>
      <c r="M90" s="46"/>
      <c r="N90" s="46">
        <f t="shared" si="25"/>
        <v>0</v>
      </c>
      <c r="O90" s="65">
        <v>3294</v>
      </c>
      <c r="P90" s="4">
        <v>352</v>
      </c>
      <c r="Q90" s="37" t="s">
        <v>143</v>
      </c>
      <c r="R90" s="46"/>
      <c r="S90" s="46"/>
      <c r="T90" s="46"/>
      <c r="U90" s="46">
        <f t="shared" si="22"/>
        <v>0</v>
      </c>
      <c r="V90" s="46"/>
      <c r="W90" s="46"/>
      <c r="X90" s="46"/>
      <c r="Y90" s="46">
        <f t="shared" si="23"/>
        <v>0</v>
      </c>
    </row>
    <row r="91" spans="1:25" ht="12.75">
      <c r="A91" s="36">
        <v>3127</v>
      </c>
      <c r="B91" s="4">
        <v>353</v>
      </c>
      <c r="C91" s="37" t="s">
        <v>169</v>
      </c>
      <c r="D91" s="46">
        <v>5205.67</v>
      </c>
      <c r="E91" s="46">
        <f>5+464.6</f>
        <v>469.6</v>
      </c>
      <c r="F91" s="46"/>
      <c r="G91" s="50"/>
      <c r="H91" s="46">
        <f t="shared" si="24"/>
        <v>5675.27</v>
      </c>
      <c r="I91" s="46"/>
      <c r="J91" s="46"/>
      <c r="K91" s="46">
        <f t="shared" si="21"/>
        <v>0</v>
      </c>
      <c r="L91" s="46">
        <v>430.08</v>
      </c>
      <c r="M91" s="46"/>
      <c r="N91" s="46">
        <f t="shared" si="25"/>
        <v>430.08</v>
      </c>
      <c r="O91" s="65">
        <v>3127</v>
      </c>
      <c r="P91" s="4">
        <v>353</v>
      </c>
      <c r="Q91" s="11" t="s">
        <v>61</v>
      </c>
      <c r="R91" s="46">
        <v>1008</v>
      </c>
      <c r="S91" s="46"/>
      <c r="T91" s="46"/>
      <c r="U91" s="46">
        <f t="shared" si="22"/>
        <v>1008</v>
      </c>
      <c r="V91" s="46">
        <v>130</v>
      </c>
      <c r="W91" s="46">
        <f>1100</f>
        <v>1100</v>
      </c>
      <c r="X91" s="46"/>
      <c r="Y91" s="46">
        <f t="shared" si="23"/>
        <v>1230</v>
      </c>
    </row>
    <row r="92" spans="1:25" ht="12.75">
      <c r="A92" s="36">
        <v>3127</v>
      </c>
      <c r="B92" s="4">
        <v>354</v>
      </c>
      <c r="C92" s="37" t="s">
        <v>91</v>
      </c>
      <c r="D92" s="46">
        <v>2930.91</v>
      </c>
      <c r="E92" s="46">
        <f>5+304.58</f>
        <v>309.58</v>
      </c>
      <c r="F92" s="46"/>
      <c r="G92" s="50"/>
      <c r="H92" s="46">
        <f t="shared" si="24"/>
        <v>3240.49</v>
      </c>
      <c r="I92" s="46"/>
      <c r="J92" s="46"/>
      <c r="K92" s="46">
        <f t="shared" si="21"/>
        <v>0</v>
      </c>
      <c r="L92" s="46">
        <v>219.78</v>
      </c>
      <c r="M92" s="46">
        <f>69.08</f>
        <v>69.08</v>
      </c>
      <c r="N92" s="46">
        <f t="shared" si="25"/>
        <v>288.86</v>
      </c>
      <c r="O92" s="65">
        <v>3127</v>
      </c>
      <c r="P92" s="4">
        <v>354</v>
      </c>
      <c r="Q92" s="37" t="s">
        <v>91</v>
      </c>
      <c r="R92" s="46"/>
      <c r="S92" s="46"/>
      <c r="T92" s="46"/>
      <c r="U92" s="46">
        <f t="shared" si="22"/>
        <v>0</v>
      </c>
      <c r="V92" s="46"/>
      <c r="W92" s="46"/>
      <c r="X92" s="46"/>
      <c r="Y92" s="46">
        <f t="shared" si="23"/>
        <v>0</v>
      </c>
    </row>
    <row r="93" spans="1:25" ht="12.75">
      <c r="A93" s="36">
        <v>3122</v>
      </c>
      <c r="B93" s="4">
        <v>355</v>
      </c>
      <c r="C93" s="37" t="s">
        <v>92</v>
      </c>
      <c r="D93" s="46">
        <v>2680.83</v>
      </c>
      <c r="E93" s="46">
        <f>5+105.6+20</f>
        <v>130.6</v>
      </c>
      <c r="F93" s="46"/>
      <c r="G93" s="50"/>
      <c r="H93" s="46">
        <f t="shared" si="24"/>
        <v>2811.43</v>
      </c>
      <c r="I93" s="46"/>
      <c r="J93" s="46"/>
      <c r="K93" s="46">
        <f t="shared" si="21"/>
        <v>0</v>
      </c>
      <c r="L93" s="46">
        <v>659.5500000000001</v>
      </c>
      <c r="M93" s="46"/>
      <c r="N93" s="46">
        <f t="shared" si="25"/>
        <v>659.5500000000001</v>
      </c>
      <c r="O93" s="65">
        <v>3122</v>
      </c>
      <c r="P93" s="4">
        <v>355</v>
      </c>
      <c r="Q93" s="37" t="s">
        <v>92</v>
      </c>
      <c r="R93" s="46"/>
      <c r="S93" s="46"/>
      <c r="T93" s="46"/>
      <c r="U93" s="46">
        <f t="shared" si="22"/>
        <v>0</v>
      </c>
      <c r="V93" s="46"/>
      <c r="W93" s="46"/>
      <c r="X93" s="46"/>
      <c r="Y93" s="46">
        <f t="shared" si="23"/>
        <v>0</v>
      </c>
    </row>
    <row r="94" spans="1:25" ht="12.75">
      <c r="A94" s="36">
        <v>3127</v>
      </c>
      <c r="B94" s="4">
        <v>357</v>
      </c>
      <c r="C94" s="37" t="s">
        <v>144</v>
      </c>
      <c r="D94" s="46">
        <v>9541.609999999999</v>
      </c>
      <c r="E94" s="46">
        <f>5+113.7</f>
        <v>118.7</v>
      </c>
      <c r="F94" s="46"/>
      <c r="G94" s="50"/>
      <c r="H94" s="46">
        <f t="shared" si="24"/>
        <v>9660.31</v>
      </c>
      <c r="I94" s="46"/>
      <c r="J94" s="46"/>
      <c r="K94" s="46">
        <f t="shared" si="21"/>
        <v>0</v>
      </c>
      <c r="L94" s="46">
        <v>1086.9</v>
      </c>
      <c r="M94" s="46"/>
      <c r="N94" s="46">
        <f t="shared" si="25"/>
        <v>1086.9</v>
      </c>
      <c r="O94" s="65">
        <v>3127</v>
      </c>
      <c r="P94" s="4">
        <v>357</v>
      </c>
      <c r="Q94" s="37" t="s">
        <v>144</v>
      </c>
      <c r="R94" s="46"/>
      <c r="S94" s="46"/>
      <c r="T94" s="46"/>
      <c r="U94" s="46">
        <f t="shared" si="22"/>
        <v>0</v>
      </c>
      <c r="V94" s="46">
        <v>356</v>
      </c>
      <c r="W94" s="50">
        <f>400</f>
        <v>400</v>
      </c>
      <c r="X94" s="46"/>
      <c r="Y94" s="46">
        <f t="shared" si="23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1039.15</v>
      </c>
      <c r="E95" s="46"/>
      <c r="F95" s="46"/>
      <c r="G95" s="50"/>
      <c r="H95" s="46">
        <f t="shared" si="24"/>
        <v>1039.15</v>
      </c>
      <c r="I95" s="46"/>
      <c r="J95" s="46"/>
      <c r="K95" s="46">
        <f t="shared" si="21"/>
        <v>0</v>
      </c>
      <c r="L95" s="46">
        <v>117.60000000000001</v>
      </c>
      <c r="M95" s="46"/>
      <c r="N95" s="46">
        <f t="shared" si="25"/>
        <v>117.60000000000001</v>
      </c>
      <c r="O95" s="65">
        <v>3114</v>
      </c>
      <c r="P95" s="4">
        <v>358</v>
      </c>
      <c r="Q95" s="11" t="s">
        <v>62</v>
      </c>
      <c r="R95" s="46"/>
      <c r="S95" s="46"/>
      <c r="T95" s="46"/>
      <c r="U95" s="46">
        <f t="shared" si="22"/>
        <v>0</v>
      </c>
      <c r="V95" s="46"/>
      <c r="W95" s="46"/>
      <c r="X95" s="46"/>
      <c r="Y95" s="46">
        <f t="shared" si="23"/>
        <v>0</v>
      </c>
    </row>
    <row r="96" spans="1:25" ht="12.75">
      <c r="A96" s="36">
        <v>3114</v>
      </c>
      <c r="B96" s="4">
        <v>362</v>
      </c>
      <c r="C96" s="37" t="s">
        <v>114</v>
      </c>
      <c r="D96" s="46">
        <v>874.4</v>
      </c>
      <c r="E96" s="46"/>
      <c r="F96" s="46"/>
      <c r="G96" s="50"/>
      <c r="H96" s="46">
        <f t="shared" si="24"/>
        <v>874.4</v>
      </c>
      <c r="I96" s="46"/>
      <c r="J96" s="46"/>
      <c r="K96" s="46">
        <f t="shared" si="21"/>
        <v>0</v>
      </c>
      <c r="L96" s="46">
        <v>0</v>
      </c>
      <c r="M96" s="46"/>
      <c r="N96" s="46">
        <f t="shared" si="25"/>
        <v>0</v>
      </c>
      <c r="O96" s="65">
        <v>3114</v>
      </c>
      <c r="P96" s="4">
        <v>362</v>
      </c>
      <c r="Q96" s="37" t="s">
        <v>114</v>
      </c>
      <c r="R96" s="46"/>
      <c r="S96" s="46"/>
      <c r="T96" s="46"/>
      <c r="U96" s="46">
        <f t="shared" si="22"/>
        <v>0</v>
      </c>
      <c r="V96" s="46"/>
      <c r="W96" s="46"/>
      <c r="X96" s="46"/>
      <c r="Y96" s="46">
        <f t="shared" si="23"/>
        <v>0</v>
      </c>
    </row>
    <row r="97" spans="1:25" ht="12.75">
      <c r="A97" s="36">
        <v>3114</v>
      </c>
      <c r="B97" s="4">
        <v>363</v>
      </c>
      <c r="C97" s="13" t="s">
        <v>193</v>
      </c>
      <c r="D97" s="46">
        <v>1595.49</v>
      </c>
      <c r="E97" s="50">
        <f>5</f>
        <v>5</v>
      </c>
      <c r="F97" s="46"/>
      <c r="G97" s="50"/>
      <c r="H97" s="46">
        <f t="shared" si="24"/>
        <v>1600.49</v>
      </c>
      <c r="I97" s="46"/>
      <c r="J97" s="46"/>
      <c r="K97" s="46">
        <f t="shared" si="21"/>
        <v>0</v>
      </c>
      <c r="L97" s="46">
        <v>45.03</v>
      </c>
      <c r="M97" s="46"/>
      <c r="N97" s="46">
        <f t="shared" si="25"/>
        <v>45.03</v>
      </c>
      <c r="O97" s="65">
        <v>3114</v>
      </c>
      <c r="P97" s="4">
        <v>363</v>
      </c>
      <c r="Q97" s="11" t="s">
        <v>83</v>
      </c>
      <c r="R97" s="46"/>
      <c r="S97" s="46"/>
      <c r="T97" s="46"/>
      <c r="U97" s="46">
        <f t="shared" si="22"/>
        <v>0</v>
      </c>
      <c r="V97" s="46"/>
      <c r="W97" s="46"/>
      <c r="X97" s="46"/>
      <c r="Y97" s="46">
        <f t="shared" si="23"/>
        <v>0</v>
      </c>
    </row>
    <row r="98" spans="1:25" ht="12.75">
      <c r="A98" s="36">
        <v>3121</v>
      </c>
      <c r="B98" s="4">
        <v>367</v>
      </c>
      <c r="C98" s="13" t="s">
        <v>130</v>
      </c>
      <c r="D98" s="46">
        <v>4030.42</v>
      </c>
      <c r="E98" s="46">
        <f>5+150</f>
        <v>155</v>
      </c>
      <c r="F98" s="46"/>
      <c r="G98" s="50"/>
      <c r="H98" s="46">
        <f t="shared" si="24"/>
        <v>4185.42</v>
      </c>
      <c r="I98" s="46"/>
      <c r="J98" s="46"/>
      <c r="K98" s="46">
        <f t="shared" si="21"/>
        <v>0</v>
      </c>
      <c r="L98" s="46">
        <v>439.52000000000004</v>
      </c>
      <c r="M98" s="46"/>
      <c r="N98" s="46">
        <f t="shared" si="25"/>
        <v>439.52000000000004</v>
      </c>
      <c r="O98" s="65">
        <v>3121</v>
      </c>
      <c r="P98" s="4">
        <v>367</v>
      </c>
      <c r="Q98" s="13" t="s">
        <v>130</v>
      </c>
      <c r="R98" s="46"/>
      <c r="S98" s="46"/>
      <c r="T98" s="46"/>
      <c r="U98" s="46">
        <f t="shared" si="22"/>
        <v>0</v>
      </c>
      <c r="V98" s="46"/>
      <c r="W98" s="46"/>
      <c r="X98" s="46"/>
      <c r="Y98" s="46">
        <f t="shared" si="23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2425.1899999999996</v>
      </c>
      <c r="E99" s="46">
        <f>5+10</f>
        <v>15</v>
      </c>
      <c r="F99" s="46"/>
      <c r="G99" s="50"/>
      <c r="H99" s="46">
        <f t="shared" si="24"/>
        <v>2440.1899999999996</v>
      </c>
      <c r="I99" s="46"/>
      <c r="J99" s="46"/>
      <c r="K99" s="46">
        <f t="shared" si="21"/>
        <v>0</v>
      </c>
      <c r="L99" s="46">
        <v>397.69</v>
      </c>
      <c r="M99" s="46"/>
      <c r="N99" s="46">
        <f t="shared" si="25"/>
        <v>397.69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2"/>
        <v>0</v>
      </c>
      <c r="V99" s="46">
        <v>441</v>
      </c>
      <c r="W99" s="46"/>
      <c r="X99" s="46"/>
      <c r="Y99" s="46">
        <f t="shared" si="23"/>
        <v>441</v>
      </c>
    </row>
    <row r="100" spans="1:25" ht="12.75">
      <c r="A100" s="36">
        <v>3122</v>
      </c>
      <c r="B100" s="5">
        <v>370</v>
      </c>
      <c r="C100" s="71" t="s">
        <v>155</v>
      </c>
      <c r="D100" s="46">
        <v>2848.16</v>
      </c>
      <c r="E100" s="51">
        <f>5-59+20</f>
        <v>-34</v>
      </c>
      <c r="F100" s="51"/>
      <c r="G100" s="60"/>
      <c r="H100" s="46">
        <f t="shared" si="24"/>
        <v>2814.16</v>
      </c>
      <c r="I100" s="51"/>
      <c r="J100" s="51">
        <f>125.6</f>
        <v>125.6</v>
      </c>
      <c r="K100" s="46">
        <f t="shared" si="21"/>
        <v>125.6</v>
      </c>
      <c r="L100" s="46">
        <v>295.06</v>
      </c>
      <c r="M100" s="51"/>
      <c r="N100" s="46">
        <f t="shared" si="25"/>
        <v>295.06</v>
      </c>
      <c r="O100" s="65">
        <v>3122</v>
      </c>
      <c r="P100" s="5">
        <v>370</v>
      </c>
      <c r="Q100" s="12" t="s">
        <v>84</v>
      </c>
      <c r="R100" s="51">
        <v>810</v>
      </c>
      <c r="S100" s="51">
        <f>-10</f>
        <v>-10</v>
      </c>
      <c r="T100" s="51"/>
      <c r="U100" s="46">
        <f t="shared" si="22"/>
        <v>800</v>
      </c>
      <c r="V100" s="51"/>
      <c r="W100" s="51">
        <f>236+10</f>
        <v>246</v>
      </c>
      <c r="X100" s="51"/>
      <c r="Y100" s="46">
        <f t="shared" si="23"/>
        <v>246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2827.96</v>
      </c>
      <c r="E101" s="46">
        <f>60</f>
        <v>60</v>
      </c>
      <c r="F101" s="46"/>
      <c r="G101" s="50"/>
      <c r="H101" s="46">
        <f t="shared" si="24"/>
        <v>2887.96</v>
      </c>
      <c r="I101" s="46"/>
      <c r="J101" s="46"/>
      <c r="K101" s="46">
        <f t="shared" si="21"/>
        <v>0</v>
      </c>
      <c r="L101" s="46">
        <v>70.24000000000001</v>
      </c>
      <c r="M101" s="46"/>
      <c r="N101" s="46">
        <f t="shared" si="25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2"/>
        <v>2000</v>
      </c>
      <c r="V101" s="46"/>
      <c r="W101" s="46"/>
      <c r="X101" s="46"/>
      <c r="Y101" s="46">
        <f t="shared" si="23"/>
        <v>0</v>
      </c>
    </row>
    <row r="102" spans="1:25" ht="24">
      <c r="A102" s="36">
        <v>3127</v>
      </c>
      <c r="B102" s="4">
        <v>372</v>
      </c>
      <c r="C102" s="77" t="s">
        <v>194</v>
      </c>
      <c r="D102" s="46">
        <v>6239.08</v>
      </c>
      <c r="E102" s="46">
        <f>5+80.6</f>
        <v>85.6</v>
      </c>
      <c r="F102" s="46"/>
      <c r="G102" s="50"/>
      <c r="H102" s="46">
        <f t="shared" si="24"/>
        <v>6324.68</v>
      </c>
      <c r="I102" s="46"/>
      <c r="J102" s="46"/>
      <c r="K102" s="46">
        <f t="shared" si="21"/>
        <v>0</v>
      </c>
      <c r="L102" s="46">
        <v>828.71</v>
      </c>
      <c r="M102" s="46"/>
      <c r="N102" s="46">
        <f t="shared" si="25"/>
        <v>828.71</v>
      </c>
      <c r="O102" s="65">
        <v>3127</v>
      </c>
      <c r="P102" s="4">
        <v>372</v>
      </c>
      <c r="Q102" s="37" t="s">
        <v>145</v>
      </c>
      <c r="R102" s="46">
        <v>97</v>
      </c>
      <c r="S102" s="57"/>
      <c r="T102" s="46"/>
      <c r="U102" s="46">
        <f t="shared" si="22"/>
        <v>97</v>
      </c>
      <c r="V102" s="46">
        <v>333.93</v>
      </c>
      <c r="W102" s="50"/>
      <c r="X102" s="50"/>
      <c r="Y102" s="46">
        <f t="shared" si="23"/>
        <v>333.93</v>
      </c>
    </row>
    <row r="103" spans="1:25" ht="12.75">
      <c r="A103" s="36">
        <v>3133</v>
      </c>
      <c r="B103" s="4">
        <v>374</v>
      </c>
      <c r="C103" s="11" t="s">
        <v>89</v>
      </c>
      <c r="D103" s="46">
        <v>1891.3200000000002</v>
      </c>
      <c r="E103" s="46"/>
      <c r="F103" s="46"/>
      <c r="G103" s="50"/>
      <c r="H103" s="46">
        <f t="shared" si="24"/>
        <v>1891.3200000000002</v>
      </c>
      <c r="I103" s="46"/>
      <c r="J103" s="46"/>
      <c r="K103" s="46">
        <f t="shared" si="21"/>
        <v>0</v>
      </c>
      <c r="L103" s="46">
        <v>108.33</v>
      </c>
      <c r="M103" s="46"/>
      <c r="N103" s="46">
        <f t="shared" si="25"/>
        <v>108.33</v>
      </c>
      <c r="O103" s="65">
        <v>3133</v>
      </c>
      <c r="P103" s="4">
        <v>374</v>
      </c>
      <c r="Q103" s="11" t="s">
        <v>89</v>
      </c>
      <c r="R103" s="46"/>
      <c r="S103" s="46"/>
      <c r="T103" s="46"/>
      <c r="U103" s="46">
        <f t="shared" si="22"/>
        <v>0</v>
      </c>
      <c r="V103" s="46"/>
      <c r="W103" s="50"/>
      <c r="X103" s="50"/>
      <c r="Y103" s="46">
        <f t="shared" si="23"/>
        <v>0</v>
      </c>
    </row>
    <row r="104" spans="1:25" ht="12.75">
      <c r="A104" s="36">
        <v>3114</v>
      </c>
      <c r="B104" s="4">
        <v>379</v>
      </c>
      <c r="C104" s="37" t="s">
        <v>195</v>
      </c>
      <c r="D104" s="46">
        <v>603.2</v>
      </c>
      <c r="E104" s="46">
        <f>5</f>
        <v>5</v>
      </c>
      <c r="F104" s="46"/>
      <c r="G104" s="50"/>
      <c r="H104" s="46">
        <f t="shared" si="24"/>
        <v>608.2</v>
      </c>
      <c r="I104" s="46"/>
      <c r="J104" s="46"/>
      <c r="K104" s="46">
        <f t="shared" si="21"/>
        <v>0</v>
      </c>
      <c r="L104" s="46">
        <v>34.7</v>
      </c>
      <c r="M104" s="46"/>
      <c r="N104" s="46">
        <f t="shared" si="25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2"/>
        <v>0</v>
      </c>
      <c r="V104" s="46"/>
      <c r="W104" s="46"/>
      <c r="X104" s="46"/>
      <c r="Y104" s="46">
        <f t="shared" si="23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2736.3</v>
      </c>
      <c r="E105" s="46">
        <f>10</f>
        <v>10</v>
      </c>
      <c r="F105" s="46"/>
      <c r="G105" s="50"/>
      <c r="H105" s="46">
        <f t="shared" si="24"/>
        <v>2746.3</v>
      </c>
      <c r="I105" s="46"/>
      <c r="J105" s="46"/>
      <c r="K105" s="46">
        <f t="shared" si="21"/>
        <v>0</v>
      </c>
      <c r="L105" s="46">
        <v>171.76000000000002</v>
      </c>
      <c r="M105" s="46"/>
      <c r="N105" s="46">
        <f t="shared" si="25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2"/>
        <v>0</v>
      </c>
      <c r="V105" s="46"/>
      <c r="W105" s="46"/>
      <c r="X105" s="46"/>
      <c r="Y105" s="46">
        <f t="shared" si="23"/>
        <v>0</v>
      </c>
    </row>
    <row r="106" spans="1:25" ht="12.75">
      <c r="A106" s="36">
        <v>3114</v>
      </c>
      <c r="B106" s="4">
        <v>381</v>
      </c>
      <c r="C106" s="37" t="s">
        <v>115</v>
      </c>
      <c r="D106" s="46">
        <v>1610.75</v>
      </c>
      <c r="E106" s="46"/>
      <c r="F106" s="46"/>
      <c r="G106" s="50"/>
      <c r="H106" s="46">
        <f t="shared" si="24"/>
        <v>1610.75</v>
      </c>
      <c r="I106" s="46"/>
      <c r="J106" s="46"/>
      <c r="K106" s="46">
        <f t="shared" si="21"/>
        <v>0</v>
      </c>
      <c r="L106" s="46">
        <v>4.260000000000002</v>
      </c>
      <c r="M106" s="46"/>
      <c r="N106" s="46">
        <f t="shared" si="25"/>
        <v>4.260000000000002</v>
      </c>
      <c r="O106" s="65">
        <v>3114</v>
      </c>
      <c r="P106" s="4">
        <v>381</v>
      </c>
      <c r="Q106" s="37" t="s">
        <v>115</v>
      </c>
      <c r="R106" s="46"/>
      <c r="S106" s="46"/>
      <c r="T106" s="46"/>
      <c r="U106" s="46">
        <f t="shared" si="22"/>
        <v>0</v>
      </c>
      <c r="V106" s="46"/>
      <c r="W106" s="46"/>
      <c r="X106" s="46"/>
      <c r="Y106" s="46">
        <f t="shared" si="23"/>
        <v>0</v>
      </c>
    </row>
    <row r="107" spans="1:25" ht="12.75">
      <c r="A107" s="36">
        <v>3114</v>
      </c>
      <c r="B107" s="4">
        <v>383</v>
      </c>
      <c r="C107" s="37" t="s">
        <v>196</v>
      </c>
      <c r="D107" s="46">
        <v>607.2</v>
      </c>
      <c r="E107" s="46"/>
      <c r="F107" s="46"/>
      <c r="G107" s="50"/>
      <c r="H107" s="46">
        <f t="shared" si="24"/>
        <v>607.2</v>
      </c>
      <c r="I107" s="46"/>
      <c r="J107" s="46"/>
      <c r="K107" s="46">
        <f t="shared" si="21"/>
        <v>0</v>
      </c>
      <c r="L107" s="46">
        <v>17.8</v>
      </c>
      <c r="M107" s="46"/>
      <c r="N107" s="46">
        <f t="shared" si="25"/>
        <v>17.8</v>
      </c>
      <c r="O107" s="65">
        <v>3114</v>
      </c>
      <c r="P107" s="4">
        <v>383</v>
      </c>
      <c r="Q107" s="37" t="s">
        <v>146</v>
      </c>
      <c r="R107" s="46"/>
      <c r="S107" s="46"/>
      <c r="T107" s="46"/>
      <c r="U107" s="46">
        <f t="shared" si="22"/>
        <v>0</v>
      </c>
      <c r="V107" s="46"/>
      <c r="W107" s="46"/>
      <c r="X107" s="46"/>
      <c r="Y107" s="46">
        <f t="shared" si="23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2950.2</v>
      </c>
      <c r="E108" s="46">
        <f>5+100</f>
        <v>105</v>
      </c>
      <c r="F108" s="46"/>
      <c r="G108" s="50"/>
      <c r="H108" s="46">
        <f t="shared" si="24"/>
        <v>3055.2</v>
      </c>
      <c r="I108" s="46"/>
      <c r="J108" s="46"/>
      <c r="K108" s="46">
        <f t="shared" si="21"/>
        <v>0</v>
      </c>
      <c r="L108" s="46">
        <v>233.6</v>
      </c>
      <c r="M108" s="46"/>
      <c r="N108" s="46">
        <f t="shared" si="25"/>
        <v>233.6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2"/>
        <v>717</v>
      </c>
      <c r="V108" s="46">
        <v>150</v>
      </c>
      <c r="W108" s="46"/>
      <c r="X108" s="46"/>
      <c r="Y108" s="46">
        <f t="shared" si="23"/>
        <v>150</v>
      </c>
    </row>
    <row r="109" spans="1:25" ht="12.75" customHeight="1">
      <c r="A109" s="36">
        <v>3127</v>
      </c>
      <c r="B109" s="4">
        <v>391</v>
      </c>
      <c r="C109" s="37" t="s">
        <v>153</v>
      </c>
      <c r="D109" s="46">
        <v>10058</v>
      </c>
      <c r="E109" s="46">
        <f>203</f>
        <v>203</v>
      </c>
      <c r="F109" s="46"/>
      <c r="G109" s="50"/>
      <c r="H109" s="46">
        <f t="shared" si="24"/>
        <v>10261</v>
      </c>
      <c r="I109" s="55"/>
      <c r="J109" s="55"/>
      <c r="K109" s="55">
        <f t="shared" si="21"/>
        <v>0</v>
      </c>
      <c r="L109" s="46">
        <v>1966.16</v>
      </c>
      <c r="M109" s="46"/>
      <c r="N109" s="46">
        <f t="shared" si="25"/>
        <v>1966.16</v>
      </c>
      <c r="O109" s="65">
        <v>3127</v>
      </c>
      <c r="P109" s="4">
        <v>391</v>
      </c>
      <c r="Q109" s="37" t="s">
        <v>153</v>
      </c>
      <c r="R109" s="46">
        <v>3500</v>
      </c>
      <c r="S109" s="46"/>
      <c r="T109" s="46"/>
      <c r="U109" s="46">
        <f t="shared" si="22"/>
        <v>3500</v>
      </c>
      <c r="V109" s="46"/>
      <c r="W109" s="46"/>
      <c r="X109" s="46"/>
      <c r="Y109" s="46">
        <f t="shared" si="23"/>
        <v>0</v>
      </c>
    </row>
    <row r="110" spans="1:25" ht="12.75">
      <c r="A110" s="36">
        <v>3127</v>
      </c>
      <c r="B110" s="4">
        <v>392</v>
      </c>
      <c r="C110" s="13" t="s">
        <v>197</v>
      </c>
      <c r="D110" s="46">
        <v>2985</v>
      </c>
      <c r="E110" s="46">
        <f>5+451</f>
        <v>456</v>
      </c>
      <c r="F110" s="46"/>
      <c r="G110" s="50"/>
      <c r="H110" s="46">
        <f t="shared" si="24"/>
        <v>3441</v>
      </c>
      <c r="I110" s="46"/>
      <c r="J110" s="46"/>
      <c r="K110" s="46">
        <f t="shared" si="21"/>
        <v>0</v>
      </c>
      <c r="L110" s="46">
        <v>273.2</v>
      </c>
      <c r="M110" s="46"/>
      <c r="N110" s="46">
        <f t="shared" si="25"/>
        <v>273.2</v>
      </c>
      <c r="O110" s="65">
        <v>3127</v>
      </c>
      <c r="P110" s="4">
        <v>392</v>
      </c>
      <c r="Q110" s="13" t="s">
        <v>128</v>
      </c>
      <c r="R110" s="46"/>
      <c r="S110" s="46"/>
      <c r="T110" s="46"/>
      <c r="U110" s="46">
        <f t="shared" si="22"/>
        <v>0</v>
      </c>
      <c r="V110" s="46">
        <v>14954</v>
      </c>
      <c r="W110" s="46"/>
      <c r="X110" s="46"/>
      <c r="Y110" s="46">
        <f t="shared" si="23"/>
        <v>14954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1990.05</v>
      </c>
      <c r="E111" s="46"/>
      <c r="F111" s="46"/>
      <c r="G111" s="50"/>
      <c r="H111" s="46">
        <f t="shared" si="24"/>
        <v>1990.05</v>
      </c>
      <c r="I111" s="46"/>
      <c r="J111" s="46"/>
      <c r="K111" s="46">
        <f t="shared" si="21"/>
        <v>0</v>
      </c>
      <c r="L111" s="46">
        <v>426.7</v>
      </c>
      <c r="M111" s="46"/>
      <c r="N111" s="46">
        <f t="shared" si="25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2"/>
        <v>170</v>
      </c>
      <c r="V111" s="46"/>
      <c r="W111" s="46"/>
      <c r="X111" s="46"/>
      <c r="Y111" s="46">
        <f t="shared" si="23"/>
        <v>0</v>
      </c>
    </row>
    <row r="112" spans="1:25" ht="12.75">
      <c r="A112" s="36">
        <v>3127</v>
      </c>
      <c r="B112" s="4">
        <v>394</v>
      </c>
      <c r="C112" s="37" t="s">
        <v>198</v>
      </c>
      <c r="D112" s="46">
        <v>6005.5599999999995</v>
      </c>
      <c r="E112" s="46">
        <f>5+541.6</f>
        <v>546.6</v>
      </c>
      <c r="F112" s="46"/>
      <c r="G112" s="50"/>
      <c r="H112" s="46">
        <f t="shared" si="24"/>
        <v>6552.16</v>
      </c>
      <c r="I112" s="46">
        <v>400</v>
      </c>
      <c r="J112" s="46"/>
      <c r="K112" s="46">
        <f t="shared" si="21"/>
        <v>400</v>
      </c>
      <c r="L112" s="46">
        <v>892.89</v>
      </c>
      <c r="M112" s="46"/>
      <c r="N112" s="46">
        <f t="shared" si="25"/>
        <v>892.89</v>
      </c>
      <c r="O112" s="65">
        <v>3127</v>
      </c>
      <c r="P112" s="4">
        <v>394</v>
      </c>
      <c r="Q112" s="11" t="s">
        <v>64</v>
      </c>
      <c r="R112" s="46">
        <v>500</v>
      </c>
      <c r="S112" s="46">
        <f>600</f>
        <v>600</v>
      </c>
      <c r="T112" s="46"/>
      <c r="U112" s="46">
        <f t="shared" si="22"/>
        <v>1100</v>
      </c>
      <c r="V112" s="46"/>
      <c r="W112" s="46">
        <f>100</f>
        <v>100</v>
      </c>
      <c r="X112" s="46"/>
      <c r="Y112" s="46">
        <f t="shared" si="23"/>
        <v>100</v>
      </c>
    </row>
    <row r="113" spans="1:25" ht="12.75">
      <c r="A113" s="36">
        <v>3122</v>
      </c>
      <c r="B113" s="4">
        <v>395</v>
      </c>
      <c r="C113" s="37" t="s">
        <v>156</v>
      </c>
      <c r="D113" s="46">
        <v>2669.5</v>
      </c>
      <c r="E113" s="46">
        <f>5+101.6</f>
        <v>106.6</v>
      </c>
      <c r="F113" s="46"/>
      <c r="G113" s="50"/>
      <c r="H113" s="46">
        <f t="shared" si="24"/>
        <v>2776.1</v>
      </c>
      <c r="I113" s="46"/>
      <c r="J113" s="46"/>
      <c r="K113" s="46">
        <f t="shared" si="21"/>
        <v>0</v>
      </c>
      <c r="L113" s="46">
        <v>347.75</v>
      </c>
      <c r="M113" s="46"/>
      <c r="N113" s="46">
        <f t="shared" si="25"/>
        <v>347.75</v>
      </c>
      <c r="O113" s="65">
        <v>3122</v>
      </c>
      <c r="P113" s="4">
        <v>395</v>
      </c>
      <c r="Q113" s="11" t="s">
        <v>65</v>
      </c>
      <c r="R113" s="46"/>
      <c r="S113" s="46">
        <f>200</f>
        <v>200</v>
      </c>
      <c r="T113" s="46"/>
      <c r="U113" s="46">
        <f t="shared" si="22"/>
        <v>200</v>
      </c>
      <c r="V113" s="46"/>
      <c r="W113" s="46"/>
      <c r="X113" s="46"/>
      <c r="Y113" s="46">
        <f t="shared" si="23"/>
        <v>0</v>
      </c>
    </row>
    <row r="114" spans="1:25" ht="12.75">
      <c r="A114" s="36">
        <v>3127</v>
      </c>
      <c r="B114" s="4">
        <v>397</v>
      </c>
      <c r="C114" s="67" t="s">
        <v>152</v>
      </c>
      <c r="D114" s="46">
        <v>5566.74</v>
      </c>
      <c r="E114" s="46">
        <f>18.5</f>
        <v>18.5</v>
      </c>
      <c r="F114" s="46"/>
      <c r="G114" s="50"/>
      <c r="H114" s="46">
        <f t="shared" si="24"/>
        <v>5585.24</v>
      </c>
      <c r="I114" s="46"/>
      <c r="J114" s="46"/>
      <c r="K114" s="46">
        <f t="shared" si="21"/>
        <v>0</v>
      </c>
      <c r="L114" s="46">
        <v>916.1999999999999</v>
      </c>
      <c r="M114" s="46"/>
      <c r="N114" s="46">
        <f t="shared" si="25"/>
        <v>916.1999999999999</v>
      </c>
      <c r="O114" s="65">
        <v>3127</v>
      </c>
      <c r="P114" s="4">
        <v>397</v>
      </c>
      <c r="Q114" s="11" t="s">
        <v>66</v>
      </c>
      <c r="R114" s="46"/>
      <c r="S114" s="46">
        <f>300</f>
        <v>300</v>
      </c>
      <c r="T114" s="46"/>
      <c r="U114" s="46">
        <f t="shared" si="22"/>
        <v>300</v>
      </c>
      <c r="V114" s="46">
        <v>174</v>
      </c>
      <c r="W114" s="46">
        <f>-174</f>
        <v>-174</v>
      </c>
      <c r="X114" s="46"/>
      <c r="Y114" s="46">
        <f t="shared" si="23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4077.12</v>
      </c>
      <c r="E115" s="46">
        <f>5+241.2</f>
        <v>246.2</v>
      </c>
      <c r="F115" s="46"/>
      <c r="G115" s="50"/>
      <c r="H115" s="46">
        <f t="shared" si="24"/>
        <v>4323.32</v>
      </c>
      <c r="I115" s="46"/>
      <c r="J115" s="46"/>
      <c r="K115" s="46">
        <f t="shared" si="21"/>
        <v>0</v>
      </c>
      <c r="L115" s="46">
        <v>170.42</v>
      </c>
      <c r="M115" s="46"/>
      <c r="N115" s="46">
        <f t="shared" si="25"/>
        <v>170.42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2"/>
        <v>0</v>
      </c>
      <c r="V115" s="46"/>
      <c r="W115" s="46"/>
      <c r="X115" s="46"/>
      <c r="Y115" s="46">
        <f t="shared" si="23"/>
        <v>0</v>
      </c>
    </row>
    <row r="116" spans="1:25" ht="12.75">
      <c r="A116" s="36">
        <v>3127</v>
      </c>
      <c r="B116" s="4">
        <v>400</v>
      </c>
      <c r="C116" s="37" t="s">
        <v>119</v>
      </c>
      <c r="D116" s="46">
        <v>3614.46</v>
      </c>
      <c r="E116" s="46">
        <f>5+43.9</f>
        <v>48.9</v>
      </c>
      <c r="F116" s="46"/>
      <c r="G116" s="50"/>
      <c r="H116" s="46">
        <f t="shared" si="24"/>
        <v>3663.36</v>
      </c>
      <c r="I116" s="46"/>
      <c r="J116" s="46"/>
      <c r="K116" s="46">
        <f t="shared" si="21"/>
        <v>0</v>
      </c>
      <c r="L116" s="46">
        <v>444.55</v>
      </c>
      <c r="M116" s="46"/>
      <c r="N116" s="46">
        <f t="shared" si="25"/>
        <v>444.55</v>
      </c>
      <c r="O116" s="65">
        <v>3127</v>
      </c>
      <c r="P116" s="4">
        <v>400</v>
      </c>
      <c r="Q116" s="37" t="s">
        <v>119</v>
      </c>
      <c r="R116" s="46"/>
      <c r="S116" s="46"/>
      <c r="T116" s="46"/>
      <c r="U116" s="46">
        <f t="shared" si="22"/>
        <v>0</v>
      </c>
      <c r="V116" s="46">
        <v>1602</v>
      </c>
      <c r="W116" s="50"/>
      <c r="X116" s="50"/>
      <c r="Y116" s="46">
        <f t="shared" si="23"/>
        <v>1602</v>
      </c>
    </row>
    <row r="117" spans="1:25" ht="12.75">
      <c r="A117" s="36">
        <v>3124</v>
      </c>
      <c r="B117" s="4">
        <v>401</v>
      </c>
      <c r="C117" s="67" t="s">
        <v>176</v>
      </c>
      <c r="D117" s="46">
        <v>3291.67</v>
      </c>
      <c r="E117" s="50">
        <f>7.6+5</f>
        <v>12.6</v>
      </c>
      <c r="F117" s="46"/>
      <c r="G117" s="50"/>
      <c r="H117" s="46">
        <f t="shared" si="24"/>
        <v>3304.27</v>
      </c>
      <c r="I117" s="46"/>
      <c r="J117" s="46"/>
      <c r="K117" s="46">
        <f t="shared" si="21"/>
        <v>0</v>
      </c>
      <c r="L117" s="46">
        <v>155.65</v>
      </c>
      <c r="M117" s="46"/>
      <c r="N117" s="46">
        <f t="shared" si="25"/>
        <v>155.65</v>
      </c>
      <c r="O117" s="65">
        <v>3124</v>
      </c>
      <c r="P117" s="4">
        <v>401</v>
      </c>
      <c r="Q117" s="67" t="s">
        <v>176</v>
      </c>
      <c r="R117" s="46"/>
      <c r="S117" s="46"/>
      <c r="T117" s="46"/>
      <c r="U117" s="46">
        <f t="shared" si="22"/>
        <v>0</v>
      </c>
      <c r="V117" s="46"/>
      <c r="W117" s="46"/>
      <c r="X117" s="46"/>
      <c r="Y117" s="46">
        <f t="shared" si="23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2264.5</v>
      </c>
      <c r="E118" s="46">
        <f>5</f>
        <v>5</v>
      </c>
      <c r="F118" s="46"/>
      <c r="G118" s="50"/>
      <c r="H118" s="46">
        <f t="shared" si="24"/>
        <v>2269.5</v>
      </c>
      <c r="I118" s="46"/>
      <c r="J118" s="46"/>
      <c r="K118" s="46">
        <f t="shared" si="21"/>
        <v>0</v>
      </c>
      <c r="L118" s="46">
        <v>25.2</v>
      </c>
      <c r="M118" s="46"/>
      <c r="N118" s="46">
        <f t="shared" si="25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2"/>
        <v>0</v>
      </c>
      <c r="V118" s="46"/>
      <c r="W118" s="46"/>
      <c r="X118" s="46"/>
      <c r="Y118" s="46">
        <f t="shared" si="23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6202.25</v>
      </c>
      <c r="E119" s="46">
        <f>5+150</f>
        <v>155</v>
      </c>
      <c r="F119" s="46"/>
      <c r="G119" s="50"/>
      <c r="H119" s="46">
        <f t="shared" si="24"/>
        <v>6357.25</v>
      </c>
      <c r="I119" s="46"/>
      <c r="J119" s="46"/>
      <c r="K119" s="46">
        <f t="shared" si="21"/>
        <v>0</v>
      </c>
      <c r="L119" s="46">
        <v>1105.73</v>
      </c>
      <c r="M119" s="46"/>
      <c r="N119" s="46">
        <f t="shared" si="25"/>
        <v>1105.73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2"/>
        <v>2324</v>
      </c>
      <c r="V119" s="46"/>
      <c r="W119" s="46"/>
      <c r="X119" s="46"/>
      <c r="Y119" s="46">
        <f t="shared" si="23"/>
        <v>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2664.25</v>
      </c>
      <c r="E120" s="46">
        <f>5+8.4</f>
        <v>13.4</v>
      </c>
      <c r="F120" s="46"/>
      <c r="G120" s="50"/>
      <c r="H120" s="46">
        <f t="shared" si="24"/>
        <v>2677.65</v>
      </c>
      <c r="I120" s="46"/>
      <c r="J120" s="46"/>
      <c r="K120" s="46">
        <f t="shared" si="21"/>
        <v>0</v>
      </c>
      <c r="L120" s="46">
        <v>641.82</v>
      </c>
      <c r="M120" s="46"/>
      <c r="N120" s="46">
        <f t="shared" si="25"/>
        <v>641.82</v>
      </c>
      <c r="O120" s="65">
        <v>3127</v>
      </c>
      <c r="P120" s="4">
        <v>411</v>
      </c>
      <c r="Q120" s="11" t="s">
        <v>17</v>
      </c>
      <c r="R120" s="46">
        <v>8000</v>
      </c>
      <c r="S120" s="46"/>
      <c r="T120" s="46"/>
      <c r="U120" s="46">
        <f t="shared" si="22"/>
        <v>8000</v>
      </c>
      <c r="V120" s="46"/>
      <c r="W120" s="46"/>
      <c r="X120" s="46"/>
      <c r="Y120" s="46">
        <f t="shared" si="23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3759.95</v>
      </c>
      <c r="E121" s="46">
        <f>5+450</f>
        <v>455</v>
      </c>
      <c r="F121" s="46"/>
      <c r="G121" s="50"/>
      <c r="H121" s="46">
        <f t="shared" si="24"/>
        <v>4214.95</v>
      </c>
      <c r="I121" s="46"/>
      <c r="J121" s="46"/>
      <c r="K121" s="46">
        <f t="shared" si="21"/>
        <v>0</v>
      </c>
      <c r="L121" s="46">
        <v>25.77</v>
      </c>
      <c r="M121" s="46"/>
      <c r="N121" s="46">
        <f t="shared" si="25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2"/>
        <v>0</v>
      </c>
      <c r="V121" s="46"/>
      <c r="W121" s="46"/>
      <c r="X121" s="46"/>
      <c r="Y121" s="46">
        <f t="shared" si="23"/>
        <v>0</v>
      </c>
    </row>
    <row r="122" spans="1:25" ht="12.75">
      <c r="A122" s="36">
        <v>3122</v>
      </c>
      <c r="B122" s="4">
        <v>414</v>
      </c>
      <c r="C122" s="13" t="s">
        <v>120</v>
      </c>
      <c r="D122" s="46">
        <v>1603</v>
      </c>
      <c r="E122" s="46">
        <f>5</f>
        <v>5</v>
      </c>
      <c r="F122" s="46"/>
      <c r="G122" s="50"/>
      <c r="H122" s="46">
        <f t="shared" si="24"/>
        <v>1608</v>
      </c>
      <c r="I122" s="46"/>
      <c r="J122" s="46"/>
      <c r="K122" s="46">
        <f t="shared" si="21"/>
        <v>0</v>
      </c>
      <c r="L122" s="46">
        <v>161.1</v>
      </c>
      <c r="M122" s="46"/>
      <c r="N122" s="46">
        <f t="shared" si="25"/>
        <v>161.1</v>
      </c>
      <c r="O122" s="65">
        <v>3122</v>
      </c>
      <c r="P122" s="4">
        <v>414</v>
      </c>
      <c r="Q122" s="13" t="s">
        <v>120</v>
      </c>
      <c r="R122" s="46"/>
      <c r="S122" s="46"/>
      <c r="T122" s="46"/>
      <c r="U122" s="46">
        <f t="shared" si="22"/>
        <v>0</v>
      </c>
      <c r="V122" s="46"/>
      <c r="W122" s="46"/>
      <c r="X122" s="46"/>
      <c r="Y122" s="46">
        <f t="shared" si="23"/>
        <v>0</v>
      </c>
    </row>
    <row r="123" spans="1:25" ht="12.75">
      <c r="A123" s="36">
        <v>3122</v>
      </c>
      <c r="B123" s="4">
        <v>415</v>
      </c>
      <c r="C123" s="13" t="s">
        <v>199</v>
      </c>
      <c r="D123" s="46">
        <v>2904.62</v>
      </c>
      <c r="E123" s="50">
        <f>-45.3+5</f>
        <v>-40.3</v>
      </c>
      <c r="F123" s="46"/>
      <c r="G123" s="50"/>
      <c r="H123" s="46">
        <f t="shared" si="24"/>
        <v>2864.3199999999997</v>
      </c>
      <c r="I123" s="46"/>
      <c r="J123" s="46">
        <f>65</f>
        <v>65</v>
      </c>
      <c r="K123" s="46">
        <f t="shared" si="21"/>
        <v>65</v>
      </c>
      <c r="L123" s="46">
        <v>374.38</v>
      </c>
      <c r="M123" s="46"/>
      <c r="N123" s="46">
        <f t="shared" si="25"/>
        <v>374.38</v>
      </c>
      <c r="O123" s="65">
        <v>3122</v>
      </c>
      <c r="P123" s="4">
        <v>415</v>
      </c>
      <c r="Q123" s="11" t="s">
        <v>85</v>
      </c>
      <c r="R123" s="46">
        <v>500</v>
      </c>
      <c r="S123" s="46">
        <f>1500</f>
        <v>1500</v>
      </c>
      <c r="T123" s="46"/>
      <c r="U123" s="46">
        <f t="shared" si="22"/>
        <v>2000</v>
      </c>
      <c r="V123" s="46"/>
      <c r="W123" s="46"/>
      <c r="X123" s="46"/>
      <c r="Y123" s="46">
        <f t="shared" si="23"/>
        <v>0</v>
      </c>
    </row>
    <row r="124" spans="1:25" ht="12.75">
      <c r="A124" s="36">
        <v>3127</v>
      </c>
      <c r="B124" s="4">
        <v>416</v>
      </c>
      <c r="C124" s="37" t="s">
        <v>103</v>
      </c>
      <c r="D124" s="46">
        <v>12052.56</v>
      </c>
      <c r="E124" s="46">
        <f>5+255</f>
        <v>260</v>
      </c>
      <c r="F124" s="46"/>
      <c r="G124" s="50"/>
      <c r="H124" s="46">
        <f t="shared" si="24"/>
        <v>12312.56</v>
      </c>
      <c r="I124" s="46"/>
      <c r="J124" s="46"/>
      <c r="K124" s="46">
        <f aca="true" t="shared" si="26" ref="K124:K145">I124+J124</f>
        <v>0</v>
      </c>
      <c r="L124" s="46">
        <v>2116.22</v>
      </c>
      <c r="M124" s="46"/>
      <c r="N124" s="46">
        <f t="shared" si="25"/>
        <v>2116.22</v>
      </c>
      <c r="O124" s="65">
        <v>3127</v>
      </c>
      <c r="P124" s="4">
        <v>416</v>
      </c>
      <c r="Q124" s="37" t="s">
        <v>103</v>
      </c>
      <c r="R124" s="46"/>
      <c r="S124" s="46"/>
      <c r="T124" s="46"/>
      <c r="U124" s="46">
        <f aca="true" t="shared" si="27" ref="U124:U145">SUM(R124:T124)</f>
        <v>0</v>
      </c>
      <c r="V124" s="46"/>
      <c r="W124" s="46"/>
      <c r="X124" s="46"/>
      <c r="Y124" s="46">
        <f aca="true" t="shared" si="28" ref="Y124:Y145">SUM(V124:X124)</f>
        <v>0</v>
      </c>
    </row>
    <row r="125" spans="1:25" ht="12.75">
      <c r="A125" s="36">
        <v>3127</v>
      </c>
      <c r="B125" s="4">
        <v>418</v>
      </c>
      <c r="C125" s="13" t="s">
        <v>131</v>
      </c>
      <c r="D125" s="46">
        <v>6450.61</v>
      </c>
      <c r="E125" s="46">
        <f>5+495+20</f>
        <v>520</v>
      </c>
      <c r="F125" s="46"/>
      <c r="G125" s="50"/>
      <c r="H125" s="46">
        <f aca="true" t="shared" si="29" ref="H125:H145">D125+E125+F125+G125</f>
        <v>6970.61</v>
      </c>
      <c r="I125" s="46"/>
      <c r="J125" s="57"/>
      <c r="K125" s="46">
        <f t="shared" si="26"/>
        <v>0</v>
      </c>
      <c r="L125" s="46">
        <v>428.09999999999997</v>
      </c>
      <c r="M125" s="46"/>
      <c r="N125" s="46">
        <f aca="true" t="shared" si="30" ref="N125:N145">L125+M125</f>
        <v>428.09999999999997</v>
      </c>
      <c r="O125" s="65">
        <v>3127</v>
      </c>
      <c r="P125" s="4">
        <v>418</v>
      </c>
      <c r="Q125" s="13" t="s">
        <v>131</v>
      </c>
      <c r="R125" s="46"/>
      <c r="S125" s="46"/>
      <c r="T125" s="46"/>
      <c r="U125" s="46">
        <f t="shared" si="27"/>
        <v>0</v>
      </c>
      <c r="V125" s="46">
        <v>2500</v>
      </c>
      <c r="W125" s="50">
        <f>350</f>
        <v>350</v>
      </c>
      <c r="X125" s="50"/>
      <c r="Y125" s="46">
        <f t="shared" si="28"/>
        <v>2850</v>
      </c>
    </row>
    <row r="126" spans="1:25" ht="12.75">
      <c r="A126" s="36">
        <v>3127</v>
      </c>
      <c r="B126" s="4">
        <v>419</v>
      </c>
      <c r="C126" s="37" t="s">
        <v>200</v>
      </c>
      <c r="D126" s="46">
        <v>7842.29</v>
      </c>
      <c r="E126" s="46">
        <f>5+710.7</f>
        <v>715.7</v>
      </c>
      <c r="F126" s="46"/>
      <c r="G126" s="50"/>
      <c r="H126" s="46">
        <f t="shared" si="29"/>
        <v>8557.99</v>
      </c>
      <c r="I126" s="46"/>
      <c r="J126" s="46"/>
      <c r="K126" s="46">
        <f t="shared" si="26"/>
        <v>0</v>
      </c>
      <c r="L126" s="46">
        <v>1072.7</v>
      </c>
      <c r="M126" s="46"/>
      <c r="N126" s="46">
        <f t="shared" si="30"/>
        <v>1072.7</v>
      </c>
      <c r="O126" s="65">
        <v>3127</v>
      </c>
      <c r="P126" s="4">
        <v>419</v>
      </c>
      <c r="Q126" s="11" t="s">
        <v>67</v>
      </c>
      <c r="R126" s="46">
        <v>2779</v>
      </c>
      <c r="S126" s="50">
        <f>200</f>
        <v>200</v>
      </c>
      <c r="T126" s="50"/>
      <c r="U126" s="46">
        <f t="shared" si="27"/>
        <v>2979</v>
      </c>
      <c r="V126" s="46">
        <v>2096</v>
      </c>
      <c r="W126" s="46">
        <f>400</f>
        <v>400</v>
      </c>
      <c r="X126" s="46"/>
      <c r="Y126" s="46">
        <f t="shared" si="28"/>
        <v>2496</v>
      </c>
    </row>
    <row r="127" spans="1:25" ht="12.75">
      <c r="A127" s="36">
        <v>3123</v>
      </c>
      <c r="B127" s="4">
        <v>420</v>
      </c>
      <c r="C127" s="11" t="s">
        <v>14</v>
      </c>
      <c r="D127" s="46">
        <v>1992.51</v>
      </c>
      <c r="E127" s="46">
        <f>5+389.1+6</f>
        <v>400.1</v>
      </c>
      <c r="F127" s="46"/>
      <c r="G127" s="50"/>
      <c r="H127" s="46">
        <f t="shared" si="29"/>
        <v>2392.61</v>
      </c>
      <c r="I127" s="46"/>
      <c r="J127" s="46"/>
      <c r="K127" s="46">
        <f t="shared" si="26"/>
        <v>0</v>
      </c>
      <c r="L127" s="46">
        <v>97.36</v>
      </c>
      <c r="M127" s="46"/>
      <c r="N127" s="46">
        <f t="shared" si="30"/>
        <v>97.36</v>
      </c>
      <c r="O127" s="65">
        <v>3123</v>
      </c>
      <c r="P127" s="4">
        <v>420</v>
      </c>
      <c r="Q127" s="11" t="s">
        <v>14</v>
      </c>
      <c r="R127" s="46"/>
      <c r="S127" s="46">
        <f>500</f>
        <v>500</v>
      </c>
      <c r="T127" s="46"/>
      <c r="U127" s="46">
        <f t="shared" si="27"/>
        <v>500</v>
      </c>
      <c r="V127" s="46"/>
      <c r="W127" s="46">
        <f>300</f>
        <v>300</v>
      </c>
      <c r="X127" s="46"/>
      <c r="Y127" s="46">
        <f t="shared" si="28"/>
        <v>300</v>
      </c>
    </row>
    <row r="128" spans="1:25" ht="12.75">
      <c r="A128" s="36">
        <v>3127</v>
      </c>
      <c r="B128" s="4">
        <v>422</v>
      </c>
      <c r="C128" s="67" t="s">
        <v>170</v>
      </c>
      <c r="D128" s="46">
        <v>6414.31</v>
      </c>
      <c r="E128" s="46">
        <f>5+110.2</f>
        <v>115.2</v>
      </c>
      <c r="F128" s="46"/>
      <c r="G128" s="50"/>
      <c r="H128" s="46">
        <f t="shared" si="29"/>
        <v>6529.51</v>
      </c>
      <c r="I128" s="46"/>
      <c r="J128" s="46"/>
      <c r="K128" s="46">
        <f t="shared" si="26"/>
        <v>0</v>
      </c>
      <c r="L128" s="46">
        <v>656.9599999999999</v>
      </c>
      <c r="M128" s="46"/>
      <c r="N128" s="46">
        <f t="shared" si="30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7"/>
        <v>0</v>
      </c>
      <c r="V128" s="46">
        <v>1700</v>
      </c>
      <c r="W128" s="46">
        <f>400</f>
        <v>400</v>
      </c>
      <c r="X128" s="46"/>
      <c r="Y128" s="46">
        <f t="shared" si="28"/>
        <v>2100</v>
      </c>
    </row>
    <row r="129" spans="1:25" ht="12.75">
      <c r="A129" s="36">
        <v>3124</v>
      </c>
      <c r="B129" s="4">
        <v>423</v>
      </c>
      <c r="C129" s="37" t="s">
        <v>177</v>
      </c>
      <c r="D129" s="46">
        <v>3937.8</v>
      </c>
      <c r="E129" s="46">
        <f>45.2</f>
        <v>45.2</v>
      </c>
      <c r="F129" s="46"/>
      <c r="G129" s="50"/>
      <c r="H129" s="46">
        <f t="shared" si="29"/>
        <v>3983</v>
      </c>
      <c r="I129" s="46"/>
      <c r="J129" s="46"/>
      <c r="K129" s="46">
        <f t="shared" si="26"/>
        <v>0</v>
      </c>
      <c r="L129" s="46">
        <v>436.38</v>
      </c>
      <c r="M129" s="46"/>
      <c r="N129" s="46">
        <f t="shared" si="30"/>
        <v>436.38</v>
      </c>
      <c r="O129" s="65">
        <v>3124</v>
      </c>
      <c r="P129" s="4">
        <v>423</v>
      </c>
      <c r="Q129" s="37" t="s">
        <v>177</v>
      </c>
      <c r="R129" s="46"/>
      <c r="S129" s="46"/>
      <c r="T129" s="46"/>
      <c r="U129" s="46">
        <f t="shared" si="27"/>
        <v>0</v>
      </c>
      <c r="V129" s="46">
        <v>735.77</v>
      </c>
      <c r="W129" s="46"/>
      <c r="X129" s="46"/>
      <c r="Y129" s="46">
        <f t="shared" si="28"/>
        <v>735.77</v>
      </c>
    </row>
    <row r="130" spans="1:25" ht="12.75">
      <c r="A130" s="36">
        <v>3112</v>
      </c>
      <c r="B130" s="4">
        <v>425</v>
      </c>
      <c r="C130" s="37" t="s">
        <v>178</v>
      </c>
      <c r="D130" s="46">
        <v>1275.3</v>
      </c>
      <c r="E130" s="46">
        <f>5</f>
        <v>5</v>
      </c>
      <c r="F130" s="46"/>
      <c r="G130" s="50"/>
      <c r="H130" s="46">
        <f t="shared" si="29"/>
        <v>1280.3</v>
      </c>
      <c r="I130" s="46"/>
      <c r="J130" s="46"/>
      <c r="K130" s="46">
        <f t="shared" si="26"/>
        <v>0</v>
      </c>
      <c r="L130" s="46">
        <v>50.129999999999995</v>
      </c>
      <c r="M130" s="46"/>
      <c r="N130" s="46">
        <f t="shared" si="30"/>
        <v>50.129999999999995</v>
      </c>
      <c r="O130" s="65">
        <v>3112</v>
      </c>
      <c r="P130" s="4">
        <v>425</v>
      </c>
      <c r="Q130" s="37" t="s">
        <v>178</v>
      </c>
      <c r="R130" s="46"/>
      <c r="S130" s="46"/>
      <c r="T130" s="46"/>
      <c r="U130" s="46">
        <f t="shared" si="27"/>
        <v>0</v>
      </c>
      <c r="V130" s="46"/>
      <c r="W130" s="46"/>
      <c r="X130" s="46"/>
      <c r="Y130" s="46">
        <f t="shared" si="28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810.1700000000001</v>
      </c>
      <c r="E131" s="46">
        <f>5</f>
        <v>5</v>
      </c>
      <c r="F131" s="46"/>
      <c r="G131" s="50"/>
      <c r="H131" s="46">
        <f t="shared" si="29"/>
        <v>815.1700000000001</v>
      </c>
      <c r="I131" s="46"/>
      <c r="J131" s="46"/>
      <c r="K131" s="46">
        <f t="shared" si="26"/>
        <v>0</v>
      </c>
      <c r="L131" s="46">
        <v>1.2600000000000016</v>
      </c>
      <c r="M131" s="46"/>
      <c r="N131" s="46">
        <f t="shared" si="30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7"/>
        <v>0</v>
      </c>
      <c r="V131" s="46"/>
      <c r="W131" s="46"/>
      <c r="X131" s="46"/>
      <c r="Y131" s="46">
        <f t="shared" si="28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9"/>
        <v>2403.68</v>
      </c>
      <c r="I132" s="46"/>
      <c r="J132" s="46"/>
      <c r="K132" s="46">
        <f t="shared" si="26"/>
        <v>0</v>
      </c>
      <c r="L132" s="46">
        <v>72.21</v>
      </c>
      <c r="M132" s="46"/>
      <c r="N132" s="46">
        <f t="shared" si="30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7"/>
        <v>0</v>
      </c>
      <c r="V132" s="46"/>
      <c r="W132" s="46"/>
      <c r="X132" s="46"/>
      <c r="Y132" s="46">
        <f t="shared" si="28"/>
        <v>0</v>
      </c>
    </row>
    <row r="133" spans="1:25" ht="12.75" customHeight="1">
      <c r="A133" s="36">
        <v>3133</v>
      </c>
      <c r="B133" s="4">
        <v>428</v>
      </c>
      <c r="C133" s="37" t="s">
        <v>157</v>
      </c>
      <c r="D133" s="46">
        <v>2989.6299999999997</v>
      </c>
      <c r="E133" s="46">
        <f>5+5</f>
        <v>10</v>
      </c>
      <c r="F133" s="46"/>
      <c r="G133" s="50"/>
      <c r="H133" s="46">
        <f t="shared" si="29"/>
        <v>2999.6299999999997</v>
      </c>
      <c r="I133" s="46"/>
      <c r="J133" s="46"/>
      <c r="K133" s="46">
        <f t="shared" si="26"/>
        <v>0</v>
      </c>
      <c r="L133" s="46">
        <v>271.29</v>
      </c>
      <c r="M133" s="46"/>
      <c r="N133" s="46">
        <f t="shared" si="30"/>
        <v>271.29</v>
      </c>
      <c r="O133" s="65">
        <v>3133</v>
      </c>
      <c r="P133" s="4">
        <v>428</v>
      </c>
      <c r="Q133" s="37" t="s">
        <v>147</v>
      </c>
      <c r="R133" s="46"/>
      <c r="S133" s="46">
        <f>350</f>
        <v>350</v>
      </c>
      <c r="T133" s="46"/>
      <c r="U133" s="46">
        <f t="shared" si="27"/>
        <v>350</v>
      </c>
      <c r="V133" s="46"/>
      <c r="W133" s="46"/>
      <c r="X133" s="46"/>
      <c r="Y133" s="46">
        <f t="shared" si="28"/>
        <v>0</v>
      </c>
    </row>
    <row r="134" spans="1:25" ht="25.5">
      <c r="A134" s="36">
        <v>3114</v>
      </c>
      <c r="B134" s="4">
        <v>431</v>
      </c>
      <c r="C134" s="67" t="s">
        <v>201</v>
      </c>
      <c r="D134" s="46">
        <v>1514.0400000000002</v>
      </c>
      <c r="E134" s="46">
        <f>40</f>
        <v>40</v>
      </c>
      <c r="F134" s="46"/>
      <c r="G134" s="50"/>
      <c r="H134" s="46">
        <f t="shared" si="29"/>
        <v>1554.0400000000002</v>
      </c>
      <c r="I134" s="46"/>
      <c r="J134" s="46"/>
      <c r="K134" s="46">
        <f t="shared" si="26"/>
        <v>0</v>
      </c>
      <c r="L134" s="46">
        <v>142.32999999999998</v>
      </c>
      <c r="M134" s="46"/>
      <c r="N134" s="46">
        <f t="shared" si="30"/>
        <v>142.32999999999998</v>
      </c>
      <c r="O134" s="65">
        <v>3114</v>
      </c>
      <c r="P134" s="4">
        <v>431</v>
      </c>
      <c r="Q134" s="37" t="s">
        <v>121</v>
      </c>
      <c r="R134" s="46"/>
      <c r="S134" s="46"/>
      <c r="T134" s="46"/>
      <c r="U134" s="46">
        <f t="shared" si="27"/>
        <v>0</v>
      </c>
      <c r="V134" s="46"/>
      <c r="W134" s="46"/>
      <c r="X134" s="46"/>
      <c r="Y134" s="46">
        <f t="shared" si="28"/>
        <v>0</v>
      </c>
    </row>
    <row r="135" spans="1:25" ht="12.75">
      <c r="A135" s="36">
        <v>3114</v>
      </c>
      <c r="B135" s="4">
        <v>432</v>
      </c>
      <c r="C135" s="37" t="s">
        <v>148</v>
      </c>
      <c r="D135" s="46">
        <v>2433</v>
      </c>
      <c r="E135" s="46">
        <f>5</f>
        <v>5</v>
      </c>
      <c r="F135" s="46"/>
      <c r="G135" s="50"/>
      <c r="H135" s="46">
        <f t="shared" si="29"/>
        <v>2438</v>
      </c>
      <c r="I135" s="46"/>
      <c r="J135" s="46"/>
      <c r="K135" s="46">
        <f t="shared" si="26"/>
        <v>0</v>
      </c>
      <c r="L135" s="46">
        <v>11.1</v>
      </c>
      <c r="M135" s="46"/>
      <c r="N135" s="46">
        <f t="shared" si="30"/>
        <v>11.1</v>
      </c>
      <c r="O135" s="65">
        <v>3114</v>
      </c>
      <c r="P135" s="4">
        <v>432</v>
      </c>
      <c r="Q135" s="37" t="s">
        <v>148</v>
      </c>
      <c r="R135" s="46"/>
      <c r="S135" s="46"/>
      <c r="T135" s="46"/>
      <c r="U135" s="46">
        <f t="shared" si="27"/>
        <v>0</v>
      </c>
      <c r="V135" s="46"/>
      <c r="W135" s="46"/>
      <c r="X135" s="46"/>
      <c r="Y135" s="46">
        <f t="shared" si="28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564.1</v>
      </c>
      <c r="E136" s="46">
        <f>5+12</f>
        <v>17</v>
      </c>
      <c r="F136" s="46"/>
      <c r="G136" s="50"/>
      <c r="H136" s="46">
        <f t="shared" si="29"/>
        <v>581.1</v>
      </c>
      <c r="I136" s="46"/>
      <c r="J136" s="46"/>
      <c r="K136" s="46">
        <f t="shared" si="26"/>
        <v>0</v>
      </c>
      <c r="L136" s="46">
        <v>0</v>
      </c>
      <c r="M136" s="46"/>
      <c r="N136" s="46">
        <f t="shared" si="30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7"/>
        <v>0</v>
      </c>
      <c r="V136" s="46"/>
      <c r="W136" s="46"/>
      <c r="X136" s="46"/>
      <c r="Y136" s="46">
        <f t="shared" si="28"/>
        <v>0</v>
      </c>
    </row>
    <row r="137" spans="1:25" ht="12.75">
      <c r="A137" s="36">
        <v>3114</v>
      </c>
      <c r="B137" s="4">
        <v>436</v>
      </c>
      <c r="C137" s="37" t="s">
        <v>101</v>
      </c>
      <c r="D137" s="46">
        <v>2068.7</v>
      </c>
      <c r="E137" s="46"/>
      <c r="F137" s="46"/>
      <c r="G137" s="50"/>
      <c r="H137" s="46">
        <f t="shared" si="29"/>
        <v>2068.7</v>
      </c>
      <c r="I137" s="46"/>
      <c r="J137" s="46"/>
      <c r="K137" s="46">
        <f t="shared" si="26"/>
        <v>0</v>
      </c>
      <c r="L137" s="46">
        <v>65.3</v>
      </c>
      <c r="M137" s="46"/>
      <c r="N137" s="46">
        <f t="shared" si="30"/>
        <v>65.3</v>
      </c>
      <c r="O137" s="65">
        <v>3114</v>
      </c>
      <c r="P137" s="4">
        <v>436</v>
      </c>
      <c r="Q137" s="37" t="s">
        <v>101</v>
      </c>
      <c r="R137" s="46"/>
      <c r="S137" s="46"/>
      <c r="T137" s="46"/>
      <c r="U137" s="46">
        <f t="shared" si="27"/>
        <v>0</v>
      </c>
      <c r="V137" s="46"/>
      <c r="W137" s="46"/>
      <c r="X137" s="46"/>
      <c r="Y137" s="46">
        <f t="shared" si="28"/>
        <v>0</v>
      </c>
    </row>
    <row r="138" spans="1:25" ht="12.75">
      <c r="A138" s="36">
        <v>3127</v>
      </c>
      <c r="B138" s="4">
        <v>445</v>
      </c>
      <c r="C138" s="71" t="s">
        <v>202</v>
      </c>
      <c r="D138" s="46">
        <v>8414.72</v>
      </c>
      <c r="E138" s="46">
        <f>5+874.4+6</f>
        <v>885.4</v>
      </c>
      <c r="F138" s="46"/>
      <c r="G138" s="50"/>
      <c r="H138" s="46">
        <f t="shared" si="29"/>
        <v>9300.119999999999</v>
      </c>
      <c r="I138" s="46">
        <v>379.25</v>
      </c>
      <c r="J138" s="46"/>
      <c r="K138" s="46">
        <f t="shared" si="26"/>
        <v>379.25</v>
      </c>
      <c r="L138" s="46">
        <v>1110.3500000000001</v>
      </c>
      <c r="M138" s="46"/>
      <c r="N138" s="46">
        <f t="shared" si="30"/>
        <v>1110.3500000000001</v>
      </c>
      <c r="O138" s="65">
        <v>3127</v>
      </c>
      <c r="P138" s="4">
        <v>445</v>
      </c>
      <c r="Q138" s="40" t="s">
        <v>87</v>
      </c>
      <c r="R138" s="46">
        <v>500</v>
      </c>
      <c r="S138" s="46">
        <f>1916.75</f>
        <v>1916.75</v>
      </c>
      <c r="T138" s="46"/>
      <c r="U138" s="46">
        <f t="shared" si="27"/>
        <v>2416.75</v>
      </c>
      <c r="V138" s="46"/>
      <c r="W138" s="46"/>
      <c r="X138" s="46"/>
      <c r="Y138" s="46">
        <f t="shared" si="28"/>
        <v>0</v>
      </c>
    </row>
    <row r="139" spans="1:25" ht="12.75">
      <c r="A139" s="36">
        <v>3127</v>
      </c>
      <c r="B139" s="4">
        <v>446</v>
      </c>
      <c r="C139" s="74" t="s">
        <v>162</v>
      </c>
      <c r="D139" s="46">
        <v>1944</v>
      </c>
      <c r="E139" s="46">
        <f>5+8.3</f>
        <v>13.3</v>
      </c>
      <c r="F139" s="46"/>
      <c r="G139" s="50"/>
      <c r="H139" s="46">
        <f t="shared" si="29"/>
        <v>1957.3</v>
      </c>
      <c r="I139" s="46"/>
      <c r="J139" s="46"/>
      <c r="K139" s="46">
        <f t="shared" si="26"/>
        <v>0</v>
      </c>
      <c r="L139" s="46">
        <v>259.8</v>
      </c>
      <c r="M139" s="46"/>
      <c r="N139" s="46">
        <f t="shared" si="30"/>
        <v>259.8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7"/>
        <v>0</v>
      </c>
      <c r="V139" s="46"/>
      <c r="W139" s="46"/>
      <c r="X139" s="46"/>
      <c r="Y139" s="46">
        <f t="shared" si="28"/>
        <v>0</v>
      </c>
    </row>
    <row r="140" spans="1:25" ht="12.75">
      <c r="A140" s="36">
        <v>3127</v>
      </c>
      <c r="B140" s="4">
        <v>447</v>
      </c>
      <c r="C140" s="40" t="s">
        <v>171</v>
      </c>
      <c r="D140" s="46">
        <v>3529.12</v>
      </c>
      <c r="E140" s="46">
        <f>5+243.2</f>
        <v>248.2</v>
      </c>
      <c r="F140" s="46"/>
      <c r="G140" s="46"/>
      <c r="H140" s="46">
        <f t="shared" si="29"/>
        <v>3777.3199999999997</v>
      </c>
      <c r="I140" s="46"/>
      <c r="J140" s="46"/>
      <c r="K140" s="46">
        <f t="shared" si="26"/>
        <v>0</v>
      </c>
      <c r="L140" s="46">
        <v>468.03000000000003</v>
      </c>
      <c r="M140" s="46"/>
      <c r="N140" s="46">
        <f t="shared" si="30"/>
        <v>468.03000000000003</v>
      </c>
      <c r="O140" s="65">
        <v>3127</v>
      </c>
      <c r="P140" s="4">
        <v>447</v>
      </c>
      <c r="Q140" s="12" t="s">
        <v>72</v>
      </c>
      <c r="R140" s="46">
        <v>4350</v>
      </c>
      <c r="S140" s="73">
        <f>-4200+3850</f>
        <v>-350</v>
      </c>
      <c r="T140" s="46"/>
      <c r="U140" s="46">
        <f t="shared" si="27"/>
        <v>4000</v>
      </c>
      <c r="V140" s="46">
        <v>451</v>
      </c>
      <c r="W140" s="50">
        <f>350</f>
        <v>350</v>
      </c>
      <c r="X140" s="50"/>
      <c r="Y140" s="46">
        <f t="shared" si="28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4024.1</v>
      </c>
      <c r="E141" s="61">
        <f>5+43.3</f>
        <v>48.3</v>
      </c>
      <c r="F141" s="61"/>
      <c r="G141" s="61"/>
      <c r="H141" s="46">
        <f t="shared" si="29"/>
        <v>4072.4</v>
      </c>
      <c r="I141" s="61"/>
      <c r="J141" s="61"/>
      <c r="K141" s="46">
        <f t="shared" si="26"/>
        <v>0</v>
      </c>
      <c r="L141" s="46">
        <v>171.57</v>
      </c>
      <c r="M141" s="61"/>
      <c r="N141" s="46">
        <f t="shared" si="30"/>
        <v>171.57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7"/>
        <v>0</v>
      </c>
      <c r="V141" s="61"/>
      <c r="W141" s="61"/>
      <c r="X141" s="61"/>
      <c r="Y141" s="46">
        <f t="shared" si="28"/>
        <v>0</v>
      </c>
    </row>
    <row r="142" spans="1:25" ht="12.75">
      <c r="A142" s="36">
        <v>3114</v>
      </c>
      <c r="B142" s="4">
        <v>452</v>
      </c>
      <c r="C142" s="40" t="s">
        <v>159</v>
      </c>
      <c r="D142" s="46">
        <v>1737.7</v>
      </c>
      <c r="E142" s="46"/>
      <c r="F142" s="46"/>
      <c r="G142" s="46"/>
      <c r="H142" s="46">
        <f t="shared" si="29"/>
        <v>1737.7</v>
      </c>
      <c r="I142" s="46"/>
      <c r="J142" s="46"/>
      <c r="K142" s="46">
        <f t="shared" si="26"/>
        <v>0</v>
      </c>
      <c r="L142" s="46">
        <v>28.4</v>
      </c>
      <c r="M142" s="46"/>
      <c r="N142" s="46">
        <f t="shared" si="30"/>
        <v>28.4</v>
      </c>
      <c r="O142" s="65">
        <v>3114</v>
      </c>
      <c r="P142" s="4">
        <v>452</v>
      </c>
      <c r="Q142" s="40" t="s">
        <v>159</v>
      </c>
      <c r="R142" s="46"/>
      <c r="S142" s="46"/>
      <c r="T142" s="46"/>
      <c r="U142" s="46">
        <f t="shared" si="27"/>
        <v>0</v>
      </c>
      <c r="V142" s="46"/>
      <c r="W142" s="46"/>
      <c r="X142" s="46"/>
      <c r="Y142" s="46">
        <f t="shared" si="28"/>
        <v>0</v>
      </c>
    </row>
    <row r="143" spans="1:25" ht="12.75">
      <c r="A143" s="36">
        <v>3119</v>
      </c>
      <c r="B143" s="4">
        <v>453</v>
      </c>
      <c r="C143" s="40" t="s">
        <v>132</v>
      </c>
      <c r="D143" s="46">
        <v>660</v>
      </c>
      <c r="E143" s="46"/>
      <c r="F143" s="46"/>
      <c r="G143" s="46"/>
      <c r="H143" s="46">
        <f t="shared" si="29"/>
        <v>660</v>
      </c>
      <c r="I143" s="46"/>
      <c r="J143" s="46"/>
      <c r="K143" s="46">
        <f t="shared" si="26"/>
        <v>0</v>
      </c>
      <c r="L143" s="46">
        <v>0</v>
      </c>
      <c r="M143" s="46"/>
      <c r="N143" s="46">
        <f t="shared" si="30"/>
        <v>0</v>
      </c>
      <c r="O143" s="65">
        <v>3119</v>
      </c>
      <c r="P143" s="4">
        <v>453</v>
      </c>
      <c r="Q143" s="40" t="s">
        <v>132</v>
      </c>
      <c r="R143" s="46"/>
      <c r="S143" s="46"/>
      <c r="T143" s="46"/>
      <c r="U143" s="46">
        <f t="shared" si="27"/>
        <v>0</v>
      </c>
      <c r="V143" s="46"/>
      <c r="W143" s="46"/>
      <c r="X143" s="46"/>
      <c r="Y143" s="46">
        <f t="shared" si="28"/>
        <v>0</v>
      </c>
    </row>
    <row r="144" spans="1:25" ht="12.75">
      <c r="A144" s="36">
        <v>3127</v>
      </c>
      <c r="B144" s="4">
        <v>454</v>
      </c>
      <c r="C144" s="37" t="s">
        <v>172</v>
      </c>
      <c r="D144" s="46">
        <v>12201.92</v>
      </c>
      <c r="E144" s="46">
        <f>5+1002.2</f>
        <v>1007.2</v>
      </c>
      <c r="F144" s="46"/>
      <c r="G144" s="46"/>
      <c r="H144" s="46">
        <f t="shared" si="29"/>
        <v>13209.12</v>
      </c>
      <c r="I144" s="46"/>
      <c r="J144" s="46"/>
      <c r="K144" s="46">
        <f>I144+J144</f>
        <v>0</v>
      </c>
      <c r="L144" s="46">
        <v>2884.79</v>
      </c>
      <c r="M144" s="46"/>
      <c r="N144" s="46">
        <f t="shared" si="30"/>
        <v>2884.79</v>
      </c>
      <c r="O144" s="65">
        <v>3127</v>
      </c>
      <c r="P144" s="4">
        <v>454</v>
      </c>
      <c r="Q144" s="11" t="s">
        <v>90</v>
      </c>
      <c r="R144" s="46">
        <v>862</v>
      </c>
      <c r="S144" s="46"/>
      <c r="T144" s="46"/>
      <c r="U144" s="46">
        <f t="shared" si="27"/>
        <v>862</v>
      </c>
      <c r="V144" s="46">
        <v>6454</v>
      </c>
      <c r="W144" s="46"/>
      <c r="X144" s="46"/>
      <c r="Y144" s="46">
        <f t="shared" si="28"/>
        <v>6454</v>
      </c>
    </row>
    <row r="145" spans="1:25" ht="13.5" thickBot="1">
      <c r="A145" s="80">
        <v>3146</v>
      </c>
      <c r="B145" s="81">
        <v>455</v>
      </c>
      <c r="C145" s="82" t="s">
        <v>158</v>
      </c>
      <c r="D145" s="62">
        <v>5512.1</v>
      </c>
      <c r="E145" s="62">
        <f>5</f>
        <v>5</v>
      </c>
      <c r="F145" s="62"/>
      <c r="G145" s="62"/>
      <c r="H145" s="62">
        <f t="shared" si="29"/>
        <v>5517.1</v>
      </c>
      <c r="I145" s="62"/>
      <c r="J145" s="62"/>
      <c r="K145" s="62">
        <f t="shared" si="26"/>
        <v>0</v>
      </c>
      <c r="L145" s="62">
        <v>195.44</v>
      </c>
      <c r="M145" s="62"/>
      <c r="N145" s="62">
        <f t="shared" si="30"/>
        <v>195.44</v>
      </c>
      <c r="O145" s="83">
        <v>3146</v>
      </c>
      <c r="P145" s="81">
        <v>455</v>
      </c>
      <c r="Q145" s="82" t="s">
        <v>158</v>
      </c>
      <c r="R145" s="62"/>
      <c r="S145" s="62"/>
      <c r="T145" s="62"/>
      <c r="U145" s="62">
        <f t="shared" si="27"/>
        <v>0</v>
      </c>
      <c r="V145" s="62">
        <v>93</v>
      </c>
      <c r="W145" s="62">
        <f>114</f>
        <v>114</v>
      </c>
      <c r="X145" s="62"/>
      <c r="Y145" s="62">
        <f t="shared" si="28"/>
        <v>207</v>
      </c>
    </row>
    <row r="146" spans="4:12" ht="12.75">
      <c r="D146" s="78"/>
      <c r="E146" s="68"/>
      <c r="F146" s="68"/>
      <c r="G146" s="68"/>
      <c r="H146" s="79"/>
      <c r="I146" s="68"/>
      <c r="J146" s="68"/>
      <c r="K146" s="68"/>
      <c r="L146" s="78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ht="12.75">
      <c r="L148" s="70"/>
    </row>
    <row r="149" ht="12.75">
      <c r="L149" s="70"/>
    </row>
  </sheetData>
  <sheetProtection/>
  <mergeCells count="11">
    <mergeCell ref="I4:K4"/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2017-03-29T11:47:01Z</cp:lastPrinted>
  <dcterms:created xsi:type="dcterms:W3CDTF">2002-08-26T10:16:33Z</dcterms:created>
  <dcterms:modified xsi:type="dcterms:W3CDTF">2017-06-30T06:17:42Z</dcterms:modified>
  <cp:category/>
  <cp:version/>
  <cp:contentType/>
  <cp:contentStatus/>
</cp:coreProperties>
</file>