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1"/>
  </bookViews>
  <sheets>
    <sheet name="2. ZR" sheetId="1" r:id="rId1"/>
    <sheet name="2. ZR vč. PN" sheetId="2" r:id="rId2"/>
    <sheet name="List3" sheetId="3" r:id="rId3"/>
  </sheets>
  <definedNames>
    <definedName name="_xlnm.Print_Titles" localSheetId="0">'2. ZR'!$4:$6</definedName>
    <definedName name="_xlnm.Print_Titles" localSheetId="1">'2. ZR vč. PN'!$4:$6</definedName>
    <definedName name="_xlnm.Print_Area" localSheetId="0">'2. ZR'!$A$1:$AC$132</definedName>
    <definedName name="_xlnm.Print_Area" localSheetId="1">'2. ZR vč. PN'!$A$1:$AC$132</definedName>
  </definedNames>
  <calcPr fullCalcOnLoad="1"/>
</workbook>
</file>

<file path=xl/sharedStrings.xml><?xml version="1.0" encoding="utf-8"?>
<sst xmlns="http://schemas.openxmlformats.org/spreadsheetml/2006/main" count="564" uniqueCount="171">
  <si>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</si>
  <si>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</si>
  <si>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</si>
  <si>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</si>
  <si>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</si>
  <si>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</si>
  <si>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</si>
  <si>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</si>
  <si>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</si>
  <si>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</si>
  <si>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</si>
  <si>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</si>
  <si>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</si>
  <si>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</si>
  <si>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</si>
  <si>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</si>
  <si>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</si>
  <si>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</si>
  <si>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</si>
  <si>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</si>
  <si>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</si>
  <si>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</si>
  <si>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</si>
  <si>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</si>
  <si>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</si>
  <si>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</si>
  <si>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</si>
  <si>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</si>
  <si>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</si>
  <si>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</si>
  <si>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</si>
  <si>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</si>
  <si>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</si>
  <si>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</si>
  <si>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</si>
  <si>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</si>
  <si>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</si>
  <si>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</si>
  <si>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</si>
  <si>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</si>
  <si>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</si>
  <si>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</si>
  <si>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</si>
  <si>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</si>
  <si>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</si>
  <si>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</si>
  <si>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</si>
  <si>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</si>
  <si>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</si>
  <si>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</si>
  <si>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</si>
  <si>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</si>
  <si>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</si>
  <si>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</si>
  <si>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</si>
  <si>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</si>
  <si>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</si>
  <si>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</si>
  <si>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</si>
  <si>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</si>
  <si>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</si>
  <si>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</si>
  <si>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</si>
  <si>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</si>
  <si>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</si>
  <si>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</si>
  <si>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</si>
  <si>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</si>
  <si>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</si>
  <si>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</si>
  <si>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</si>
  <si>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</si>
  <si>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</si>
  <si>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</si>
  <si>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</si>
  <si>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</si>
  <si>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</si>
  <si>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</si>
  <si>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</si>
  <si>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</si>
  <si>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</si>
  <si>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</si>
  <si>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</si>
  <si>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</si>
  <si>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</si>
  <si>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</si>
  <si>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</si>
  <si>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</si>
  <si>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</si>
  <si>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</si>
  <si>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</si>
  <si>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</si>
  <si>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</si>
  <si>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</si>
  <si>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</si>
  <si>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</si>
  <si>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</si>
  <si>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</si>
  <si>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</si>
  <si>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</si>
  <si>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</si>
  <si>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</si>
  <si>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</si>
  <si>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</si>
  <si>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</si>
  <si>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</si>
  <si>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</si>
  <si>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</si>
  <si>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</si>
  <si>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</si>
  <si>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</si>
  <si>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</si>
  <si>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</si>
  <si>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</si>
  <si>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</si>
  <si>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</si>
  <si>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</si>
  <si>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</si>
  <si>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</si>
  <si>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</si>
  <si>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</si>
  <si>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</si>
  <si>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</si>
  <si>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</si>
  <si>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</si>
  <si>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</si>
  <si>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</si>
  <si>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</si>
  <si>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</si>
  <si>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</si>
  <si>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</si>
  <si>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</si>
  <si>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</si>
  <si>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</si>
  <si>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</si>
  <si>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</si>
  <si>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</si>
  <si>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Domov sociálních služeb Skřivany</t>
  </si>
  <si>
    <t>Domov důchodců Náchod</t>
  </si>
  <si>
    <t>Domov důchodců Police nad Metují</t>
  </si>
  <si>
    <t>Domov Dolní zámek Teplice nad Metují</t>
  </si>
  <si>
    <t>Domovy na Orlici</t>
  </si>
  <si>
    <t xml:space="preserve">Domov důchodců Dvůr Králové nad Labem     </t>
  </si>
  <si>
    <t xml:space="preserve">DOMOV NA STŘÍBRNÉM VRCHU  Rokytnice v O.h.   </t>
  </si>
  <si>
    <t>SUPŠ sochařská a kamenická, Hořice,Husova 675</t>
  </si>
  <si>
    <t>SPŠ a SOŠ, Dvůr Králové n.L., E.Krásnohorské 2069</t>
  </si>
  <si>
    <t>SŠ hotelnictví, řemesel a gastronomie, Trutnov</t>
  </si>
  <si>
    <t>SPŠ Otty Wichterleho, PO, Hronov</t>
  </si>
  <si>
    <t>Domečky Rychnov nad Kněžnou</t>
  </si>
  <si>
    <t>Královéhradecká krajská centrála cestovního ruchu, p.o.</t>
  </si>
  <si>
    <t xml:space="preserve">Po 1. změně rozpočtu </t>
  </si>
  <si>
    <t xml:space="preserve">Po 1. zm.rozp. neinvest. transfery
</t>
  </si>
  <si>
    <t>Po 1.zm. rozpočtu investiční  transfery</t>
  </si>
  <si>
    <t xml:space="preserve">Sdružení ozdr.a léčeben okr.Trutnov     </t>
  </si>
  <si>
    <t>PrŠ, ZŠ a MŠ Josefa  Zemana,Náchod,Raisova 677</t>
  </si>
  <si>
    <t>VOŠ zdr.,Stř.zdr. škola a OA,Trutnov</t>
  </si>
  <si>
    <t>ZŠ Vrchlabí, Krkonošská 230, přísp.organizace</t>
  </si>
  <si>
    <t>Domov sociální péče Tmavý Důl</t>
  </si>
  <si>
    <t>Centrum podpory uměleckých aktivit, příspěvková organizace</t>
  </si>
  <si>
    <t>v tom:  (v 1.sl. 1 843,0 tis.BV z kap.9)</t>
  </si>
  <si>
    <t>Královéhradecký krajský institut pro vzdělávání a inovace-školské zařízení pro DVPP a středisko služeb školám</t>
  </si>
  <si>
    <t>Závazné ukazatele rozpočtu příspěvkových organizací na rok 2023 z vlastních prostředků kraje</t>
  </si>
  <si>
    <t>CIRI  Hradec Králové     (170tis.BV z kap.02)</t>
  </si>
  <si>
    <t>CIRI  Hradec Králové - kofi a předfi   (1200tis.BV z kap.13; 400tis.BV z kap.39; 1200tis.BV v kap.21)</t>
  </si>
  <si>
    <t xml:space="preserve">Po 2. změně rozpočtu </t>
  </si>
  <si>
    <t xml:space="preserve">Po 2. zm.rozp. neinvest. transfery
</t>
  </si>
  <si>
    <t>Po 2.zm. rozpočtu investiční  transfery</t>
  </si>
  <si>
    <t>Studijní a vědecká knihovna v HK   (kofi 100tis.BV)</t>
  </si>
  <si>
    <t>Královéhradecký krajský institut pro vzdělávání a inovace-školské zařízení pro DVPP a středisko služeb školám, PO (1843tis.z kap.9)  88,56 tis.z kap.9</t>
  </si>
  <si>
    <t>Muzeum východních Čech v Hradci Králové  kofi 601,4tis.BV a 3554,18tis.KV</t>
  </si>
  <si>
    <t>Gymnázium,Trutnov,Jiráskovo náměstí 325       kofi z kap.21 BV 21,78tis.a KV 4588,88tis.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</si>
</sst>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6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 vertical="center" wrapText="1"/>
    </xf>
    <xf numFmtId="166" fontId="5" fillId="0" borderId="16" xfId="37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6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9" xfId="37" applyFont="1" applyBorder="1" applyAlignment="1">
      <alignment/>
    </xf>
    <xf numFmtId="44" fontId="2" fillId="0" borderId="11" xfId="37" applyFont="1" applyFill="1" applyBorder="1" applyAlignment="1">
      <alignment vertical="center" wrapText="1"/>
    </xf>
    <xf numFmtId="166" fontId="0" fillId="0" borderId="11" xfId="37" applyNumberFormat="1" applyFont="1" applyFill="1" applyBorder="1" applyAlignment="1">
      <alignment/>
    </xf>
    <xf numFmtId="166" fontId="5" fillId="0" borderId="12" xfId="37" applyNumberFormat="1" applyFont="1" applyBorder="1" applyAlignment="1">
      <alignment/>
    </xf>
    <xf numFmtId="4" fontId="11" fillId="0" borderId="11" xfId="37" applyNumberFormat="1" applyFont="1" applyBorder="1" applyAlignment="1">
      <alignment/>
    </xf>
    <xf numFmtId="4" fontId="11" fillId="0" borderId="12" xfId="37" applyNumberFormat="1" applyFont="1" applyBorder="1" applyAlignment="1">
      <alignment/>
    </xf>
    <xf numFmtId="44" fontId="0" fillId="0" borderId="12" xfId="37" applyFont="1" applyBorder="1" applyAlignment="1">
      <alignment/>
    </xf>
    <xf numFmtId="4" fontId="0" fillId="0" borderId="11" xfId="37" applyNumberFormat="1" applyFill="1" applyBorder="1" applyAlignment="1">
      <alignment/>
    </xf>
    <xf numFmtId="44" fontId="6" fillId="0" borderId="11" xfId="37" applyFont="1" applyFill="1" applyBorder="1" applyAlignment="1">
      <alignment horizontal="left" vertical="top" wrapText="1"/>
    </xf>
    <xf numFmtId="4" fontId="0" fillId="0" borderId="0" xfId="37" applyNumberFormat="1" applyBorder="1" applyAlignment="1">
      <alignment/>
    </xf>
    <xf numFmtId="44" fontId="10" fillId="0" borderId="11" xfId="37" applyFont="1" applyBorder="1" applyAlignment="1">
      <alignment horizontal="left" wrapText="1"/>
    </xf>
    <xf numFmtId="4" fontId="0" fillId="0" borderId="18" xfId="37" applyNumberFormat="1" applyFont="1" applyBorder="1" applyAlignment="1">
      <alignment/>
    </xf>
    <xf numFmtId="4" fontId="0" fillId="0" borderId="10" xfId="37" applyNumberFormat="1" applyFont="1" applyBorder="1" applyAlignment="1">
      <alignment/>
    </xf>
    <xf numFmtId="4" fontId="0" fillId="0" borderId="19" xfId="37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pane xSplit="3" ySplit="6" topLeftCell="D2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70" sqref="K70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0" customWidth="1"/>
    <col min="6" max="6" width="9.7109375" style="0" hidden="1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hidden="1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55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54</v>
      </c>
    </row>
    <row r="2" spans="1:29" ht="21" customHeight="1">
      <c r="A2" s="89" t="s">
        <v>161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2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35</v>
      </c>
      <c r="Q3" s="13"/>
      <c r="R3" s="13"/>
      <c r="S3" s="13"/>
      <c r="T3" s="13"/>
      <c r="U3" s="61"/>
      <c r="V3" s="26"/>
      <c r="W3" s="26"/>
      <c r="X3" s="26"/>
      <c r="Y3" s="13"/>
      <c r="Z3" s="26"/>
      <c r="AA3" s="26"/>
      <c r="AB3" s="26"/>
      <c r="AC3" s="26" t="s">
        <v>35</v>
      </c>
    </row>
    <row r="4" spans="1:29" ht="13.5" customHeight="1" thickBot="1">
      <c r="A4" s="91" t="s">
        <v>13</v>
      </c>
      <c r="B4" s="93" t="s">
        <v>31</v>
      </c>
      <c r="C4" s="94" t="s">
        <v>0</v>
      </c>
      <c r="D4" s="96" t="s">
        <v>50</v>
      </c>
      <c r="E4" s="97"/>
      <c r="F4" s="97"/>
      <c r="G4" s="97"/>
      <c r="H4" s="98"/>
      <c r="I4" s="14"/>
      <c r="J4" s="96" t="s">
        <v>124</v>
      </c>
      <c r="K4" s="97"/>
      <c r="L4" s="98"/>
      <c r="M4" s="15"/>
      <c r="N4" s="99" t="s">
        <v>82</v>
      </c>
      <c r="O4" s="100"/>
      <c r="P4" s="101"/>
      <c r="Q4" s="29"/>
      <c r="R4" s="91" t="s">
        <v>13</v>
      </c>
      <c r="S4" s="93" t="s">
        <v>31</v>
      </c>
      <c r="T4" s="94" t="s">
        <v>0</v>
      </c>
      <c r="U4" s="99" t="s">
        <v>70</v>
      </c>
      <c r="V4" s="97"/>
      <c r="W4" s="97"/>
      <c r="X4" s="97"/>
      <c r="Y4" s="97"/>
      <c r="Z4" s="97"/>
      <c r="AA4" s="97"/>
      <c r="AB4" s="97"/>
      <c r="AC4" s="98"/>
    </row>
    <row r="5" spans="1:29" ht="75.75" customHeight="1" thickBot="1">
      <c r="A5" s="92"/>
      <c r="B5" s="92"/>
      <c r="C5" s="95"/>
      <c r="D5" s="16" t="s">
        <v>150</v>
      </c>
      <c r="E5" s="16" t="s">
        <v>53</v>
      </c>
      <c r="F5" s="16" t="s">
        <v>56</v>
      </c>
      <c r="G5" s="17" t="s">
        <v>51</v>
      </c>
      <c r="H5" s="16" t="s">
        <v>164</v>
      </c>
      <c r="I5" s="16"/>
      <c r="J5" s="19" t="s">
        <v>150</v>
      </c>
      <c r="K5" s="18" t="s">
        <v>57</v>
      </c>
      <c r="L5" s="19" t="s">
        <v>164</v>
      </c>
      <c r="M5" s="18"/>
      <c r="N5" s="19" t="s">
        <v>150</v>
      </c>
      <c r="O5" s="16" t="s">
        <v>53</v>
      </c>
      <c r="P5" s="19" t="s">
        <v>164</v>
      </c>
      <c r="Q5" s="19"/>
      <c r="R5" s="102"/>
      <c r="S5" s="103"/>
      <c r="T5" s="104"/>
      <c r="U5" s="27" t="s">
        <v>151</v>
      </c>
      <c r="V5" s="27" t="s">
        <v>52</v>
      </c>
      <c r="W5" s="27" t="s">
        <v>56</v>
      </c>
      <c r="X5" s="27" t="s">
        <v>165</v>
      </c>
      <c r="Y5" s="18"/>
      <c r="Z5" s="27" t="s">
        <v>152</v>
      </c>
      <c r="AA5" s="27" t="s">
        <v>52</v>
      </c>
      <c r="AB5" s="27" t="s">
        <v>56</v>
      </c>
      <c r="AC5" s="27" t="s">
        <v>166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17</v>
      </c>
      <c r="D7" s="39">
        <f>D9</f>
        <v>28840</v>
      </c>
      <c r="E7" s="39">
        <f aca="true" t="shared" si="0" ref="E7:P7">E9</f>
        <v>3000</v>
      </c>
      <c r="F7" s="39">
        <f t="shared" si="0"/>
        <v>0</v>
      </c>
      <c r="G7" s="39">
        <f t="shared" si="0"/>
        <v>0</v>
      </c>
      <c r="H7" s="39">
        <f t="shared" si="0"/>
        <v>31840</v>
      </c>
      <c r="I7" s="39">
        <f t="shared" si="0"/>
        <v>0</v>
      </c>
      <c r="J7" s="39">
        <f t="shared" si="0"/>
        <v>2000</v>
      </c>
      <c r="K7" s="39">
        <f t="shared" si="0"/>
        <v>0</v>
      </c>
      <c r="L7" s="39">
        <f t="shared" si="0"/>
        <v>2000</v>
      </c>
      <c r="M7" s="39">
        <f t="shared" si="0"/>
        <v>0</v>
      </c>
      <c r="N7" s="39">
        <f t="shared" si="0"/>
        <v>880.6</v>
      </c>
      <c r="O7" s="39">
        <f t="shared" si="0"/>
        <v>3004.53</v>
      </c>
      <c r="P7" s="39">
        <f t="shared" si="0"/>
        <v>3885.13</v>
      </c>
      <c r="Q7" s="39"/>
      <c r="R7" s="56"/>
      <c r="S7" s="57"/>
      <c r="T7" s="39" t="s">
        <v>65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36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8"/>
      <c r="S8" s="59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80</v>
      </c>
      <c r="D9" s="41">
        <v>28840</v>
      </c>
      <c r="E9" s="41">
        <f>3000</f>
        <v>3000</v>
      </c>
      <c r="F9" s="42"/>
      <c r="G9" s="41"/>
      <c r="H9" s="41">
        <f>D9+E9+F9+G9</f>
        <v>31840</v>
      </c>
      <c r="I9" s="41"/>
      <c r="J9" s="41">
        <v>2000</v>
      </c>
      <c r="K9" s="41"/>
      <c r="L9" s="41">
        <f>J9+K9</f>
        <v>2000</v>
      </c>
      <c r="M9" s="41"/>
      <c r="N9" s="41">
        <v>880.6</v>
      </c>
      <c r="O9" s="41">
        <f>3004.53</f>
        <v>3004.53</v>
      </c>
      <c r="P9" s="41">
        <f>N9+O9</f>
        <v>3885.13</v>
      </c>
      <c r="Q9" s="41"/>
      <c r="R9" s="58">
        <v>2212</v>
      </c>
      <c r="S9" s="59">
        <v>901</v>
      </c>
      <c r="T9" s="44" t="s">
        <v>80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75</v>
      </c>
      <c r="D10" s="39">
        <f>D13+D12</f>
        <v>66571.29000000001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0</v>
      </c>
      <c r="H10" s="39">
        <f t="shared" si="1"/>
        <v>66571.29000000001</v>
      </c>
      <c r="I10" s="39">
        <f t="shared" si="1"/>
        <v>0</v>
      </c>
      <c r="J10" s="39">
        <f t="shared" si="1"/>
        <v>1500</v>
      </c>
      <c r="K10" s="39">
        <f t="shared" si="1"/>
        <v>0</v>
      </c>
      <c r="L10" s="39">
        <f t="shared" si="1"/>
        <v>1500</v>
      </c>
      <c r="M10" s="39">
        <f t="shared" si="1"/>
        <v>0</v>
      </c>
      <c r="N10" s="39">
        <f t="shared" si="1"/>
        <v>340.8</v>
      </c>
      <c r="O10" s="39">
        <f t="shared" si="1"/>
        <v>0</v>
      </c>
      <c r="P10" s="39">
        <f t="shared" si="1"/>
        <v>340.8</v>
      </c>
      <c r="Q10" s="46"/>
      <c r="R10" s="58"/>
      <c r="S10" s="57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36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8"/>
      <c r="S11" s="57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3" t="s">
        <v>162</v>
      </c>
      <c r="D12" s="41">
        <v>56271.29</v>
      </c>
      <c r="E12" s="41"/>
      <c r="F12" s="41"/>
      <c r="G12" s="41"/>
      <c r="H12" s="41">
        <f>D12+E12+F12+G12</f>
        <v>56271.29</v>
      </c>
      <c r="I12" s="41"/>
      <c r="J12" s="41"/>
      <c r="K12" s="41"/>
      <c r="L12" s="41">
        <f>J12+K12</f>
        <v>0</v>
      </c>
      <c r="M12" s="41"/>
      <c r="N12" s="41">
        <v>340.8</v>
      </c>
      <c r="O12" s="41"/>
      <c r="P12" s="41">
        <f>N12+O12</f>
        <v>340.8</v>
      </c>
      <c r="Q12" s="46"/>
      <c r="R12" s="58"/>
      <c r="S12" s="57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.75" customHeight="1">
      <c r="A13" s="35">
        <v>3639</v>
      </c>
      <c r="B13" s="4">
        <v>902</v>
      </c>
      <c r="C13" s="72" t="s">
        <v>163</v>
      </c>
      <c r="D13" s="51">
        <v>10300</v>
      </c>
      <c r="E13" s="45"/>
      <c r="F13" s="41"/>
      <c r="G13" s="41"/>
      <c r="H13" s="41">
        <f>D13+E13+F13+G13</f>
        <v>10300</v>
      </c>
      <c r="I13" s="41"/>
      <c r="J13" s="41">
        <v>1500</v>
      </c>
      <c r="K13" s="41"/>
      <c r="L13" s="41">
        <f>J13+K13</f>
        <v>1500</v>
      </c>
      <c r="M13" s="41"/>
      <c r="N13" s="41"/>
      <c r="O13" s="41"/>
      <c r="P13" s="41">
        <f>N13+O13</f>
        <v>0</v>
      </c>
      <c r="Q13" s="46"/>
      <c r="R13" s="58"/>
      <c r="S13" s="57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18</v>
      </c>
      <c r="D14" s="48">
        <f>SUM(D16:D20)</f>
        <v>372095</v>
      </c>
      <c r="E14" s="48">
        <f aca="true" t="shared" si="2" ref="E14:P14">SUM(E16:E20)</f>
        <v>-70000</v>
      </c>
      <c r="F14" s="80">
        <f t="shared" si="2"/>
        <v>0</v>
      </c>
      <c r="G14" s="48">
        <f t="shared" si="2"/>
        <v>0</v>
      </c>
      <c r="H14" s="48">
        <f t="shared" si="2"/>
        <v>302095</v>
      </c>
      <c r="I14" s="48">
        <f t="shared" si="2"/>
        <v>0</v>
      </c>
      <c r="J14" s="48">
        <f t="shared" si="2"/>
        <v>0</v>
      </c>
      <c r="K14" s="78">
        <f t="shared" si="2"/>
        <v>0</v>
      </c>
      <c r="L14" s="48">
        <f t="shared" si="2"/>
        <v>0</v>
      </c>
      <c r="M14" s="48">
        <f t="shared" si="2"/>
        <v>12500</v>
      </c>
      <c r="N14" s="48">
        <f t="shared" si="2"/>
        <v>29804.7</v>
      </c>
      <c r="O14" s="48">
        <f t="shared" si="2"/>
        <v>1800</v>
      </c>
      <c r="P14" s="48">
        <f t="shared" si="2"/>
        <v>31604.7</v>
      </c>
      <c r="Q14" s="48"/>
      <c r="R14" s="58"/>
      <c r="S14" s="57"/>
      <c r="T14" s="48" t="s">
        <v>66</v>
      </c>
      <c r="U14" s="48">
        <f>SUM(U16:U20)</f>
        <v>2380.5</v>
      </c>
      <c r="V14" s="48">
        <f>SUM(V16:V20)</f>
        <v>0</v>
      </c>
      <c r="W14" s="48">
        <f>SUM(W16:W20)</f>
        <v>0</v>
      </c>
      <c r="X14" s="48">
        <f>SUM(X16:X20)</f>
        <v>2380.5</v>
      </c>
      <c r="Y14" s="48"/>
      <c r="Z14" s="48">
        <f>SUM(Z16:Z20)</f>
        <v>68353.66</v>
      </c>
      <c r="AA14" s="48">
        <f>SUM(AA16:AA20)</f>
        <v>-5684</v>
      </c>
      <c r="AB14" s="48">
        <f>SUM(AB16:AB20)</f>
        <v>0</v>
      </c>
      <c r="AC14" s="48">
        <f>SUM(AC16:AC20)</f>
        <v>62669.66</v>
      </c>
    </row>
    <row r="15" spans="1:29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8"/>
      <c r="S15" s="59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 customHeight="1">
      <c r="A16" s="35">
        <v>3526</v>
      </c>
      <c r="B16" s="4">
        <v>507</v>
      </c>
      <c r="C16" s="72" t="s">
        <v>153</v>
      </c>
      <c r="D16" s="41">
        <v>37316</v>
      </c>
      <c r="E16" s="41"/>
      <c r="F16" s="42"/>
      <c r="G16" s="41"/>
      <c r="H16" s="41">
        <f>D16+E16+F16+G16</f>
        <v>37316</v>
      </c>
      <c r="I16" s="41"/>
      <c r="J16" s="41"/>
      <c r="K16" s="77"/>
      <c r="L16" s="41">
        <f>J16+K16</f>
        <v>0</v>
      </c>
      <c r="M16" s="41"/>
      <c r="N16" s="41">
        <v>9707</v>
      </c>
      <c r="O16" s="41"/>
      <c r="P16" s="41">
        <f>N16+O16</f>
        <v>9707</v>
      </c>
      <c r="Q16" s="41"/>
      <c r="R16" s="58">
        <v>3526</v>
      </c>
      <c r="S16" s="4">
        <v>507</v>
      </c>
      <c r="T16" s="49" t="s">
        <v>23</v>
      </c>
      <c r="U16" s="41"/>
      <c r="V16" s="41"/>
      <c r="W16" s="41"/>
      <c r="X16" s="41">
        <f>SUM(U16:W16)</f>
        <v>0</v>
      </c>
      <c r="Y16" s="41"/>
      <c r="Z16" s="41">
        <v>6651.34</v>
      </c>
      <c r="AA16" s="45"/>
      <c r="AB16" s="41"/>
      <c r="AC16" s="41">
        <f>SUM(Z16:AB16)</f>
        <v>6651.34</v>
      </c>
    </row>
    <row r="17" spans="1:29" ht="12.75">
      <c r="A17" s="35">
        <v>3524</v>
      </c>
      <c r="B17" s="4">
        <v>508</v>
      </c>
      <c r="C17" s="7" t="s">
        <v>24</v>
      </c>
      <c r="D17" s="41">
        <v>9416</v>
      </c>
      <c r="E17" s="41"/>
      <c r="F17" s="42"/>
      <c r="G17" s="41"/>
      <c r="H17" s="41">
        <f>D17+E17+F17+G17</f>
        <v>9416</v>
      </c>
      <c r="I17" s="41"/>
      <c r="J17" s="51"/>
      <c r="K17" s="51"/>
      <c r="L17" s="51">
        <f>J17+K17</f>
        <v>0</v>
      </c>
      <c r="M17" s="41"/>
      <c r="N17" s="41">
        <v>376</v>
      </c>
      <c r="O17" s="41"/>
      <c r="P17" s="41">
        <f>N17+O17</f>
        <v>376</v>
      </c>
      <c r="Q17" s="41"/>
      <c r="R17" s="58">
        <v>3524</v>
      </c>
      <c r="S17" s="4">
        <v>508</v>
      </c>
      <c r="T17" s="49" t="s">
        <v>24</v>
      </c>
      <c r="U17" s="41"/>
      <c r="V17" s="41"/>
      <c r="W17" s="41"/>
      <c r="X17" s="41">
        <f>SUM(U17:W17)</f>
        <v>0</v>
      </c>
      <c r="Y17" s="41"/>
      <c r="Z17" s="41"/>
      <c r="AA17" s="41"/>
      <c r="AB17" s="41"/>
      <c r="AC17" s="41">
        <f>SUM(Z17:AB17)</f>
        <v>0</v>
      </c>
    </row>
    <row r="18" spans="1:29" ht="12.75" customHeight="1">
      <c r="A18" s="35">
        <v>3524</v>
      </c>
      <c r="B18" s="4">
        <v>509</v>
      </c>
      <c r="C18" s="7" t="s">
        <v>22</v>
      </c>
      <c r="D18" s="41">
        <v>3500</v>
      </c>
      <c r="E18" s="41"/>
      <c r="F18" s="42"/>
      <c r="G18" s="41"/>
      <c r="H18" s="41">
        <f>D18+E18+F18+G18</f>
        <v>3500</v>
      </c>
      <c r="I18" s="41"/>
      <c r="J18" s="41"/>
      <c r="K18" s="51"/>
      <c r="L18" s="41">
        <f>J18+K18</f>
        <v>0</v>
      </c>
      <c r="M18" s="41"/>
      <c r="N18" s="41">
        <v>162</v>
      </c>
      <c r="O18" s="41">
        <f>1300+500</f>
        <v>1800</v>
      </c>
      <c r="P18" s="41">
        <f>N18+O18</f>
        <v>1962</v>
      </c>
      <c r="Q18" s="41"/>
      <c r="R18" s="58">
        <v>3524</v>
      </c>
      <c r="S18" s="4">
        <v>509</v>
      </c>
      <c r="T18" s="49" t="s">
        <v>22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83</v>
      </c>
      <c r="D19" s="41">
        <v>311357</v>
      </c>
      <c r="E19" s="41">
        <f>-70000</f>
        <v>-70000</v>
      </c>
      <c r="F19" s="42"/>
      <c r="G19" s="41"/>
      <c r="H19" s="41">
        <f>D19+E19+F19+G19</f>
        <v>241357</v>
      </c>
      <c r="I19" s="41"/>
      <c r="J19" s="41"/>
      <c r="K19" s="41"/>
      <c r="L19" s="41">
        <f>J19+K19</f>
        <v>0</v>
      </c>
      <c r="M19" s="41">
        <v>12500</v>
      </c>
      <c r="N19" s="41">
        <v>19559.7</v>
      </c>
      <c r="O19" s="41"/>
      <c r="P19" s="41">
        <f>N19+O19</f>
        <v>19559.7</v>
      </c>
      <c r="Q19" s="41"/>
      <c r="R19" s="58">
        <v>3533</v>
      </c>
      <c r="S19" s="4">
        <v>511</v>
      </c>
      <c r="T19" s="49" t="s">
        <v>34</v>
      </c>
      <c r="U19" s="41">
        <v>2380.5</v>
      </c>
      <c r="V19" s="41"/>
      <c r="W19" s="41"/>
      <c r="X19" s="41">
        <f>SUM(U19:W19)</f>
        <v>2380.5</v>
      </c>
      <c r="Y19" s="41"/>
      <c r="Z19" s="41">
        <v>61702.32</v>
      </c>
      <c r="AA19" s="41">
        <f>-5684</f>
        <v>-5684</v>
      </c>
      <c r="AB19" s="41"/>
      <c r="AC19" s="41">
        <f>SUM(Z19:AB19)</f>
        <v>56018.32</v>
      </c>
    </row>
    <row r="20" spans="1:29" ht="12.75">
      <c r="A20" s="35">
        <v>3539</v>
      </c>
      <c r="B20" s="4">
        <v>514</v>
      </c>
      <c r="C20" s="8" t="s">
        <v>2</v>
      </c>
      <c r="D20" s="41">
        <v>10506</v>
      </c>
      <c r="E20" s="41"/>
      <c r="F20" s="41"/>
      <c r="G20" s="41"/>
      <c r="H20" s="41">
        <f>D20+E20+F20+G20</f>
        <v>10506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8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19</v>
      </c>
      <c r="D21" s="39">
        <f>SUM(D23:D33)</f>
        <v>239533.55000000002</v>
      </c>
      <c r="E21" s="39">
        <f aca="true" t="shared" si="3" ref="E21:P21">SUM(E23:E33)</f>
        <v>7696.35</v>
      </c>
      <c r="F21" s="39">
        <f t="shared" si="3"/>
        <v>0</v>
      </c>
      <c r="G21" s="39">
        <f t="shared" si="3"/>
        <v>0</v>
      </c>
      <c r="H21" s="39">
        <f t="shared" si="3"/>
        <v>247229.9</v>
      </c>
      <c r="I21" s="39">
        <f t="shared" si="3"/>
        <v>0</v>
      </c>
      <c r="J21" s="39">
        <f t="shared" si="3"/>
        <v>2850</v>
      </c>
      <c r="K21" s="39">
        <f t="shared" si="3"/>
        <v>4395.98</v>
      </c>
      <c r="L21" s="39">
        <f t="shared" si="3"/>
        <v>7245.98</v>
      </c>
      <c r="M21" s="39">
        <f t="shared" si="3"/>
        <v>0</v>
      </c>
      <c r="N21" s="39">
        <f t="shared" si="3"/>
        <v>12585.8</v>
      </c>
      <c r="O21" s="39">
        <f t="shared" si="3"/>
        <v>315.1000000000001</v>
      </c>
      <c r="P21" s="39">
        <f t="shared" si="3"/>
        <v>12900.9</v>
      </c>
      <c r="Q21" s="39"/>
      <c r="R21" s="56"/>
      <c r="S21" s="57"/>
      <c r="T21" s="39" t="s">
        <v>67</v>
      </c>
      <c r="U21" s="39">
        <f>SUM(U23:U32)</f>
        <v>550</v>
      </c>
      <c r="V21" s="39">
        <f>SUM(V23:V32)</f>
        <v>0</v>
      </c>
      <c r="W21" s="39">
        <f>SUM(W23:W32)</f>
        <v>0</v>
      </c>
      <c r="X21" s="39">
        <f>SUM(X23:X32)</f>
        <v>550</v>
      </c>
      <c r="Y21" s="39"/>
      <c r="Z21" s="39">
        <f>SUM(Z23:Z32)</f>
        <v>6237</v>
      </c>
      <c r="AA21" s="68">
        <f>SUM(AA23:AA32)</f>
        <v>-764.4</v>
      </c>
      <c r="AB21" s="39">
        <f>SUM(AB23:AB32)</f>
        <v>0</v>
      </c>
      <c r="AC21" s="39">
        <f>SUM(AC23:AC32)</f>
        <v>5472.6</v>
      </c>
    </row>
    <row r="22" spans="1:29" ht="12.75">
      <c r="A22" s="34"/>
      <c r="B22" s="2"/>
      <c r="C22" s="6" t="s">
        <v>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6"/>
      <c r="S22" s="57"/>
      <c r="T22" s="43" t="s">
        <v>36</v>
      </c>
      <c r="U22" s="39"/>
      <c r="V22" s="39"/>
      <c r="W22" s="39"/>
      <c r="X22" s="39"/>
      <c r="Y22" s="39"/>
      <c r="Z22" s="39"/>
      <c r="AA22" s="68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19784.8</v>
      </c>
      <c r="E23" s="41"/>
      <c r="F23" s="41"/>
      <c r="G23" s="41"/>
      <c r="H23" s="41">
        <f>D23+E23+F23+G23</f>
        <v>19784.8</v>
      </c>
      <c r="I23" s="41"/>
      <c r="J23" s="41">
        <v>1500</v>
      </c>
      <c r="K23" s="41"/>
      <c r="L23" s="41">
        <f aca="true" t="shared" si="4" ref="L23:L32">J23+K23</f>
        <v>1500</v>
      </c>
      <c r="M23" s="41"/>
      <c r="N23" s="41">
        <v>904.3</v>
      </c>
      <c r="O23" s="41"/>
      <c r="P23" s="41">
        <f>N23+O23</f>
        <v>904.3</v>
      </c>
      <c r="Q23" s="41"/>
      <c r="R23" s="58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>
        <v>900</v>
      </c>
      <c r="AA23" s="45">
        <f>-864.4</f>
        <v>-864.4</v>
      </c>
      <c r="AB23" s="41"/>
      <c r="AC23" s="41">
        <f aca="true" t="shared" si="6" ref="AC23:AC32">SUM(Z23:AB23)</f>
        <v>35.60000000000002</v>
      </c>
    </row>
    <row r="24" spans="1:29" ht="12.75">
      <c r="A24" s="35">
        <v>3315</v>
      </c>
      <c r="B24" s="4">
        <v>602</v>
      </c>
      <c r="C24" s="8" t="s">
        <v>60</v>
      </c>
      <c r="D24" s="41">
        <v>8625.45</v>
      </c>
      <c r="E24" s="41">
        <f>156.3</f>
        <v>156.3</v>
      </c>
      <c r="F24" s="41"/>
      <c r="G24" s="41"/>
      <c r="H24" s="41">
        <f aca="true" t="shared" si="7" ref="H24:H33">D24+E24+F24+G24</f>
        <v>8781.75</v>
      </c>
      <c r="I24" s="41"/>
      <c r="J24" s="41">
        <v>500</v>
      </c>
      <c r="K24" s="41"/>
      <c r="L24" s="41">
        <f t="shared" si="4"/>
        <v>500</v>
      </c>
      <c r="M24" s="41"/>
      <c r="N24" s="41">
        <v>150</v>
      </c>
      <c r="O24" s="41"/>
      <c r="P24" s="41">
        <f aca="true" t="shared" si="8" ref="P24:P33">N24+O24</f>
        <v>150</v>
      </c>
      <c r="Q24" s="41"/>
      <c r="R24" s="58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>
        <v>237</v>
      </c>
      <c r="AA24" s="45"/>
      <c r="AB24" s="41"/>
      <c r="AC24" s="41">
        <f t="shared" si="6"/>
        <v>237</v>
      </c>
    </row>
    <row r="25" spans="1:29" ht="25.5">
      <c r="A25" s="35">
        <v>3315</v>
      </c>
      <c r="B25" s="4">
        <v>603</v>
      </c>
      <c r="C25" s="37" t="s">
        <v>169</v>
      </c>
      <c r="D25" s="41">
        <v>52702.200000000004</v>
      </c>
      <c r="E25" s="41">
        <f>2611.44+49.66+601.4</f>
        <v>3262.5</v>
      </c>
      <c r="F25" s="41"/>
      <c r="G25" s="41"/>
      <c r="H25" s="41">
        <f t="shared" si="7"/>
        <v>55964.700000000004</v>
      </c>
      <c r="I25" s="41"/>
      <c r="J25" s="41">
        <v>300</v>
      </c>
      <c r="K25" s="41">
        <f>141.8+700+3554.18</f>
        <v>4395.98</v>
      </c>
      <c r="L25" s="41">
        <f t="shared" si="4"/>
        <v>4695.98</v>
      </c>
      <c r="M25" s="41"/>
      <c r="N25" s="41">
        <v>2916.2</v>
      </c>
      <c r="O25" s="41">
        <f>-39</f>
        <v>-39</v>
      </c>
      <c r="P25" s="41">
        <f t="shared" si="8"/>
        <v>2877.2</v>
      </c>
      <c r="Q25" s="41"/>
      <c r="R25" s="58">
        <v>3315</v>
      </c>
      <c r="S25" s="4">
        <v>603</v>
      </c>
      <c r="T25" s="44" t="s">
        <v>3</v>
      </c>
      <c r="U25" s="41">
        <v>350</v>
      </c>
      <c r="V25" s="41"/>
      <c r="W25" s="41"/>
      <c r="X25" s="41">
        <f t="shared" si="5"/>
        <v>350</v>
      </c>
      <c r="Y25" s="41"/>
      <c r="Z25" s="41">
        <v>1800</v>
      </c>
      <c r="AA25" s="45">
        <f>100</f>
        <v>100</v>
      </c>
      <c r="AB25" s="41"/>
      <c r="AC25" s="41">
        <f t="shared" si="6"/>
        <v>1900</v>
      </c>
    </row>
    <row r="26" spans="1:29" ht="12.75">
      <c r="A26" s="35">
        <v>3314</v>
      </c>
      <c r="B26" s="4">
        <v>604</v>
      </c>
      <c r="C26" s="8" t="s">
        <v>167</v>
      </c>
      <c r="D26" s="41">
        <v>70115.2</v>
      </c>
      <c r="E26" s="41">
        <f>160+2208.65</f>
        <v>2368.65</v>
      </c>
      <c r="F26" s="41"/>
      <c r="G26" s="41"/>
      <c r="H26" s="41">
        <f t="shared" si="7"/>
        <v>72483.84999999999</v>
      </c>
      <c r="I26" s="41"/>
      <c r="J26" s="41"/>
      <c r="K26" s="41"/>
      <c r="L26" s="41">
        <f t="shared" si="4"/>
        <v>0</v>
      </c>
      <c r="M26" s="41"/>
      <c r="N26" s="41">
        <v>4259.1</v>
      </c>
      <c r="O26" s="41">
        <f>193</f>
        <v>193</v>
      </c>
      <c r="P26" s="41">
        <f t="shared" si="8"/>
        <v>4452.1</v>
      </c>
      <c r="Q26" s="41"/>
      <c r="R26" s="58">
        <v>3314</v>
      </c>
      <c r="S26" s="4">
        <v>604</v>
      </c>
      <c r="T26" s="44" t="s">
        <v>37</v>
      </c>
      <c r="U26" s="41"/>
      <c r="V26" s="41"/>
      <c r="W26" s="41"/>
      <c r="X26" s="41">
        <f t="shared" si="5"/>
        <v>0</v>
      </c>
      <c r="Y26" s="41"/>
      <c r="Z26" s="41">
        <v>950</v>
      </c>
      <c r="AA26" s="45"/>
      <c r="AB26" s="41"/>
      <c r="AC26" s="41">
        <f t="shared" si="6"/>
        <v>950</v>
      </c>
    </row>
    <row r="27" spans="1:29" ht="12.75">
      <c r="A27" s="35">
        <v>3319</v>
      </c>
      <c r="B27" s="4">
        <v>605</v>
      </c>
      <c r="C27" s="8" t="s">
        <v>158</v>
      </c>
      <c r="D27" s="41">
        <v>6410.8</v>
      </c>
      <c r="E27" s="41">
        <f>50+354.9</f>
        <v>404.9</v>
      </c>
      <c r="F27" s="41"/>
      <c r="G27" s="41"/>
      <c r="H27" s="41">
        <f t="shared" si="7"/>
        <v>6815.7</v>
      </c>
      <c r="I27" s="41"/>
      <c r="J27" s="41"/>
      <c r="K27" s="41"/>
      <c r="L27" s="41">
        <f t="shared" si="4"/>
        <v>0</v>
      </c>
      <c r="M27" s="41"/>
      <c r="N27" s="41">
        <v>139.3</v>
      </c>
      <c r="O27" s="41">
        <f>1.3</f>
        <v>1.3</v>
      </c>
      <c r="P27" s="41">
        <f t="shared" si="8"/>
        <v>140.60000000000002</v>
      </c>
      <c r="Q27" s="41"/>
      <c r="R27" s="58">
        <v>3319</v>
      </c>
      <c r="S27" s="4">
        <v>605</v>
      </c>
      <c r="T27" s="44" t="s">
        <v>158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16267.6</v>
      </c>
      <c r="E28" s="41">
        <f>748.9</f>
        <v>748.9</v>
      </c>
      <c r="F28" s="41"/>
      <c r="G28" s="41"/>
      <c r="H28" s="41">
        <f t="shared" si="7"/>
        <v>17016.5</v>
      </c>
      <c r="I28" s="41"/>
      <c r="J28" s="41"/>
      <c r="K28" s="41"/>
      <c r="L28" s="41">
        <f t="shared" si="4"/>
        <v>0</v>
      </c>
      <c r="M28" s="41"/>
      <c r="N28" s="41">
        <v>1049.8</v>
      </c>
      <c r="O28" s="41">
        <f>3.5</f>
        <v>3.5</v>
      </c>
      <c r="P28" s="41">
        <f t="shared" si="8"/>
        <v>1053.3</v>
      </c>
      <c r="Q28" s="41"/>
      <c r="R28" s="58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700</v>
      </c>
      <c r="AA28" s="45"/>
      <c r="AB28" s="41"/>
      <c r="AC28" s="41">
        <f t="shared" si="6"/>
        <v>700</v>
      </c>
    </row>
    <row r="29" spans="1:29" ht="12.75">
      <c r="A29" s="35">
        <v>3319</v>
      </c>
      <c r="B29" s="4">
        <v>607</v>
      </c>
      <c r="C29" s="8" t="s">
        <v>74</v>
      </c>
      <c r="D29" s="41">
        <v>7297.1</v>
      </c>
      <c r="E29" s="41"/>
      <c r="F29" s="41"/>
      <c r="G29" s="41"/>
      <c r="H29" s="41">
        <f t="shared" si="7"/>
        <v>7297.1</v>
      </c>
      <c r="I29" s="41"/>
      <c r="J29" s="41"/>
      <c r="K29" s="41"/>
      <c r="L29" s="41">
        <f t="shared" si="4"/>
        <v>0</v>
      </c>
      <c r="M29" s="41"/>
      <c r="N29" s="41">
        <v>115</v>
      </c>
      <c r="O29" s="41">
        <f>31.9</f>
        <v>31.9</v>
      </c>
      <c r="P29" s="41">
        <f t="shared" si="8"/>
        <v>146.9</v>
      </c>
      <c r="Q29" s="41"/>
      <c r="R29" s="58">
        <v>3319</v>
      </c>
      <c r="S29" s="4">
        <v>607</v>
      </c>
      <c r="T29" s="44" t="s">
        <v>15</v>
      </c>
      <c r="U29" s="41">
        <v>200</v>
      </c>
      <c r="V29" s="41"/>
      <c r="W29" s="41"/>
      <c r="X29" s="41">
        <f t="shared" si="5"/>
        <v>200</v>
      </c>
      <c r="Y29" s="41"/>
      <c r="Z29" s="41">
        <v>200</v>
      </c>
      <c r="AA29" s="41"/>
      <c r="AB29" s="41"/>
      <c r="AC29" s="41">
        <f t="shared" si="6"/>
        <v>200</v>
      </c>
    </row>
    <row r="30" spans="1:29" ht="12.75">
      <c r="A30" s="35">
        <v>3315</v>
      </c>
      <c r="B30" s="4">
        <v>608</v>
      </c>
      <c r="C30" s="8" t="s">
        <v>38</v>
      </c>
      <c r="D30" s="41">
        <v>14849.400000000001</v>
      </c>
      <c r="E30" s="41"/>
      <c r="F30" s="41"/>
      <c r="G30" s="41"/>
      <c r="H30" s="41">
        <f t="shared" si="7"/>
        <v>14849.400000000001</v>
      </c>
      <c r="I30" s="41"/>
      <c r="J30" s="41">
        <v>100</v>
      </c>
      <c r="K30" s="41"/>
      <c r="L30" s="41">
        <f t="shared" si="4"/>
        <v>100</v>
      </c>
      <c r="M30" s="41"/>
      <c r="N30" s="41">
        <v>703.4</v>
      </c>
      <c r="O30" s="41">
        <f>14.1</f>
        <v>14.1</v>
      </c>
      <c r="P30" s="41">
        <f t="shared" si="8"/>
        <v>717.5</v>
      </c>
      <c r="Q30" s="41"/>
      <c r="R30" s="58">
        <v>3315</v>
      </c>
      <c r="S30" s="4">
        <v>608</v>
      </c>
      <c r="T30" s="44" t="s">
        <v>38</v>
      </c>
      <c r="U30" s="41"/>
      <c r="V30" s="41"/>
      <c r="W30" s="41"/>
      <c r="X30" s="41">
        <f t="shared" si="5"/>
        <v>0</v>
      </c>
      <c r="Y30" s="41"/>
      <c r="Z30" s="41">
        <v>550</v>
      </c>
      <c r="AA30" s="41"/>
      <c r="AB30" s="41"/>
      <c r="AC30" s="41">
        <f t="shared" si="6"/>
        <v>550</v>
      </c>
    </row>
    <row r="31" spans="1:29" ht="12.75">
      <c r="A31" s="35">
        <v>3315</v>
      </c>
      <c r="B31" s="4">
        <v>609</v>
      </c>
      <c r="C31" s="8" t="s">
        <v>120</v>
      </c>
      <c r="D31" s="41">
        <v>13699.599999999999</v>
      </c>
      <c r="E31" s="41">
        <f>155.1+100</f>
        <v>255.1</v>
      </c>
      <c r="F31" s="41"/>
      <c r="G31" s="41"/>
      <c r="H31" s="41">
        <f t="shared" si="7"/>
        <v>13954.699999999999</v>
      </c>
      <c r="I31" s="41"/>
      <c r="J31" s="41">
        <v>100</v>
      </c>
      <c r="K31" s="41"/>
      <c r="L31" s="41">
        <f t="shared" si="4"/>
        <v>100</v>
      </c>
      <c r="M31" s="41"/>
      <c r="N31" s="41">
        <v>1845.6</v>
      </c>
      <c r="O31" s="41">
        <f>166.4</f>
        <v>166.4</v>
      </c>
      <c r="P31" s="41">
        <f t="shared" si="8"/>
        <v>2012</v>
      </c>
      <c r="Q31" s="41"/>
      <c r="R31" s="58">
        <v>3315</v>
      </c>
      <c r="S31" s="4">
        <v>609</v>
      </c>
      <c r="T31" s="44" t="s">
        <v>120</v>
      </c>
      <c r="U31" s="41"/>
      <c r="V31" s="41"/>
      <c r="W31" s="41"/>
      <c r="X31" s="41">
        <f t="shared" si="5"/>
        <v>0</v>
      </c>
      <c r="Y31" s="41"/>
      <c r="Z31" s="41">
        <v>650</v>
      </c>
      <c r="AA31" s="41"/>
      <c r="AB31" s="41"/>
      <c r="AC31" s="41">
        <f t="shared" si="6"/>
        <v>650</v>
      </c>
    </row>
    <row r="32" spans="1:29" ht="12.75">
      <c r="A32" s="35">
        <v>3315</v>
      </c>
      <c r="B32" s="4">
        <v>610</v>
      </c>
      <c r="C32" s="37" t="s">
        <v>81</v>
      </c>
      <c r="D32" s="41">
        <v>17426.4</v>
      </c>
      <c r="E32" s="41"/>
      <c r="F32" s="41"/>
      <c r="G32" s="41"/>
      <c r="H32" s="41">
        <f t="shared" si="7"/>
        <v>17426.4</v>
      </c>
      <c r="I32" s="41"/>
      <c r="J32" s="41">
        <v>350</v>
      </c>
      <c r="K32" s="41"/>
      <c r="L32" s="41">
        <f t="shared" si="4"/>
        <v>350</v>
      </c>
      <c r="M32" s="41"/>
      <c r="N32" s="41">
        <v>430</v>
      </c>
      <c r="O32" s="41">
        <f>-37.4</f>
        <v>-37.4</v>
      </c>
      <c r="P32" s="41">
        <f t="shared" si="8"/>
        <v>392.6</v>
      </c>
      <c r="Q32" s="41"/>
      <c r="R32" s="58">
        <v>3315</v>
      </c>
      <c r="S32" s="4">
        <v>610</v>
      </c>
      <c r="T32" s="44" t="s">
        <v>28</v>
      </c>
      <c r="U32" s="41"/>
      <c r="V32" s="41"/>
      <c r="W32" s="41"/>
      <c r="X32" s="41">
        <f t="shared" si="5"/>
        <v>0</v>
      </c>
      <c r="Y32" s="41"/>
      <c r="Z32" s="41">
        <v>250</v>
      </c>
      <c r="AA32" s="41"/>
      <c r="AB32" s="41"/>
      <c r="AC32" s="41">
        <f t="shared" si="6"/>
        <v>250</v>
      </c>
    </row>
    <row r="33" spans="1:29" ht="12.75">
      <c r="A33" s="35">
        <v>2143</v>
      </c>
      <c r="B33" s="4">
        <v>611</v>
      </c>
      <c r="C33" s="37" t="s">
        <v>149</v>
      </c>
      <c r="D33" s="41">
        <v>12355</v>
      </c>
      <c r="E33" s="41">
        <f>500</f>
        <v>500</v>
      </c>
      <c r="F33" s="41"/>
      <c r="G33" s="41"/>
      <c r="H33" s="41">
        <f t="shared" si="7"/>
        <v>12855</v>
      </c>
      <c r="I33" s="41"/>
      <c r="J33" s="41"/>
      <c r="K33" s="41"/>
      <c r="L33" s="41"/>
      <c r="M33" s="41"/>
      <c r="N33" s="41">
        <v>73.1</v>
      </c>
      <c r="O33" s="41">
        <f>-18.7</f>
        <v>-18.7</v>
      </c>
      <c r="P33" s="41">
        <f t="shared" si="8"/>
        <v>54.39999999999999</v>
      </c>
      <c r="Q33" s="41"/>
      <c r="R33" s="58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20</v>
      </c>
      <c r="D34" s="52">
        <f aca="true" t="shared" si="9" ref="D34:P34">SUM(D36:D58)</f>
        <v>309700.00000000006</v>
      </c>
      <c r="E34" s="52">
        <f t="shared" si="9"/>
        <v>0</v>
      </c>
      <c r="F34" s="52">
        <f t="shared" si="9"/>
        <v>0</v>
      </c>
      <c r="G34" s="52">
        <f t="shared" si="9"/>
        <v>0</v>
      </c>
      <c r="H34" s="52">
        <f t="shared" si="9"/>
        <v>309700.00000000006</v>
      </c>
      <c r="I34" s="52">
        <f t="shared" si="9"/>
        <v>0</v>
      </c>
      <c r="J34" s="52">
        <f t="shared" si="9"/>
        <v>0</v>
      </c>
      <c r="K34" s="52">
        <f t="shared" si="9"/>
        <v>0</v>
      </c>
      <c r="L34" s="52">
        <f t="shared" si="9"/>
        <v>0</v>
      </c>
      <c r="M34" s="52">
        <f t="shared" si="9"/>
        <v>0</v>
      </c>
      <c r="N34" s="52">
        <f t="shared" si="9"/>
        <v>29939</v>
      </c>
      <c r="O34" s="52">
        <f t="shared" si="9"/>
        <v>0</v>
      </c>
      <c r="P34" s="52">
        <f t="shared" si="9"/>
        <v>29939</v>
      </c>
      <c r="Q34" s="52"/>
      <c r="R34" s="58"/>
      <c r="S34" s="59"/>
      <c r="T34" s="52" t="s">
        <v>68</v>
      </c>
      <c r="U34" s="52">
        <f>SUM(U36:U58)</f>
        <v>2650</v>
      </c>
      <c r="V34" s="52">
        <f>SUM(V36:V58)</f>
        <v>0</v>
      </c>
      <c r="W34" s="52">
        <f>SUM(W36:W58)</f>
        <v>0</v>
      </c>
      <c r="X34" s="52">
        <f>SUM(X36:X58)</f>
        <v>2650</v>
      </c>
      <c r="Y34" s="52"/>
      <c r="Z34" s="52">
        <f>SUM(Z36:Z58)</f>
        <v>24896.789999999997</v>
      </c>
      <c r="AA34" s="52">
        <f>SUM(AA36:AA58)</f>
        <v>0</v>
      </c>
      <c r="AB34" s="52">
        <f>SUM(AB36:AB58)</f>
        <v>0</v>
      </c>
      <c r="AC34" s="52">
        <f>SUM(AC36:AC58)</f>
        <v>24896.789999999997</v>
      </c>
    </row>
    <row r="35" spans="1:29" ht="12.75">
      <c r="A35" s="35"/>
      <c r="B35" s="4"/>
      <c r="C35" s="6" t="s">
        <v>36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8"/>
      <c r="S35" s="59"/>
      <c r="T35" s="43" t="s">
        <v>1</v>
      </c>
      <c r="U35" s="41"/>
      <c r="V35" s="41"/>
      <c r="W35" s="41"/>
      <c r="X35" s="41"/>
      <c r="Y35" s="41"/>
      <c r="Z35" s="51" t="s">
        <v>63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141</v>
      </c>
      <c r="D36" s="41">
        <v>21097.65</v>
      </c>
      <c r="E36" s="41"/>
      <c r="F36" s="41"/>
      <c r="G36" s="41"/>
      <c r="H36" s="41">
        <f aca="true" t="shared" si="10" ref="H36:H58">D36+E36+F36+G36</f>
        <v>21097.65</v>
      </c>
      <c r="I36" s="41"/>
      <c r="J36" s="41"/>
      <c r="K36" s="41"/>
      <c r="L36" s="41">
        <f aca="true" t="shared" si="11" ref="L36:L58">J36+K36</f>
        <v>0</v>
      </c>
      <c r="M36" s="41"/>
      <c r="N36" s="82">
        <v>1696.66</v>
      </c>
      <c r="O36" s="41"/>
      <c r="P36" s="41">
        <f aca="true" t="shared" si="12" ref="P36:P58">N36+O36</f>
        <v>1696.66</v>
      </c>
      <c r="Q36" s="41"/>
      <c r="R36" s="35">
        <v>4357</v>
      </c>
      <c r="S36" s="4">
        <v>801</v>
      </c>
      <c r="T36" s="7" t="s">
        <v>25</v>
      </c>
      <c r="U36" s="41"/>
      <c r="V36" s="41"/>
      <c r="W36" s="41"/>
      <c r="X36" s="41">
        <f aca="true" t="shared" si="13" ref="X36:X58">SUM(U36:W36)</f>
        <v>0</v>
      </c>
      <c r="Y36" s="41"/>
      <c r="Z36" s="41">
        <v>2000</v>
      </c>
      <c r="AA36" s="41"/>
      <c r="AB36" s="41"/>
      <c r="AC36" s="41">
        <f aca="true" t="shared" si="14" ref="AC36:AC58">SUM(Z36:AB36)</f>
        <v>2000</v>
      </c>
    </row>
    <row r="37" spans="1:29" ht="12.75">
      <c r="A37" s="35">
        <v>4357</v>
      </c>
      <c r="B37" s="4">
        <v>803</v>
      </c>
      <c r="C37" s="7" t="s">
        <v>133</v>
      </c>
      <c r="D37" s="41">
        <v>11037.63</v>
      </c>
      <c r="E37" s="41"/>
      <c r="F37" s="41"/>
      <c r="G37" s="41"/>
      <c r="H37" s="41">
        <f t="shared" si="10"/>
        <v>11037.63</v>
      </c>
      <c r="I37" s="41"/>
      <c r="J37" s="41"/>
      <c r="K37" s="41"/>
      <c r="L37" s="41">
        <f t="shared" si="11"/>
        <v>0</v>
      </c>
      <c r="M37" s="41"/>
      <c r="N37" s="82">
        <v>1328.91</v>
      </c>
      <c r="O37" s="41"/>
      <c r="P37" s="41">
        <f t="shared" si="12"/>
        <v>1328.91</v>
      </c>
      <c r="Q37" s="41"/>
      <c r="R37" s="35">
        <v>4357</v>
      </c>
      <c r="S37" s="4">
        <v>803</v>
      </c>
      <c r="T37" s="7" t="s">
        <v>29</v>
      </c>
      <c r="U37" s="41"/>
      <c r="V37" s="41"/>
      <c r="W37" s="41"/>
      <c r="X37" s="41">
        <f t="shared" si="13"/>
        <v>0</v>
      </c>
      <c r="Y37" s="41"/>
      <c r="Z37" s="41"/>
      <c r="AA37" s="41"/>
      <c r="AB37" s="41"/>
      <c r="AC37" s="41">
        <f t="shared" si="14"/>
        <v>0</v>
      </c>
    </row>
    <row r="38" spans="1:29" ht="12.75">
      <c r="A38" s="35">
        <v>4350</v>
      </c>
      <c r="B38" s="4">
        <v>804</v>
      </c>
      <c r="C38" s="7" t="s">
        <v>142</v>
      </c>
      <c r="D38" s="41">
        <v>10539.41</v>
      </c>
      <c r="E38" s="41"/>
      <c r="F38" s="41"/>
      <c r="G38" s="41"/>
      <c r="H38" s="41">
        <f t="shared" si="10"/>
        <v>10539.41</v>
      </c>
      <c r="I38" s="41"/>
      <c r="J38" s="41"/>
      <c r="K38" s="41"/>
      <c r="L38" s="41">
        <f t="shared" si="11"/>
        <v>0</v>
      </c>
      <c r="M38" s="41"/>
      <c r="N38" s="82">
        <v>1029.73</v>
      </c>
      <c r="O38" s="41"/>
      <c r="P38" s="41">
        <f t="shared" si="12"/>
        <v>1029.73</v>
      </c>
      <c r="Q38" s="41"/>
      <c r="R38" s="35">
        <v>4350</v>
      </c>
      <c r="S38" s="4">
        <v>804</v>
      </c>
      <c r="T38" s="7" t="s">
        <v>61</v>
      </c>
      <c r="U38" s="41"/>
      <c r="V38" s="41"/>
      <c r="W38" s="41"/>
      <c r="X38" s="41">
        <f t="shared" si="13"/>
        <v>0</v>
      </c>
      <c r="Y38" s="41"/>
      <c r="Z38" s="41"/>
      <c r="AA38" s="41"/>
      <c r="AB38" s="41"/>
      <c r="AC38" s="41">
        <f t="shared" si="14"/>
        <v>0</v>
      </c>
    </row>
    <row r="39" spans="1:29" ht="12.75">
      <c r="A39" s="35">
        <v>4350</v>
      </c>
      <c r="B39" s="4">
        <v>805</v>
      </c>
      <c r="C39" s="7" t="s">
        <v>134</v>
      </c>
      <c r="D39" s="41">
        <v>27999.94</v>
      </c>
      <c r="E39" s="41"/>
      <c r="F39" s="41"/>
      <c r="G39" s="41"/>
      <c r="H39" s="41">
        <f t="shared" si="10"/>
        <v>27999.94</v>
      </c>
      <c r="I39" s="41"/>
      <c r="J39" s="41"/>
      <c r="K39" s="41"/>
      <c r="L39" s="41">
        <f t="shared" si="11"/>
        <v>0</v>
      </c>
      <c r="M39" s="41"/>
      <c r="N39" s="82">
        <v>2977.77</v>
      </c>
      <c r="O39" s="41"/>
      <c r="P39" s="41">
        <f t="shared" si="12"/>
        <v>2977.77</v>
      </c>
      <c r="Q39" s="41"/>
      <c r="R39" s="35">
        <v>4350</v>
      </c>
      <c r="S39" s="4">
        <v>805</v>
      </c>
      <c r="T39" s="7" t="s">
        <v>117</v>
      </c>
      <c r="U39" s="41"/>
      <c r="V39" s="41"/>
      <c r="W39" s="41"/>
      <c r="X39" s="41">
        <f t="shared" si="13"/>
        <v>0</v>
      </c>
      <c r="Y39" s="41"/>
      <c r="Z39" s="41">
        <v>3300</v>
      </c>
      <c r="AA39" s="41"/>
      <c r="AB39" s="41"/>
      <c r="AC39" s="41">
        <f t="shared" si="14"/>
        <v>3300</v>
      </c>
    </row>
    <row r="40" spans="1:29" ht="12.75">
      <c r="A40" s="35">
        <v>4350</v>
      </c>
      <c r="B40" s="4">
        <v>806</v>
      </c>
      <c r="C40" s="7" t="s">
        <v>30</v>
      </c>
      <c r="D40" s="41">
        <v>5064.67</v>
      </c>
      <c r="E40" s="41"/>
      <c r="F40" s="41"/>
      <c r="G40" s="41"/>
      <c r="H40" s="41">
        <f t="shared" si="10"/>
        <v>5064.67</v>
      </c>
      <c r="I40" s="41"/>
      <c r="J40" s="41"/>
      <c r="K40" s="41"/>
      <c r="L40" s="41">
        <f t="shared" si="11"/>
        <v>0</v>
      </c>
      <c r="M40" s="41"/>
      <c r="N40" s="82">
        <v>479.5</v>
      </c>
      <c r="O40" s="41"/>
      <c r="P40" s="41">
        <f t="shared" si="12"/>
        <v>479.5</v>
      </c>
      <c r="Q40" s="41"/>
      <c r="R40" s="35">
        <v>4350</v>
      </c>
      <c r="S40" s="4">
        <v>806</v>
      </c>
      <c r="T40" s="7" t="s">
        <v>30</v>
      </c>
      <c r="U40" s="41"/>
      <c r="V40" s="41"/>
      <c r="W40" s="41"/>
      <c r="X40" s="41">
        <f t="shared" si="13"/>
        <v>0</v>
      </c>
      <c r="Y40" s="41"/>
      <c r="Z40" s="41"/>
      <c r="AA40" s="41"/>
      <c r="AB40" s="41"/>
      <c r="AC40" s="41">
        <f t="shared" si="14"/>
        <v>0</v>
      </c>
    </row>
    <row r="41" spans="1:29" ht="12.75">
      <c r="A41" s="35">
        <v>4357</v>
      </c>
      <c r="B41" s="4">
        <v>807</v>
      </c>
      <c r="C41" s="7" t="s">
        <v>135</v>
      </c>
      <c r="D41" s="41">
        <v>15004.58</v>
      </c>
      <c r="E41" s="41"/>
      <c r="F41" s="41"/>
      <c r="G41" s="45"/>
      <c r="H41" s="41">
        <f t="shared" si="10"/>
        <v>15004.58</v>
      </c>
      <c r="I41" s="41"/>
      <c r="J41" s="41"/>
      <c r="K41" s="41"/>
      <c r="L41" s="41">
        <f t="shared" si="11"/>
        <v>0</v>
      </c>
      <c r="M41" s="41"/>
      <c r="N41" s="82">
        <v>1599.08</v>
      </c>
      <c r="O41" s="41"/>
      <c r="P41" s="41">
        <f t="shared" si="12"/>
        <v>1599.08</v>
      </c>
      <c r="Q41" s="41"/>
      <c r="R41" s="35">
        <v>4357</v>
      </c>
      <c r="S41" s="4">
        <v>807</v>
      </c>
      <c r="T41" s="7" t="s">
        <v>78</v>
      </c>
      <c r="U41" s="41"/>
      <c r="V41" s="41"/>
      <c r="W41" s="41"/>
      <c r="X41" s="41">
        <f t="shared" si="13"/>
        <v>0</v>
      </c>
      <c r="Y41" s="41"/>
      <c r="Z41" s="41"/>
      <c r="AA41" s="41"/>
      <c r="AB41" s="41"/>
      <c r="AC41" s="41">
        <f t="shared" si="14"/>
        <v>0</v>
      </c>
    </row>
    <row r="42" spans="1:29" ht="12.75">
      <c r="A42" s="35">
        <v>4350</v>
      </c>
      <c r="B42" s="4">
        <v>808</v>
      </c>
      <c r="C42" s="7" t="s">
        <v>16</v>
      </c>
      <c r="D42" s="41">
        <v>8105.94</v>
      </c>
      <c r="E42" s="41"/>
      <c r="F42" s="41"/>
      <c r="G42" s="45"/>
      <c r="H42" s="41">
        <f t="shared" si="10"/>
        <v>8105.94</v>
      </c>
      <c r="I42" s="41"/>
      <c r="J42" s="41"/>
      <c r="K42" s="41"/>
      <c r="L42" s="41">
        <f t="shared" si="11"/>
        <v>0</v>
      </c>
      <c r="M42" s="41"/>
      <c r="N42" s="82">
        <v>233.17</v>
      </c>
      <c r="O42" s="41"/>
      <c r="P42" s="41">
        <f t="shared" si="12"/>
        <v>233.17</v>
      </c>
      <c r="Q42" s="41"/>
      <c r="R42" s="35">
        <v>4350</v>
      </c>
      <c r="S42" s="4">
        <v>808</v>
      </c>
      <c r="T42" s="7" t="s">
        <v>16</v>
      </c>
      <c r="U42" s="41"/>
      <c r="V42" s="41"/>
      <c r="W42" s="41"/>
      <c r="X42" s="41">
        <f t="shared" si="13"/>
        <v>0</v>
      </c>
      <c r="Y42" s="41"/>
      <c r="Z42" s="41"/>
      <c r="AA42" s="41"/>
      <c r="AB42" s="41"/>
      <c r="AC42" s="41">
        <f t="shared" si="14"/>
        <v>0</v>
      </c>
    </row>
    <row r="43" spans="1:29" ht="12.75">
      <c r="A43" s="35">
        <v>4350</v>
      </c>
      <c r="B43" s="4">
        <v>809</v>
      </c>
      <c r="C43" s="7" t="s">
        <v>157</v>
      </c>
      <c r="D43" s="41">
        <v>14306.58</v>
      </c>
      <c r="E43" s="41"/>
      <c r="F43" s="41"/>
      <c r="G43" s="45"/>
      <c r="H43" s="41">
        <f t="shared" si="10"/>
        <v>14306.58</v>
      </c>
      <c r="I43" s="41"/>
      <c r="J43" s="41"/>
      <c r="K43" s="41"/>
      <c r="L43" s="41">
        <f t="shared" si="11"/>
        <v>0</v>
      </c>
      <c r="M43" s="41"/>
      <c r="N43" s="82">
        <v>1828.76</v>
      </c>
      <c r="O43" s="41"/>
      <c r="P43" s="41">
        <f t="shared" si="12"/>
        <v>1828.76</v>
      </c>
      <c r="Q43" s="41"/>
      <c r="R43" s="35">
        <v>4350</v>
      </c>
      <c r="S43" s="4">
        <v>809</v>
      </c>
      <c r="T43" s="7" t="s">
        <v>157</v>
      </c>
      <c r="U43" s="41"/>
      <c r="V43" s="41"/>
      <c r="W43" s="41"/>
      <c r="X43" s="41">
        <f t="shared" si="13"/>
        <v>0</v>
      </c>
      <c r="Y43" s="41"/>
      <c r="Z43" s="41">
        <v>8300</v>
      </c>
      <c r="AA43" s="41"/>
      <c r="AB43" s="41"/>
      <c r="AC43" s="41">
        <f t="shared" si="14"/>
        <v>8300</v>
      </c>
    </row>
    <row r="44" spans="1:29" ht="12.75">
      <c r="A44" s="35">
        <v>4350</v>
      </c>
      <c r="B44" s="4">
        <v>810</v>
      </c>
      <c r="C44" s="7" t="s">
        <v>76</v>
      </c>
      <c r="D44" s="41">
        <v>4979.58</v>
      </c>
      <c r="E44" s="41"/>
      <c r="F44" s="41"/>
      <c r="G44" s="45"/>
      <c r="H44" s="41">
        <f t="shared" si="10"/>
        <v>4979.58</v>
      </c>
      <c r="I44" s="41"/>
      <c r="J44" s="41"/>
      <c r="K44" s="41"/>
      <c r="L44" s="41">
        <f t="shared" si="11"/>
        <v>0</v>
      </c>
      <c r="M44" s="41"/>
      <c r="N44" s="82">
        <v>352.85</v>
      </c>
      <c r="O44" s="41"/>
      <c r="P44" s="41">
        <f t="shared" si="12"/>
        <v>352.85</v>
      </c>
      <c r="Q44" s="41"/>
      <c r="R44" s="35">
        <v>4350</v>
      </c>
      <c r="S44" s="4">
        <v>810</v>
      </c>
      <c r="T44" s="7" t="s">
        <v>76</v>
      </c>
      <c r="U44" s="41"/>
      <c r="V44" s="41"/>
      <c r="W44" s="41"/>
      <c r="X44" s="41">
        <f t="shared" si="13"/>
        <v>0</v>
      </c>
      <c r="Y44" s="41"/>
      <c r="Z44" s="41"/>
      <c r="AA44" s="41"/>
      <c r="AB44" s="41"/>
      <c r="AC44" s="41">
        <f t="shared" si="14"/>
        <v>0</v>
      </c>
    </row>
    <row r="45" spans="1:29" ht="12.75">
      <c r="A45" s="35">
        <v>4350</v>
      </c>
      <c r="B45" s="4">
        <v>811</v>
      </c>
      <c r="C45" s="7" t="s">
        <v>73</v>
      </c>
      <c r="D45" s="41">
        <v>5580.3</v>
      </c>
      <c r="E45" s="41"/>
      <c r="F45" s="41"/>
      <c r="G45" s="45"/>
      <c r="H45" s="41">
        <f t="shared" si="10"/>
        <v>5580.3</v>
      </c>
      <c r="I45" s="41"/>
      <c r="J45" s="41"/>
      <c r="K45" s="41"/>
      <c r="L45" s="41">
        <f t="shared" si="11"/>
        <v>0</v>
      </c>
      <c r="M45" s="41"/>
      <c r="N45" s="82">
        <v>801.75</v>
      </c>
      <c r="O45" s="41"/>
      <c r="P45" s="41">
        <f t="shared" si="12"/>
        <v>801.75</v>
      </c>
      <c r="Q45" s="41"/>
      <c r="R45" s="35">
        <v>4350</v>
      </c>
      <c r="S45" s="4">
        <v>811</v>
      </c>
      <c r="T45" s="7" t="s">
        <v>73</v>
      </c>
      <c r="U45" s="41"/>
      <c r="V45" s="41"/>
      <c r="W45" s="41"/>
      <c r="X45" s="41">
        <f t="shared" si="13"/>
        <v>0</v>
      </c>
      <c r="Y45" s="41"/>
      <c r="Z45" s="41">
        <v>1300</v>
      </c>
      <c r="AA45" s="41"/>
      <c r="AB45" s="41"/>
      <c r="AC45" s="41">
        <f t="shared" si="14"/>
        <v>1300</v>
      </c>
    </row>
    <row r="46" spans="1:29" ht="12.75">
      <c r="A46" s="35">
        <v>4357</v>
      </c>
      <c r="B46" s="4">
        <v>813</v>
      </c>
      <c r="C46" s="7" t="s">
        <v>71</v>
      </c>
      <c r="D46" s="41">
        <v>32870.14</v>
      </c>
      <c r="E46" s="41"/>
      <c r="F46" s="41"/>
      <c r="G46" s="45"/>
      <c r="H46" s="41">
        <f t="shared" si="10"/>
        <v>32870.14</v>
      </c>
      <c r="I46" s="41"/>
      <c r="J46" s="41"/>
      <c r="K46" s="41"/>
      <c r="L46" s="41">
        <f t="shared" si="11"/>
        <v>0</v>
      </c>
      <c r="M46" s="41"/>
      <c r="N46" s="82">
        <v>868.71</v>
      </c>
      <c r="O46" s="41"/>
      <c r="P46" s="41">
        <f t="shared" si="12"/>
        <v>868.71</v>
      </c>
      <c r="Q46" s="41"/>
      <c r="R46" s="35">
        <v>4357</v>
      </c>
      <c r="S46" s="4">
        <v>813</v>
      </c>
      <c r="T46" s="7" t="s">
        <v>71</v>
      </c>
      <c r="U46" s="41">
        <v>150</v>
      </c>
      <c r="V46" s="41"/>
      <c r="W46" s="41"/>
      <c r="X46" s="41">
        <f t="shared" si="13"/>
        <v>150</v>
      </c>
      <c r="Y46" s="41"/>
      <c r="Z46" s="41">
        <v>3369.06</v>
      </c>
      <c r="AA46" s="41"/>
      <c r="AB46" s="41"/>
      <c r="AC46" s="41">
        <f t="shared" si="14"/>
        <v>3369.06</v>
      </c>
    </row>
    <row r="47" spans="1:29" ht="12.75">
      <c r="A47" s="35">
        <v>4357</v>
      </c>
      <c r="B47" s="4">
        <v>814</v>
      </c>
      <c r="C47" s="8" t="s">
        <v>119</v>
      </c>
      <c r="D47" s="41">
        <v>14032.49</v>
      </c>
      <c r="E47" s="41"/>
      <c r="F47" s="41"/>
      <c r="G47" s="45"/>
      <c r="H47" s="41">
        <f t="shared" si="10"/>
        <v>14032.49</v>
      </c>
      <c r="I47" s="41"/>
      <c r="J47" s="41"/>
      <c r="K47" s="41"/>
      <c r="L47" s="41">
        <f t="shared" si="11"/>
        <v>0</v>
      </c>
      <c r="M47" s="41"/>
      <c r="N47" s="82">
        <v>817.58</v>
      </c>
      <c r="O47" s="41"/>
      <c r="P47" s="41">
        <f t="shared" si="12"/>
        <v>817.58</v>
      </c>
      <c r="Q47" s="41"/>
      <c r="R47" s="35">
        <v>4357</v>
      </c>
      <c r="S47" s="4">
        <v>814</v>
      </c>
      <c r="T47" s="37" t="s">
        <v>119</v>
      </c>
      <c r="U47" s="41"/>
      <c r="V47" s="41"/>
      <c r="W47" s="41"/>
      <c r="X47" s="41">
        <f t="shared" si="13"/>
        <v>0</v>
      </c>
      <c r="Y47" s="41"/>
      <c r="Z47" s="41">
        <v>2000</v>
      </c>
      <c r="AA47" s="41"/>
      <c r="AB47" s="41"/>
      <c r="AC47" s="41">
        <f t="shared" si="14"/>
        <v>2000</v>
      </c>
    </row>
    <row r="48" spans="1:29" ht="12.75" customHeight="1">
      <c r="A48" s="35">
        <v>4357</v>
      </c>
      <c r="B48" s="4">
        <v>815</v>
      </c>
      <c r="C48" s="8" t="s">
        <v>136</v>
      </c>
      <c r="D48" s="41">
        <v>11096.31</v>
      </c>
      <c r="E48" s="45"/>
      <c r="F48" s="41"/>
      <c r="G48" s="45"/>
      <c r="H48" s="41">
        <f t="shared" si="10"/>
        <v>11096.31</v>
      </c>
      <c r="I48" s="41"/>
      <c r="J48" s="41"/>
      <c r="K48" s="41"/>
      <c r="L48" s="41">
        <f t="shared" si="11"/>
        <v>0</v>
      </c>
      <c r="M48" s="41"/>
      <c r="N48" s="82">
        <v>1875.6</v>
      </c>
      <c r="O48" s="41"/>
      <c r="P48" s="41">
        <f t="shared" si="12"/>
        <v>1875.6</v>
      </c>
      <c r="Q48" s="41"/>
      <c r="R48" s="35">
        <v>4357</v>
      </c>
      <c r="S48" s="4">
        <v>815</v>
      </c>
      <c r="T48" s="37" t="s">
        <v>118</v>
      </c>
      <c r="U48" s="41"/>
      <c r="V48" s="41"/>
      <c r="W48" s="41"/>
      <c r="X48" s="41">
        <f t="shared" si="13"/>
        <v>0</v>
      </c>
      <c r="Y48" s="41"/>
      <c r="Z48" s="41">
        <v>494.01</v>
      </c>
      <c r="AA48" s="41"/>
      <c r="AB48" s="41"/>
      <c r="AC48" s="41">
        <f t="shared" si="14"/>
        <v>494.01</v>
      </c>
    </row>
    <row r="49" spans="1:29" ht="12.75">
      <c r="A49" s="35">
        <v>4357</v>
      </c>
      <c r="B49" s="4">
        <v>816</v>
      </c>
      <c r="C49" s="8" t="s">
        <v>26</v>
      </c>
      <c r="D49" s="41">
        <v>18893.37</v>
      </c>
      <c r="E49" s="45"/>
      <c r="F49" s="41"/>
      <c r="G49" s="45"/>
      <c r="H49" s="41">
        <f t="shared" si="10"/>
        <v>18893.37</v>
      </c>
      <c r="I49" s="41"/>
      <c r="J49" s="41"/>
      <c r="K49" s="41"/>
      <c r="L49" s="41">
        <f t="shared" si="11"/>
        <v>0</v>
      </c>
      <c r="M49" s="41"/>
      <c r="N49" s="82">
        <v>1865.31</v>
      </c>
      <c r="O49" s="41"/>
      <c r="P49" s="41">
        <f t="shared" si="12"/>
        <v>1865.31</v>
      </c>
      <c r="Q49" s="41"/>
      <c r="R49" s="35">
        <v>4357</v>
      </c>
      <c r="S49" s="4">
        <v>816</v>
      </c>
      <c r="T49" s="8" t="s">
        <v>26</v>
      </c>
      <c r="U49" s="41"/>
      <c r="V49" s="41"/>
      <c r="W49" s="41"/>
      <c r="X49" s="41">
        <f t="shared" si="13"/>
        <v>0</v>
      </c>
      <c r="Y49" s="41"/>
      <c r="Z49" s="41">
        <v>716.35</v>
      </c>
      <c r="AA49" s="41"/>
      <c r="AB49" s="41"/>
      <c r="AC49" s="41">
        <f t="shared" si="14"/>
        <v>716.35</v>
      </c>
    </row>
    <row r="50" spans="1:29" ht="12.75">
      <c r="A50" s="35">
        <v>4357</v>
      </c>
      <c r="B50" s="4">
        <v>818</v>
      </c>
      <c r="C50" s="8" t="s">
        <v>58</v>
      </c>
      <c r="D50" s="41">
        <v>20466.41</v>
      </c>
      <c r="E50" s="45"/>
      <c r="F50" s="41"/>
      <c r="G50" s="45"/>
      <c r="H50" s="41">
        <f t="shared" si="10"/>
        <v>20466.41</v>
      </c>
      <c r="I50" s="41"/>
      <c r="J50" s="41"/>
      <c r="K50" s="41"/>
      <c r="L50" s="41">
        <f t="shared" si="11"/>
        <v>0</v>
      </c>
      <c r="M50" s="41"/>
      <c r="N50" s="82">
        <v>2351.87</v>
      </c>
      <c r="O50" s="41"/>
      <c r="P50" s="41">
        <f t="shared" si="12"/>
        <v>2351.87</v>
      </c>
      <c r="Q50" s="41"/>
      <c r="R50" s="35">
        <v>4357</v>
      </c>
      <c r="S50" s="4">
        <v>818</v>
      </c>
      <c r="T50" s="8" t="s">
        <v>58</v>
      </c>
      <c r="U50" s="41">
        <v>1000</v>
      </c>
      <c r="V50" s="41"/>
      <c r="W50" s="41"/>
      <c r="X50" s="41">
        <f t="shared" si="13"/>
        <v>1000</v>
      </c>
      <c r="Y50" s="41"/>
      <c r="Z50" s="41"/>
      <c r="AA50" s="41"/>
      <c r="AB50" s="41"/>
      <c r="AC50" s="41">
        <f t="shared" si="14"/>
        <v>0</v>
      </c>
    </row>
    <row r="51" spans="1:29" ht="12.75">
      <c r="A51" s="35">
        <v>4357</v>
      </c>
      <c r="B51" s="4">
        <v>819</v>
      </c>
      <c r="C51" s="8" t="s">
        <v>143</v>
      </c>
      <c r="D51" s="41">
        <v>15798.25</v>
      </c>
      <c r="E51" s="45"/>
      <c r="F51" s="41"/>
      <c r="G51" s="45"/>
      <c r="H51" s="41">
        <f t="shared" si="10"/>
        <v>15798.25</v>
      </c>
      <c r="I51" s="41"/>
      <c r="J51" s="41"/>
      <c r="K51" s="41"/>
      <c r="L51" s="41">
        <f t="shared" si="11"/>
        <v>0</v>
      </c>
      <c r="M51" s="41"/>
      <c r="N51" s="82">
        <v>808.83</v>
      </c>
      <c r="O51" s="41"/>
      <c r="P51" s="41">
        <f t="shared" si="12"/>
        <v>808.83</v>
      </c>
      <c r="Q51" s="41"/>
      <c r="R51" s="35">
        <v>4357</v>
      </c>
      <c r="S51" s="4">
        <v>819</v>
      </c>
      <c r="T51" s="8" t="s">
        <v>79</v>
      </c>
      <c r="U51" s="41"/>
      <c r="V51" s="41"/>
      <c r="W51" s="41"/>
      <c r="X51" s="41">
        <f t="shared" si="13"/>
        <v>0</v>
      </c>
      <c r="Y51" s="41"/>
      <c r="Z51" s="41"/>
      <c r="AA51" s="41"/>
      <c r="AB51" s="41"/>
      <c r="AC51" s="41">
        <f t="shared" si="14"/>
        <v>0</v>
      </c>
    </row>
    <row r="52" spans="1:29" ht="12.75">
      <c r="A52" s="35">
        <v>4357</v>
      </c>
      <c r="B52" s="4">
        <v>820</v>
      </c>
      <c r="C52" s="8" t="s">
        <v>148</v>
      </c>
      <c r="D52" s="41">
        <v>14819.13</v>
      </c>
      <c r="E52" s="45"/>
      <c r="F52" s="41"/>
      <c r="G52" s="45"/>
      <c r="H52" s="41">
        <f t="shared" si="10"/>
        <v>14819.13</v>
      </c>
      <c r="I52" s="41"/>
      <c r="J52" s="41"/>
      <c r="K52" s="41"/>
      <c r="L52" s="41">
        <f t="shared" si="11"/>
        <v>0</v>
      </c>
      <c r="M52" s="41"/>
      <c r="N52" s="82">
        <v>1702.16</v>
      </c>
      <c r="O52" s="41"/>
      <c r="P52" s="41">
        <f t="shared" si="12"/>
        <v>1702.16</v>
      </c>
      <c r="Q52" s="41"/>
      <c r="R52" s="35">
        <v>4357</v>
      </c>
      <c r="S52" s="4">
        <v>820</v>
      </c>
      <c r="T52" s="8" t="s">
        <v>148</v>
      </c>
      <c r="U52" s="41"/>
      <c r="V52" s="41"/>
      <c r="W52" s="41"/>
      <c r="X52" s="41">
        <f t="shared" si="13"/>
        <v>0</v>
      </c>
      <c r="Y52" s="41"/>
      <c r="Z52" s="41"/>
      <c r="AA52" s="41"/>
      <c r="AB52" s="41"/>
      <c r="AC52" s="41">
        <f t="shared" si="14"/>
        <v>0</v>
      </c>
    </row>
    <row r="53" spans="1:29" ht="12.75">
      <c r="A53" s="35">
        <v>4357</v>
      </c>
      <c r="B53" s="4">
        <v>821</v>
      </c>
      <c r="C53" s="8" t="s">
        <v>137</v>
      </c>
      <c r="D53" s="41">
        <v>10394.01</v>
      </c>
      <c r="E53" s="45"/>
      <c r="F53" s="41"/>
      <c r="G53" s="45"/>
      <c r="H53" s="41">
        <f t="shared" si="10"/>
        <v>10394.01</v>
      </c>
      <c r="I53" s="41"/>
      <c r="J53" s="41"/>
      <c r="K53" s="41"/>
      <c r="L53" s="41">
        <f t="shared" si="11"/>
        <v>0</v>
      </c>
      <c r="M53" s="41"/>
      <c r="N53" s="82">
        <v>2082.75</v>
      </c>
      <c r="O53" s="41"/>
      <c r="P53" s="41">
        <f t="shared" si="12"/>
        <v>2082.75</v>
      </c>
      <c r="Q53" s="41"/>
      <c r="R53" s="35">
        <v>4357</v>
      </c>
      <c r="S53" s="4">
        <v>821</v>
      </c>
      <c r="T53" s="8" t="s">
        <v>64</v>
      </c>
      <c r="U53" s="41"/>
      <c r="V53" s="41"/>
      <c r="W53" s="41"/>
      <c r="X53" s="41">
        <f t="shared" si="13"/>
        <v>0</v>
      </c>
      <c r="Y53" s="41"/>
      <c r="Z53" s="41"/>
      <c r="AA53" s="41"/>
      <c r="AB53" s="41"/>
      <c r="AC53" s="41">
        <f t="shared" si="14"/>
        <v>0</v>
      </c>
    </row>
    <row r="54" spans="1:29" ht="12.75">
      <c r="A54" s="35">
        <v>4350</v>
      </c>
      <c r="B54" s="4">
        <v>824</v>
      </c>
      <c r="C54" s="8" t="s">
        <v>77</v>
      </c>
      <c r="D54" s="41">
        <v>13432.8</v>
      </c>
      <c r="E54" s="41"/>
      <c r="F54" s="41"/>
      <c r="G54" s="41"/>
      <c r="H54" s="41">
        <f t="shared" si="10"/>
        <v>13432.8</v>
      </c>
      <c r="I54" s="41"/>
      <c r="J54" s="41"/>
      <c r="K54" s="41"/>
      <c r="L54" s="41">
        <f t="shared" si="11"/>
        <v>0</v>
      </c>
      <c r="M54" s="41"/>
      <c r="N54" s="82">
        <v>1853.6</v>
      </c>
      <c r="O54" s="41"/>
      <c r="P54" s="41">
        <f t="shared" si="12"/>
        <v>1853.6</v>
      </c>
      <c r="Q54" s="41"/>
      <c r="R54" s="35">
        <v>4350</v>
      </c>
      <c r="S54" s="4">
        <v>824</v>
      </c>
      <c r="T54" s="8" t="s">
        <v>77</v>
      </c>
      <c r="U54" s="41">
        <v>1500</v>
      </c>
      <c r="V54" s="41"/>
      <c r="W54" s="41"/>
      <c r="X54" s="41">
        <f t="shared" si="13"/>
        <v>1500</v>
      </c>
      <c r="Y54" s="41"/>
      <c r="Z54" s="41"/>
      <c r="AA54" s="41"/>
      <c r="AB54" s="41"/>
      <c r="AC54" s="41">
        <f t="shared" si="14"/>
        <v>0</v>
      </c>
    </row>
    <row r="55" spans="1:29" ht="12.75">
      <c r="A55" s="35">
        <v>4350</v>
      </c>
      <c r="B55" s="4">
        <v>825</v>
      </c>
      <c r="C55" s="8" t="s">
        <v>33</v>
      </c>
      <c r="D55" s="41">
        <v>4497.08</v>
      </c>
      <c r="E55" s="41"/>
      <c r="F55" s="41"/>
      <c r="G55" s="41"/>
      <c r="H55" s="41">
        <f t="shared" si="10"/>
        <v>4497.08</v>
      </c>
      <c r="I55" s="41"/>
      <c r="J55" s="41"/>
      <c r="K55" s="41"/>
      <c r="L55" s="41">
        <f t="shared" si="11"/>
        <v>0</v>
      </c>
      <c r="M55" s="41"/>
      <c r="N55" s="82">
        <v>259.9</v>
      </c>
      <c r="O55" s="41"/>
      <c r="P55" s="41">
        <f t="shared" si="12"/>
        <v>259.9</v>
      </c>
      <c r="Q55" s="41"/>
      <c r="R55" s="35">
        <v>4350</v>
      </c>
      <c r="S55" s="4">
        <v>825</v>
      </c>
      <c r="T55" s="8" t="s">
        <v>33</v>
      </c>
      <c r="U55" s="41"/>
      <c r="V55" s="41"/>
      <c r="W55" s="41"/>
      <c r="X55" s="41">
        <f t="shared" si="13"/>
        <v>0</v>
      </c>
      <c r="Y55" s="41"/>
      <c r="Z55" s="41">
        <v>202.37</v>
      </c>
      <c r="AA55" s="41"/>
      <c r="AB55" s="41"/>
      <c r="AC55" s="41">
        <f t="shared" si="14"/>
        <v>202.37</v>
      </c>
    </row>
    <row r="56" spans="1:29" ht="12.75">
      <c r="A56" s="35">
        <v>4350</v>
      </c>
      <c r="B56" s="4">
        <v>826</v>
      </c>
      <c r="C56" s="8" t="s">
        <v>138</v>
      </c>
      <c r="D56" s="41">
        <v>12147.08</v>
      </c>
      <c r="E56" s="41"/>
      <c r="F56" s="41"/>
      <c r="G56" s="41"/>
      <c r="H56" s="41">
        <f t="shared" si="10"/>
        <v>12147.08</v>
      </c>
      <c r="I56" s="41"/>
      <c r="J56" s="41"/>
      <c r="K56" s="41"/>
      <c r="L56" s="41">
        <f t="shared" si="11"/>
        <v>0</v>
      </c>
      <c r="M56" s="41"/>
      <c r="N56" s="82">
        <v>851.73</v>
      </c>
      <c r="O56" s="41"/>
      <c r="P56" s="41">
        <f t="shared" si="12"/>
        <v>851.73</v>
      </c>
      <c r="Q56" s="41"/>
      <c r="R56" s="35">
        <v>4350</v>
      </c>
      <c r="S56" s="4">
        <v>826</v>
      </c>
      <c r="T56" s="8" t="s">
        <v>62</v>
      </c>
      <c r="U56" s="41"/>
      <c r="V56" s="41"/>
      <c r="W56" s="41"/>
      <c r="X56" s="41">
        <f t="shared" si="13"/>
        <v>0</v>
      </c>
      <c r="Y56" s="41"/>
      <c r="Z56" s="41">
        <v>2505</v>
      </c>
      <c r="AA56" s="41"/>
      <c r="AB56" s="41"/>
      <c r="AC56" s="41">
        <f t="shared" si="14"/>
        <v>2505</v>
      </c>
    </row>
    <row r="57" spans="1:29" ht="12.75">
      <c r="A57" s="35">
        <v>4350</v>
      </c>
      <c r="B57" s="4">
        <v>827</v>
      </c>
      <c r="C57" s="8" t="s">
        <v>139</v>
      </c>
      <c r="D57" s="41">
        <v>7497.14</v>
      </c>
      <c r="E57" s="41"/>
      <c r="F57" s="41"/>
      <c r="G57" s="41"/>
      <c r="H57" s="41">
        <f t="shared" si="10"/>
        <v>7497.14</v>
      </c>
      <c r="I57" s="41"/>
      <c r="J57" s="41"/>
      <c r="K57" s="41"/>
      <c r="L57" s="41">
        <f t="shared" si="11"/>
        <v>0</v>
      </c>
      <c r="M57" s="41"/>
      <c r="N57" s="82">
        <v>1068.75</v>
      </c>
      <c r="O57" s="41"/>
      <c r="P57" s="41">
        <f t="shared" si="12"/>
        <v>1068.75</v>
      </c>
      <c r="Q57" s="41"/>
      <c r="R57" s="35">
        <v>4350</v>
      </c>
      <c r="S57" s="4">
        <v>827</v>
      </c>
      <c r="T57" s="8" t="s">
        <v>32</v>
      </c>
      <c r="U57" s="41"/>
      <c r="V57" s="41"/>
      <c r="W57" s="41"/>
      <c r="X57" s="41">
        <f t="shared" si="13"/>
        <v>0</v>
      </c>
      <c r="Y57" s="41"/>
      <c r="Z57" s="41"/>
      <c r="AA57" s="41"/>
      <c r="AB57" s="41"/>
      <c r="AC57" s="41">
        <f t="shared" si="14"/>
        <v>0</v>
      </c>
    </row>
    <row r="58" spans="1:29" ht="12.75">
      <c r="A58" s="35">
        <v>4357</v>
      </c>
      <c r="B58" s="4">
        <v>828</v>
      </c>
      <c r="C58" s="8" t="s">
        <v>140</v>
      </c>
      <c r="D58" s="41">
        <v>10039.51</v>
      </c>
      <c r="E58" s="41"/>
      <c r="F58" s="41"/>
      <c r="G58" s="41"/>
      <c r="H58" s="41">
        <f t="shared" si="10"/>
        <v>10039.51</v>
      </c>
      <c r="I58" s="41"/>
      <c r="J58" s="41"/>
      <c r="K58" s="41"/>
      <c r="L58" s="41">
        <f t="shared" si="11"/>
        <v>0</v>
      </c>
      <c r="M58" s="41"/>
      <c r="N58" s="82">
        <v>1204.03</v>
      </c>
      <c r="O58" s="41"/>
      <c r="P58" s="41">
        <f t="shared" si="12"/>
        <v>1204.03</v>
      </c>
      <c r="Q58" s="41"/>
      <c r="R58" s="35">
        <v>4357</v>
      </c>
      <c r="S58" s="4">
        <v>828</v>
      </c>
      <c r="T58" s="8" t="s">
        <v>72</v>
      </c>
      <c r="U58" s="41"/>
      <c r="V58" s="41"/>
      <c r="W58" s="41"/>
      <c r="X58" s="41">
        <f t="shared" si="13"/>
        <v>0</v>
      </c>
      <c r="Y58" s="41"/>
      <c r="Z58" s="41">
        <v>710</v>
      </c>
      <c r="AA58" s="41"/>
      <c r="AB58" s="41"/>
      <c r="AC58" s="41">
        <f t="shared" si="14"/>
        <v>710</v>
      </c>
    </row>
    <row r="59" spans="1:29" ht="12.75">
      <c r="A59" s="35"/>
      <c r="B59" s="4"/>
      <c r="C59" s="10" t="s">
        <v>21</v>
      </c>
      <c r="D59" s="52">
        <f aca="true" t="shared" si="15" ref="D59:P59">SUM(D61:D132)</f>
        <v>536196.6499999999</v>
      </c>
      <c r="E59" s="79">
        <f t="shared" si="15"/>
        <v>54161.7</v>
      </c>
      <c r="F59" s="52">
        <f t="shared" si="15"/>
        <v>0</v>
      </c>
      <c r="G59" s="52">
        <f t="shared" si="15"/>
        <v>88.56</v>
      </c>
      <c r="H59" s="52">
        <f t="shared" si="15"/>
        <v>590446.9099999999</v>
      </c>
      <c r="I59" s="52">
        <f t="shared" si="15"/>
        <v>0</v>
      </c>
      <c r="J59" s="52">
        <f t="shared" si="15"/>
        <v>1755.6100000000001</v>
      </c>
      <c r="K59" s="52">
        <f t="shared" si="15"/>
        <v>5567</v>
      </c>
      <c r="L59" s="52">
        <f t="shared" si="15"/>
        <v>7322.61</v>
      </c>
      <c r="M59" s="52">
        <f t="shared" si="15"/>
        <v>0</v>
      </c>
      <c r="N59" s="52">
        <f t="shared" si="15"/>
        <v>54214.320000000014</v>
      </c>
      <c r="O59" s="52">
        <f t="shared" si="15"/>
        <v>54.38</v>
      </c>
      <c r="P59" s="52">
        <f t="shared" si="15"/>
        <v>54268.700000000004</v>
      </c>
      <c r="Q59" s="52"/>
      <c r="R59" s="58"/>
      <c r="S59" s="59"/>
      <c r="T59" s="52" t="s">
        <v>69</v>
      </c>
      <c r="U59" s="52">
        <f aca="true" t="shared" si="16" ref="U59:AC59">SUM(U61:U132)</f>
        <v>27899</v>
      </c>
      <c r="V59" s="52">
        <f t="shared" si="16"/>
        <v>-9403.6</v>
      </c>
      <c r="W59" s="52">
        <f t="shared" si="16"/>
        <v>0</v>
      </c>
      <c r="X59" s="52">
        <f t="shared" si="16"/>
        <v>18495.4</v>
      </c>
      <c r="Y59" s="52">
        <f t="shared" si="16"/>
        <v>0</v>
      </c>
      <c r="Z59" s="52">
        <f t="shared" si="16"/>
        <v>142024</v>
      </c>
      <c r="AA59" s="52">
        <f t="shared" si="16"/>
        <v>26692.2</v>
      </c>
      <c r="AB59" s="52">
        <f t="shared" si="16"/>
        <v>0</v>
      </c>
      <c r="AC59" s="52">
        <f t="shared" si="16"/>
        <v>168716.2</v>
      </c>
    </row>
    <row r="60" spans="1:29" ht="19.5" customHeight="1">
      <c r="A60" s="35"/>
      <c r="B60" s="4"/>
      <c r="C60" s="76" t="s">
        <v>159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8"/>
      <c r="S60" s="59"/>
      <c r="T60" s="53" t="s">
        <v>36</v>
      </c>
      <c r="U60" s="52"/>
      <c r="V60" s="52"/>
      <c r="W60" s="52"/>
      <c r="X60" s="52"/>
      <c r="Y60" s="52"/>
      <c r="Z60" s="52"/>
      <c r="AA60" s="52"/>
      <c r="AB60" s="52"/>
      <c r="AC60" s="52"/>
    </row>
    <row r="61" spans="1:29" ht="12.75">
      <c r="A61" s="35">
        <v>3121</v>
      </c>
      <c r="B61" s="4">
        <v>301</v>
      </c>
      <c r="C61" s="71" t="s">
        <v>6</v>
      </c>
      <c r="D61" s="41">
        <v>5457.969999999999</v>
      </c>
      <c r="E61" s="41">
        <f>65.9+575.5</f>
        <v>641.4</v>
      </c>
      <c r="F61" s="41"/>
      <c r="G61" s="45"/>
      <c r="H61" s="41">
        <f aca="true" t="shared" si="17" ref="H61:H124">D61+E61+F61+G61</f>
        <v>6099.369999999999</v>
      </c>
      <c r="I61" s="41"/>
      <c r="J61" s="51"/>
      <c r="K61" s="41">
        <f>270</f>
        <v>270</v>
      </c>
      <c r="L61" s="41">
        <f aca="true" t="shared" si="18" ref="L61:L124">J61+K61</f>
        <v>270</v>
      </c>
      <c r="M61" s="41"/>
      <c r="N61" s="41">
        <v>405.07</v>
      </c>
      <c r="O61" s="41"/>
      <c r="P61" s="41">
        <f aca="true" t="shared" si="19" ref="P61:P124">N61+O61</f>
        <v>405.07</v>
      </c>
      <c r="Q61" s="41"/>
      <c r="R61" s="35">
        <v>3121</v>
      </c>
      <c r="S61" s="4">
        <v>301</v>
      </c>
      <c r="T61" s="71" t="s">
        <v>6</v>
      </c>
      <c r="U61" s="41">
        <v>19025</v>
      </c>
      <c r="V61" s="41">
        <f>-1075-2010-2709.1-10230.9</f>
        <v>-16025</v>
      </c>
      <c r="W61" s="41"/>
      <c r="X61" s="41">
        <f aca="true" t="shared" si="20" ref="X61:X124">SUM(U61:W61)</f>
        <v>3000</v>
      </c>
      <c r="Y61" s="41"/>
      <c r="Z61" s="41"/>
      <c r="AA61" s="41"/>
      <c r="AB61" s="41"/>
      <c r="AC61" s="41">
        <f aca="true" t="shared" si="21" ref="AC61:AC124">SUM(Z61:AB61)</f>
        <v>0</v>
      </c>
    </row>
    <row r="62" spans="1:29" ht="12.75">
      <c r="A62" s="35">
        <v>3121</v>
      </c>
      <c r="B62" s="4">
        <v>302</v>
      </c>
      <c r="C62" s="71" t="s">
        <v>85</v>
      </c>
      <c r="D62" s="41">
        <v>7057.79</v>
      </c>
      <c r="E62" s="41">
        <f>189+401.4</f>
        <v>590.4</v>
      </c>
      <c r="F62" s="41"/>
      <c r="G62" s="45"/>
      <c r="H62" s="41">
        <f t="shared" si="17"/>
        <v>7648.19</v>
      </c>
      <c r="I62" s="41"/>
      <c r="J62" s="51"/>
      <c r="K62" s="41">
        <f>344</f>
        <v>344</v>
      </c>
      <c r="L62" s="41">
        <f t="shared" si="18"/>
        <v>344</v>
      </c>
      <c r="M62" s="41"/>
      <c r="N62" s="41">
        <v>293.84000000000003</v>
      </c>
      <c r="O62" s="41"/>
      <c r="P62" s="41">
        <f t="shared" si="19"/>
        <v>293.84000000000003</v>
      </c>
      <c r="Q62" s="41"/>
      <c r="R62" s="35">
        <v>3121</v>
      </c>
      <c r="S62" s="4">
        <v>302</v>
      </c>
      <c r="T62" s="71" t="s">
        <v>85</v>
      </c>
      <c r="U62" s="41">
        <v>350</v>
      </c>
      <c r="V62" s="41">
        <f>80</f>
        <v>80</v>
      </c>
      <c r="W62" s="41"/>
      <c r="X62" s="41">
        <f t="shared" si="20"/>
        <v>430</v>
      </c>
      <c r="Y62" s="41"/>
      <c r="Z62" s="41">
        <v>2741</v>
      </c>
      <c r="AA62" s="41">
        <f>200+5000</f>
        <v>5200</v>
      </c>
      <c r="AB62" s="41"/>
      <c r="AC62" s="41">
        <f t="shared" si="21"/>
        <v>7941</v>
      </c>
    </row>
    <row r="63" spans="1:29" ht="12.75">
      <c r="A63" s="35">
        <v>3127</v>
      </c>
      <c r="B63" s="4">
        <v>303</v>
      </c>
      <c r="C63" s="71" t="s">
        <v>125</v>
      </c>
      <c r="D63" s="41">
        <v>7112.42</v>
      </c>
      <c r="E63" s="41">
        <f>49+959.1</f>
        <v>1008.1</v>
      </c>
      <c r="F63" s="41"/>
      <c r="G63" s="45"/>
      <c r="H63" s="41">
        <f t="shared" si="17"/>
        <v>8120.52</v>
      </c>
      <c r="I63" s="41"/>
      <c r="J63" s="51"/>
      <c r="K63" s="41">
        <f>100</f>
        <v>100</v>
      </c>
      <c r="L63" s="41">
        <f t="shared" si="18"/>
        <v>100</v>
      </c>
      <c r="M63" s="41"/>
      <c r="N63" s="41">
        <v>529.81</v>
      </c>
      <c r="O63" s="41"/>
      <c r="P63" s="41">
        <f t="shared" si="19"/>
        <v>529.81</v>
      </c>
      <c r="Q63" s="41"/>
      <c r="R63" s="35">
        <v>3127</v>
      </c>
      <c r="S63" s="4">
        <v>303</v>
      </c>
      <c r="T63" s="71" t="s">
        <v>125</v>
      </c>
      <c r="U63" s="41">
        <v>2500</v>
      </c>
      <c r="V63" s="41">
        <f>1300</f>
        <v>1300</v>
      </c>
      <c r="W63" s="41"/>
      <c r="X63" s="41">
        <f t="shared" si="20"/>
        <v>3800</v>
      </c>
      <c r="Y63" s="41"/>
      <c r="Z63" s="41">
        <v>16300</v>
      </c>
      <c r="AA63" s="41">
        <f>-1300</f>
        <v>-1300</v>
      </c>
      <c r="AB63" s="41"/>
      <c r="AC63" s="41">
        <f t="shared" si="21"/>
        <v>15000</v>
      </c>
    </row>
    <row r="64" spans="1:29" ht="12.75">
      <c r="A64" s="35">
        <v>3122</v>
      </c>
      <c r="B64" s="4">
        <v>305</v>
      </c>
      <c r="C64" s="71" t="s">
        <v>86</v>
      </c>
      <c r="D64" s="41">
        <v>5629.3</v>
      </c>
      <c r="E64" s="41">
        <f>104.65+806.8</f>
        <v>911.4499999999999</v>
      </c>
      <c r="F64" s="41"/>
      <c r="G64" s="45"/>
      <c r="H64" s="41">
        <f t="shared" si="17"/>
        <v>6540.75</v>
      </c>
      <c r="I64" s="41"/>
      <c r="J64" s="51"/>
      <c r="K64" s="41"/>
      <c r="L64" s="41">
        <f t="shared" si="18"/>
        <v>0</v>
      </c>
      <c r="M64" s="41"/>
      <c r="N64" s="41">
        <v>249.68</v>
      </c>
      <c r="O64" s="41"/>
      <c r="P64" s="41">
        <f t="shared" si="19"/>
        <v>249.68</v>
      </c>
      <c r="Q64" s="41"/>
      <c r="R64" s="35">
        <v>3122</v>
      </c>
      <c r="S64" s="4">
        <v>305</v>
      </c>
      <c r="T64" s="71" t="s">
        <v>86</v>
      </c>
      <c r="U64" s="41"/>
      <c r="V64" s="41"/>
      <c r="W64" s="41"/>
      <c r="X64" s="41">
        <f t="shared" si="20"/>
        <v>0</v>
      </c>
      <c r="Y64" s="41"/>
      <c r="Z64" s="41">
        <v>2278</v>
      </c>
      <c r="AA64" s="41"/>
      <c r="AB64" s="41"/>
      <c r="AC64" s="41">
        <f t="shared" si="21"/>
        <v>2278</v>
      </c>
    </row>
    <row r="65" spans="1:29" ht="12.75">
      <c r="A65" s="35">
        <v>3122</v>
      </c>
      <c r="B65" s="4">
        <v>307</v>
      </c>
      <c r="C65" s="71" t="s">
        <v>87</v>
      </c>
      <c r="D65" s="41">
        <v>6803.889999999999</v>
      </c>
      <c r="E65" s="41">
        <f>118.3+689.9</f>
        <v>808.1999999999999</v>
      </c>
      <c r="F65" s="41"/>
      <c r="G65" s="45"/>
      <c r="H65" s="41">
        <f t="shared" si="17"/>
        <v>7612.089999999999</v>
      </c>
      <c r="I65" s="41"/>
      <c r="J65" s="51">
        <v>185</v>
      </c>
      <c r="K65" s="41"/>
      <c r="L65" s="41">
        <f t="shared" si="18"/>
        <v>185</v>
      </c>
      <c r="M65" s="41"/>
      <c r="N65" s="41">
        <v>801.05</v>
      </c>
      <c r="O65" s="41"/>
      <c r="P65" s="41">
        <f t="shared" si="19"/>
        <v>801.05</v>
      </c>
      <c r="Q65" s="41"/>
      <c r="R65" s="35">
        <v>3122</v>
      </c>
      <c r="S65" s="4">
        <v>307</v>
      </c>
      <c r="T65" s="71" t="s">
        <v>87</v>
      </c>
      <c r="U65" s="41"/>
      <c r="V65" s="45"/>
      <c r="W65" s="41"/>
      <c r="X65" s="41">
        <f t="shared" si="20"/>
        <v>0</v>
      </c>
      <c r="Y65" s="41"/>
      <c r="Z65" s="45">
        <v>3954</v>
      </c>
      <c r="AA65" s="45">
        <f>200+2000</f>
        <v>2200</v>
      </c>
      <c r="AB65" s="41"/>
      <c r="AC65" s="41">
        <f t="shared" si="21"/>
        <v>6154</v>
      </c>
    </row>
    <row r="66" spans="1:29" ht="12.75">
      <c r="A66" s="35">
        <v>3127</v>
      </c>
      <c r="B66" s="4">
        <v>308</v>
      </c>
      <c r="C66" s="71" t="s">
        <v>88</v>
      </c>
      <c r="D66" s="41">
        <v>18625.63</v>
      </c>
      <c r="E66" s="41">
        <f>112+1330.3</f>
        <v>1442.3</v>
      </c>
      <c r="F66" s="41"/>
      <c r="G66" s="45"/>
      <c r="H66" s="41">
        <f t="shared" si="17"/>
        <v>20067.93</v>
      </c>
      <c r="I66" s="41"/>
      <c r="J66" s="51"/>
      <c r="K66" s="41">
        <f>240</f>
        <v>240</v>
      </c>
      <c r="L66" s="41">
        <f t="shared" si="18"/>
        <v>240</v>
      </c>
      <c r="M66" s="41"/>
      <c r="N66" s="41">
        <v>1522.32</v>
      </c>
      <c r="O66" s="41"/>
      <c r="P66" s="41">
        <f t="shared" si="19"/>
        <v>1522.32</v>
      </c>
      <c r="Q66" s="41"/>
      <c r="R66" s="35">
        <v>3127</v>
      </c>
      <c r="S66" s="4">
        <v>308</v>
      </c>
      <c r="T66" s="71" t="s">
        <v>88</v>
      </c>
      <c r="U66" s="41">
        <v>1404</v>
      </c>
      <c r="V66" s="41"/>
      <c r="W66" s="41"/>
      <c r="X66" s="41">
        <f t="shared" si="20"/>
        <v>1404</v>
      </c>
      <c r="Y66" s="41"/>
      <c r="Z66" s="41">
        <v>400</v>
      </c>
      <c r="AA66" s="41"/>
      <c r="AB66" s="41"/>
      <c r="AC66" s="41">
        <f t="shared" si="21"/>
        <v>400</v>
      </c>
    </row>
    <row r="67" spans="1:29" ht="12.75">
      <c r="A67" s="35">
        <v>3127</v>
      </c>
      <c r="B67" s="4">
        <v>309</v>
      </c>
      <c r="C67" s="71" t="s">
        <v>39</v>
      </c>
      <c r="D67" s="41">
        <v>11865.98</v>
      </c>
      <c r="E67" s="41">
        <f>210.87+1262.7</f>
        <v>1473.5700000000002</v>
      </c>
      <c r="F67" s="41"/>
      <c r="G67" s="45"/>
      <c r="H67" s="41">
        <f t="shared" si="17"/>
        <v>13339.55</v>
      </c>
      <c r="I67" s="41"/>
      <c r="J67" s="51"/>
      <c r="K67" s="41"/>
      <c r="L67" s="41">
        <f t="shared" si="18"/>
        <v>0</v>
      </c>
      <c r="M67" s="41"/>
      <c r="N67" s="41">
        <v>2341.81</v>
      </c>
      <c r="O67" s="41"/>
      <c r="P67" s="41">
        <f t="shared" si="19"/>
        <v>2341.81</v>
      </c>
      <c r="Q67" s="41"/>
      <c r="R67" s="35">
        <v>3127</v>
      </c>
      <c r="S67" s="4">
        <v>309</v>
      </c>
      <c r="T67" s="71" t="s">
        <v>39</v>
      </c>
      <c r="U67" s="41"/>
      <c r="V67" s="41"/>
      <c r="W67" s="41"/>
      <c r="X67" s="41">
        <f t="shared" si="20"/>
        <v>0</v>
      </c>
      <c r="Y67" s="41"/>
      <c r="Z67" s="41">
        <v>51</v>
      </c>
      <c r="AA67" s="41">
        <f>150+4410</f>
        <v>4560</v>
      </c>
      <c r="AB67" s="41"/>
      <c r="AC67" s="41">
        <f t="shared" si="21"/>
        <v>4611</v>
      </c>
    </row>
    <row r="68" spans="1:29" ht="12.75">
      <c r="A68" s="35">
        <v>3122</v>
      </c>
      <c r="B68" s="4">
        <v>312</v>
      </c>
      <c r="C68" s="71" t="s">
        <v>89</v>
      </c>
      <c r="D68" s="41">
        <v>6802.26</v>
      </c>
      <c r="E68" s="41">
        <f>166+534.6</f>
        <v>700.6</v>
      </c>
      <c r="F68" s="41"/>
      <c r="G68" s="45"/>
      <c r="H68" s="41">
        <f t="shared" si="17"/>
        <v>7502.860000000001</v>
      </c>
      <c r="I68" s="41"/>
      <c r="J68" s="51"/>
      <c r="K68" s="41"/>
      <c r="L68" s="41">
        <f t="shared" si="18"/>
        <v>0</v>
      </c>
      <c r="M68" s="41"/>
      <c r="N68" s="41">
        <v>1336.14</v>
      </c>
      <c r="O68" s="41"/>
      <c r="P68" s="41">
        <f t="shared" si="19"/>
        <v>1336.14</v>
      </c>
      <c r="Q68" s="41"/>
      <c r="R68" s="35">
        <v>3122</v>
      </c>
      <c r="S68" s="4">
        <v>312</v>
      </c>
      <c r="T68" s="71" t="s">
        <v>89</v>
      </c>
      <c r="U68" s="41"/>
      <c r="V68" s="41"/>
      <c r="W68" s="41"/>
      <c r="X68" s="41">
        <f t="shared" si="20"/>
        <v>0</v>
      </c>
      <c r="Y68" s="41"/>
      <c r="Z68" s="41"/>
      <c r="AA68" s="41"/>
      <c r="AB68" s="41"/>
      <c r="AC68" s="41">
        <f t="shared" si="21"/>
        <v>0</v>
      </c>
    </row>
    <row r="69" spans="1:29" ht="12.75">
      <c r="A69" s="35">
        <v>3122</v>
      </c>
      <c r="B69" s="4">
        <v>314</v>
      </c>
      <c r="C69" s="71" t="s">
        <v>90</v>
      </c>
      <c r="D69" s="41">
        <v>9089.27</v>
      </c>
      <c r="E69" s="41">
        <f>187.8+1615.2</f>
        <v>1803</v>
      </c>
      <c r="F69" s="41"/>
      <c r="G69" s="45"/>
      <c r="H69" s="41">
        <f t="shared" si="17"/>
        <v>10892.27</v>
      </c>
      <c r="I69" s="41"/>
      <c r="J69" s="51">
        <v>49.61</v>
      </c>
      <c r="K69" s="41"/>
      <c r="L69" s="41">
        <f t="shared" si="18"/>
        <v>49.61</v>
      </c>
      <c r="M69" s="41"/>
      <c r="N69" s="41">
        <v>1040.53</v>
      </c>
      <c r="O69" s="41"/>
      <c r="P69" s="41">
        <f t="shared" si="19"/>
        <v>1040.53</v>
      </c>
      <c r="Q69" s="41"/>
      <c r="R69" s="35">
        <v>3122</v>
      </c>
      <c r="S69" s="4">
        <v>314</v>
      </c>
      <c r="T69" s="71" t="s">
        <v>90</v>
      </c>
      <c r="U69" s="41"/>
      <c r="V69" s="41"/>
      <c r="W69" s="41"/>
      <c r="X69" s="41">
        <f t="shared" si="20"/>
        <v>0</v>
      </c>
      <c r="Y69" s="41"/>
      <c r="Z69" s="41">
        <v>300</v>
      </c>
      <c r="AA69" s="41"/>
      <c r="AB69" s="41"/>
      <c r="AC69" s="41">
        <f t="shared" si="21"/>
        <v>300</v>
      </c>
    </row>
    <row r="70" spans="1:29" ht="12.75" customHeight="1">
      <c r="A70" s="35">
        <v>3127</v>
      </c>
      <c r="B70" s="5">
        <v>317</v>
      </c>
      <c r="C70" s="72" t="s">
        <v>91</v>
      </c>
      <c r="D70" s="41">
        <v>7980.91</v>
      </c>
      <c r="E70" s="46">
        <f>130+1275.1</f>
        <v>1405.1</v>
      </c>
      <c r="F70" s="46"/>
      <c r="G70" s="54"/>
      <c r="H70" s="41">
        <f t="shared" si="17"/>
        <v>9386.01</v>
      </c>
      <c r="I70" s="46"/>
      <c r="J70" s="51">
        <v>110</v>
      </c>
      <c r="K70" s="46">
        <f>180</f>
        <v>180</v>
      </c>
      <c r="L70" s="41">
        <f t="shared" si="18"/>
        <v>290</v>
      </c>
      <c r="M70" s="46"/>
      <c r="N70" s="41">
        <v>1087.78</v>
      </c>
      <c r="O70" s="46"/>
      <c r="P70" s="41">
        <f t="shared" si="19"/>
        <v>1087.78</v>
      </c>
      <c r="Q70" s="46"/>
      <c r="R70" s="35">
        <v>3127</v>
      </c>
      <c r="S70" s="5">
        <v>317</v>
      </c>
      <c r="T70" s="72" t="s">
        <v>91</v>
      </c>
      <c r="U70" s="46"/>
      <c r="V70" s="46"/>
      <c r="W70" s="46"/>
      <c r="X70" s="41">
        <f t="shared" si="20"/>
        <v>0</v>
      </c>
      <c r="Y70" s="46"/>
      <c r="Z70" s="46"/>
      <c r="AA70" s="46">
        <f>600+474</f>
        <v>1074</v>
      </c>
      <c r="AB70" s="46"/>
      <c r="AC70" s="41">
        <f t="shared" si="21"/>
        <v>1074</v>
      </c>
    </row>
    <row r="71" spans="1:29" ht="12.75">
      <c r="A71" s="35">
        <v>3127</v>
      </c>
      <c r="B71" s="4">
        <v>318</v>
      </c>
      <c r="C71" s="71" t="s">
        <v>92</v>
      </c>
      <c r="D71" s="41">
        <v>13209.29</v>
      </c>
      <c r="E71" s="41">
        <f>102+1540.6</f>
        <v>1642.6</v>
      </c>
      <c r="F71" s="41"/>
      <c r="G71" s="45"/>
      <c r="H71" s="41">
        <f t="shared" si="17"/>
        <v>14851.890000000001</v>
      </c>
      <c r="I71" s="41"/>
      <c r="J71" s="51"/>
      <c r="K71" s="41"/>
      <c r="L71" s="41">
        <f t="shared" si="18"/>
        <v>0</v>
      </c>
      <c r="M71" s="41"/>
      <c r="N71" s="41">
        <v>897.27</v>
      </c>
      <c r="O71" s="41"/>
      <c r="P71" s="41">
        <f t="shared" si="19"/>
        <v>897.27</v>
      </c>
      <c r="Q71" s="41"/>
      <c r="R71" s="35">
        <v>3127</v>
      </c>
      <c r="S71" s="4">
        <v>318</v>
      </c>
      <c r="T71" s="71" t="s">
        <v>92</v>
      </c>
      <c r="U71" s="41"/>
      <c r="V71" s="41"/>
      <c r="W71" s="41"/>
      <c r="X71" s="41">
        <f t="shared" si="20"/>
        <v>0</v>
      </c>
      <c r="Y71" s="41"/>
      <c r="Z71" s="41">
        <v>700</v>
      </c>
      <c r="AA71" s="41"/>
      <c r="AB71" s="41"/>
      <c r="AC71" s="41">
        <f t="shared" si="21"/>
        <v>700</v>
      </c>
    </row>
    <row r="72" spans="1:29" ht="12.75">
      <c r="A72" s="35">
        <v>3124</v>
      </c>
      <c r="B72" s="4">
        <v>319</v>
      </c>
      <c r="C72" s="71" t="s">
        <v>93</v>
      </c>
      <c r="D72" s="41">
        <v>7914.69</v>
      </c>
      <c r="E72" s="41">
        <f>194.5+332.1</f>
        <v>526.6</v>
      </c>
      <c r="F72" s="41"/>
      <c r="G72" s="45"/>
      <c r="H72" s="41">
        <f t="shared" si="17"/>
        <v>8441.289999999999</v>
      </c>
      <c r="I72" s="41"/>
      <c r="J72" s="51"/>
      <c r="K72" s="41">
        <f>350</f>
        <v>350</v>
      </c>
      <c r="L72" s="41">
        <f t="shared" si="18"/>
        <v>350</v>
      </c>
      <c r="M72" s="41"/>
      <c r="N72" s="41">
        <v>1483.6999999999998</v>
      </c>
      <c r="O72" s="41"/>
      <c r="P72" s="41">
        <f t="shared" si="19"/>
        <v>1483.6999999999998</v>
      </c>
      <c r="Q72" s="41"/>
      <c r="R72" s="35">
        <v>3124</v>
      </c>
      <c r="S72" s="4">
        <v>319</v>
      </c>
      <c r="T72" s="71" t="s">
        <v>93</v>
      </c>
      <c r="U72" s="41"/>
      <c r="V72" s="41">
        <f>2000</f>
        <v>2000</v>
      </c>
      <c r="W72" s="41"/>
      <c r="X72" s="41">
        <f t="shared" si="20"/>
        <v>2000</v>
      </c>
      <c r="Y72" s="41"/>
      <c r="Z72" s="41"/>
      <c r="AA72" s="41"/>
      <c r="AB72" s="41"/>
      <c r="AC72" s="41">
        <f t="shared" si="21"/>
        <v>0</v>
      </c>
    </row>
    <row r="73" spans="1:29" ht="12.75">
      <c r="A73" s="35">
        <v>3114</v>
      </c>
      <c r="B73" s="4">
        <v>320</v>
      </c>
      <c r="C73" s="71" t="s">
        <v>94</v>
      </c>
      <c r="D73" s="41">
        <v>6260.91</v>
      </c>
      <c r="E73" s="41">
        <f>36+614</f>
        <v>650</v>
      </c>
      <c r="F73" s="41"/>
      <c r="G73" s="45"/>
      <c r="H73" s="41">
        <f t="shared" si="17"/>
        <v>6910.91</v>
      </c>
      <c r="I73" s="41"/>
      <c r="J73" s="51"/>
      <c r="K73" s="41"/>
      <c r="L73" s="41">
        <f t="shared" si="18"/>
        <v>0</v>
      </c>
      <c r="M73" s="41"/>
      <c r="N73" s="41">
        <v>606.54</v>
      </c>
      <c r="O73" s="41"/>
      <c r="P73" s="41">
        <f t="shared" si="19"/>
        <v>606.54</v>
      </c>
      <c r="Q73" s="41"/>
      <c r="R73" s="35">
        <v>3114</v>
      </c>
      <c r="S73" s="4">
        <v>320</v>
      </c>
      <c r="T73" s="71" t="s">
        <v>94</v>
      </c>
      <c r="U73" s="41"/>
      <c r="V73" s="41"/>
      <c r="W73" s="41"/>
      <c r="X73" s="41">
        <f t="shared" si="20"/>
        <v>0</v>
      </c>
      <c r="Y73" s="41"/>
      <c r="Z73" s="41">
        <v>3500</v>
      </c>
      <c r="AA73" s="41">
        <f>500</f>
        <v>500</v>
      </c>
      <c r="AB73" s="41"/>
      <c r="AC73" s="41">
        <f t="shared" si="21"/>
        <v>4000</v>
      </c>
    </row>
    <row r="74" spans="1:29" ht="12.75">
      <c r="A74" s="35">
        <v>3114</v>
      </c>
      <c r="B74" s="4">
        <v>321</v>
      </c>
      <c r="C74" s="71" t="s">
        <v>84</v>
      </c>
      <c r="D74" s="41">
        <v>10863.7</v>
      </c>
      <c r="E74" s="41">
        <f>100+893.96</f>
        <v>993.96</v>
      </c>
      <c r="F74" s="41"/>
      <c r="G74" s="45"/>
      <c r="H74" s="41">
        <f t="shared" si="17"/>
        <v>11857.66</v>
      </c>
      <c r="I74" s="41"/>
      <c r="J74" s="51"/>
      <c r="K74" s="41">
        <f>350</f>
        <v>350</v>
      </c>
      <c r="L74" s="41">
        <f t="shared" si="18"/>
        <v>350</v>
      </c>
      <c r="M74" s="41"/>
      <c r="N74" s="41">
        <v>1230.05</v>
      </c>
      <c r="O74" s="41">
        <f>9.26</f>
        <v>9.26</v>
      </c>
      <c r="P74" s="41">
        <f t="shared" si="19"/>
        <v>1239.31</v>
      </c>
      <c r="Q74" s="41"/>
      <c r="R74" s="35">
        <v>3114</v>
      </c>
      <c r="S74" s="4">
        <v>321</v>
      </c>
      <c r="T74" s="71" t="s">
        <v>84</v>
      </c>
      <c r="U74" s="41">
        <v>500</v>
      </c>
      <c r="V74" s="41">
        <f>-500</f>
        <v>-500</v>
      </c>
      <c r="W74" s="41"/>
      <c r="X74" s="41">
        <f t="shared" si="20"/>
        <v>0</v>
      </c>
      <c r="Y74" s="41"/>
      <c r="Z74" s="41"/>
      <c r="AA74" s="41"/>
      <c r="AB74" s="41"/>
      <c r="AC74" s="41">
        <f t="shared" si="21"/>
        <v>0</v>
      </c>
    </row>
    <row r="75" spans="1:29" ht="12.75">
      <c r="A75" s="35">
        <v>3133</v>
      </c>
      <c r="B75" s="4">
        <v>322</v>
      </c>
      <c r="C75" s="71" t="s">
        <v>41</v>
      </c>
      <c r="D75" s="41">
        <v>4894.25</v>
      </c>
      <c r="E75" s="41">
        <f>52.56</f>
        <v>52.56</v>
      </c>
      <c r="F75" s="41"/>
      <c r="G75" s="45"/>
      <c r="H75" s="41">
        <f t="shared" si="17"/>
        <v>4946.81</v>
      </c>
      <c r="I75" s="41"/>
      <c r="J75" s="51"/>
      <c r="K75" s="41"/>
      <c r="L75" s="41">
        <f t="shared" si="18"/>
        <v>0</v>
      </c>
      <c r="M75" s="41"/>
      <c r="N75" s="41">
        <v>232.24</v>
      </c>
      <c r="O75" s="41"/>
      <c r="P75" s="41">
        <f t="shared" si="19"/>
        <v>232.24</v>
      </c>
      <c r="Q75" s="41"/>
      <c r="R75" s="35">
        <v>3133</v>
      </c>
      <c r="S75" s="4">
        <v>322</v>
      </c>
      <c r="T75" s="71" t="s">
        <v>41</v>
      </c>
      <c r="U75" s="41"/>
      <c r="V75" s="45"/>
      <c r="W75" s="41"/>
      <c r="X75" s="41">
        <f t="shared" si="20"/>
        <v>0</v>
      </c>
      <c r="Y75" s="41"/>
      <c r="Z75" s="41"/>
      <c r="AA75" s="41"/>
      <c r="AB75" s="41"/>
      <c r="AC75" s="41">
        <f t="shared" si="21"/>
        <v>0</v>
      </c>
    </row>
    <row r="76" spans="1:29" ht="12.75">
      <c r="A76" s="35">
        <v>3114</v>
      </c>
      <c r="B76" s="4">
        <v>325</v>
      </c>
      <c r="C76" s="71" t="s">
        <v>95</v>
      </c>
      <c r="D76" s="41">
        <v>1380.73</v>
      </c>
      <c r="E76" s="41">
        <f>28+24.4</f>
        <v>52.4</v>
      </c>
      <c r="F76" s="41"/>
      <c r="G76" s="45"/>
      <c r="H76" s="41">
        <f t="shared" si="17"/>
        <v>1433.13</v>
      </c>
      <c r="I76" s="41"/>
      <c r="J76" s="51"/>
      <c r="K76" s="41"/>
      <c r="L76" s="41">
        <f t="shared" si="18"/>
        <v>0</v>
      </c>
      <c r="M76" s="41"/>
      <c r="N76" s="41">
        <v>17.85</v>
      </c>
      <c r="O76" s="41"/>
      <c r="P76" s="41">
        <f t="shared" si="19"/>
        <v>17.85</v>
      </c>
      <c r="Q76" s="41"/>
      <c r="R76" s="35">
        <v>3114</v>
      </c>
      <c r="S76" s="4">
        <v>325</v>
      </c>
      <c r="T76" s="71" t="s">
        <v>95</v>
      </c>
      <c r="U76" s="41"/>
      <c r="V76" s="41"/>
      <c r="W76" s="41"/>
      <c r="X76" s="41">
        <f t="shared" si="20"/>
        <v>0</v>
      </c>
      <c r="Y76" s="41"/>
      <c r="Z76" s="41"/>
      <c r="AA76" s="41"/>
      <c r="AB76" s="41"/>
      <c r="AC76" s="41">
        <f t="shared" si="21"/>
        <v>0</v>
      </c>
    </row>
    <row r="77" spans="1:29" ht="12.75" customHeight="1">
      <c r="A77" s="35">
        <v>3114</v>
      </c>
      <c r="B77" s="4">
        <v>327</v>
      </c>
      <c r="C77" s="71" t="s">
        <v>96</v>
      </c>
      <c r="D77" s="41">
        <v>484.47</v>
      </c>
      <c r="E77" s="41">
        <f>81.22+25</f>
        <v>106.22</v>
      </c>
      <c r="F77" s="41"/>
      <c r="G77" s="45"/>
      <c r="H77" s="41">
        <f t="shared" si="17"/>
        <v>590.69</v>
      </c>
      <c r="I77" s="41"/>
      <c r="J77" s="51"/>
      <c r="K77" s="41"/>
      <c r="L77" s="41">
        <f t="shared" si="18"/>
        <v>0</v>
      </c>
      <c r="M77" s="41"/>
      <c r="N77" s="41">
        <v>0.3</v>
      </c>
      <c r="O77" s="41"/>
      <c r="P77" s="41">
        <f t="shared" si="19"/>
        <v>0.3</v>
      </c>
      <c r="Q77" s="41"/>
      <c r="R77" s="35">
        <v>3114</v>
      </c>
      <c r="S77" s="4">
        <v>327</v>
      </c>
      <c r="T77" s="71" t="s">
        <v>96</v>
      </c>
      <c r="U77" s="41"/>
      <c r="V77" s="41"/>
      <c r="W77" s="41"/>
      <c r="X77" s="41">
        <f t="shared" si="20"/>
        <v>0</v>
      </c>
      <c r="Y77" s="41"/>
      <c r="Z77" s="41"/>
      <c r="AA77" s="41"/>
      <c r="AB77" s="41"/>
      <c r="AC77" s="41">
        <f t="shared" si="21"/>
        <v>0</v>
      </c>
    </row>
    <row r="78" spans="1:29" ht="12.75" customHeight="1">
      <c r="A78" s="35">
        <v>3147</v>
      </c>
      <c r="B78" s="4">
        <v>332</v>
      </c>
      <c r="C78" s="71" t="s">
        <v>42</v>
      </c>
      <c r="D78" s="41">
        <v>6402.37</v>
      </c>
      <c r="E78" s="41">
        <f>75+572.6</f>
        <v>647.6</v>
      </c>
      <c r="F78" s="41"/>
      <c r="G78" s="60"/>
      <c r="H78" s="41">
        <f t="shared" si="17"/>
        <v>7049.97</v>
      </c>
      <c r="I78" s="41"/>
      <c r="J78" s="51"/>
      <c r="K78" s="41">
        <f>220</f>
        <v>220</v>
      </c>
      <c r="L78" s="41">
        <f t="shared" si="18"/>
        <v>220</v>
      </c>
      <c r="M78" s="41"/>
      <c r="N78" s="41">
        <v>1131.01</v>
      </c>
      <c r="O78" s="41"/>
      <c r="P78" s="41">
        <f t="shared" si="19"/>
        <v>1131.01</v>
      </c>
      <c r="Q78" s="41"/>
      <c r="R78" s="35">
        <v>3147</v>
      </c>
      <c r="S78" s="4">
        <v>332</v>
      </c>
      <c r="T78" s="71" t="s">
        <v>42</v>
      </c>
      <c r="U78" s="41"/>
      <c r="V78" s="41"/>
      <c r="W78" s="41"/>
      <c r="X78" s="41">
        <f t="shared" si="20"/>
        <v>0</v>
      </c>
      <c r="Y78" s="41"/>
      <c r="Z78" s="45">
        <v>4000</v>
      </c>
      <c r="AA78" s="45"/>
      <c r="AB78" s="41"/>
      <c r="AC78" s="41">
        <f t="shared" si="21"/>
        <v>4000</v>
      </c>
    </row>
    <row r="79" spans="1:29" ht="12.75">
      <c r="A79" s="35">
        <v>3141</v>
      </c>
      <c r="B79" s="4">
        <v>335</v>
      </c>
      <c r="C79" s="71" t="s">
        <v>40</v>
      </c>
      <c r="D79" s="41">
        <v>3115.06</v>
      </c>
      <c r="E79" s="41"/>
      <c r="F79" s="41"/>
      <c r="G79" s="45"/>
      <c r="H79" s="41">
        <f t="shared" si="17"/>
        <v>3115.06</v>
      </c>
      <c r="I79" s="41"/>
      <c r="J79" s="51"/>
      <c r="K79" s="42"/>
      <c r="L79" s="41">
        <f t="shared" si="18"/>
        <v>0</v>
      </c>
      <c r="M79" s="41"/>
      <c r="N79" s="41">
        <v>749.2199999999999</v>
      </c>
      <c r="O79" s="41"/>
      <c r="P79" s="41">
        <f t="shared" si="19"/>
        <v>749.2199999999999</v>
      </c>
      <c r="Q79" s="41"/>
      <c r="R79" s="35">
        <v>3141</v>
      </c>
      <c r="S79" s="4">
        <v>335</v>
      </c>
      <c r="T79" s="71" t="s">
        <v>40</v>
      </c>
      <c r="U79" s="41"/>
      <c r="V79" s="41"/>
      <c r="W79" s="41"/>
      <c r="X79" s="41">
        <f t="shared" si="20"/>
        <v>0</v>
      </c>
      <c r="Y79" s="41"/>
      <c r="Z79" s="41"/>
      <c r="AA79" s="41"/>
      <c r="AB79" s="41"/>
      <c r="AC79" s="41">
        <f t="shared" si="21"/>
        <v>0</v>
      </c>
    </row>
    <row r="80" spans="1:29" ht="12.75">
      <c r="A80" s="35">
        <v>3121</v>
      </c>
      <c r="B80" s="4">
        <v>338</v>
      </c>
      <c r="C80" s="71" t="s">
        <v>7</v>
      </c>
      <c r="D80" s="41">
        <v>3588.88</v>
      </c>
      <c r="E80" s="41">
        <f>99+459.9</f>
        <v>558.9</v>
      </c>
      <c r="F80" s="41"/>
      <c r="G80" s="45"/>
      <c r="H80" s="41">
        <f t="shared" si="17"/>
        <v>4147.78</v>
      </c>
      <c r="I80" s="41"/>
      <c r="J80" s="51"/>
      <c r="K80" s="41">
        <f>90</f>
        <v>90</v>
      </c>
      <c r="L80" s="41">
        <f t="shared" si="18"/>
        <v>90</v>
      </c>
      <c r="M80" s="41"/>
      <c r="N80" s="41">
        <v>120.46</v>
      </c>
      <c r="O80" s="41"/>
      <c r="P80" s="41">
        <f t="shared" si="19"/>
        <v>120.46</v>
      </c>
      <c r="Q80" s="41"/>
      <c r="R80" s="35">
        <v>3121</v>
      </c>
      <c r="S80" s="4">
        <v>338</v>
      </c>
      <c r="T80" s="71" t="s">
        <v>7</v>
      </c>
      <c r="U80" s="41"/>
      <c r="V80" s="45"/>
      <c r="W80" s="41"/>
      <c r="X80" s="41">
        <f t="shared" si="20"/>
        <v>0</v>
      </c>
      <c r="Y80" s="41"/>
      <c r="Z80" s="41">
        <v>3315</v>
      </c>
      <c r="AA80" s="41">
        <f>300</f>
        <v>300</v>
      </c>
      <c r="AB80" s="41"/>
      <c r="AC80" s="41">
        <f t="shared" si="21"/>
        <v>3615</v>
      </c>
    </row>
    <row r="81" spans="1:29" ht="12.75">
      <c r="A81" s="35">
        <v>3121</v>
      </c>
      <c r="B81" s="4">
        <v>339</v>
      </c>
      <c r="C81" s="71" t="s">
        <v>97</v>
      </c>
      <c r="D81" s="41">
        <v>4033.61</v>
      </c>
      <c r="E81" s="41">
        <f>52.6+566.24</f>
        <v>618.84</v>
      </c>
      <c r="F81" s="41"/>
      <c r="G81" s="45"/>
      <c r="H81" s="41">
        <f t="shared" si="17"/>
        <v>4652.45</v>
      </c>
      <c r="I81" s="41"/>
      <c r="J81" s="51"/>
      <c r="K81" s="41"/>
      <c r="L81" s="41">
        <f t="shared" si="18"/>
        <v>0</v>
      </c>
      <c r="M81" s="41"/>
      <c r="N81" s="41">
        <v>197.69</v>
      </c>
      <c r="O81" s="41"/>
      <c r="P81" s="41">
        <f t="shared" si="19"/>
        <v>197.69</v>
      </c>
      <c r="Q81" s="41"/>
      <c r="R81" s="35">
        <v>3121</v>
      </c>
      <c r="S81" s="4">
        <v>339</v>
      </c>
      <c r="T81" s="71" t="s">
        <v>97</v>
      </c>
      <c r="U81" s="41"/>
      <c r="V81" s="45"/>
      <c r="W81" s="41"/>
      <c r="X81" s="41">
        <f t="shared" si="20"/>
        <v>0</v>
      </c>
      <c r="Y81" s="41"/>
      <c r="Z81" s="41"/>
      <c r="AA81" s="41"/>
      <c r="AB81" s="41"/>
      <c r="AC81" s="41">
        <f t="shared" si="21"/>
        <v>0</v>
      </c>
    </row>
    <row r="82" spans="1:29" ht="12.75">
      <c r="A82" s="35">
        <v>3121</v>
      </c>
      <c r="B82" s="4">
        <v>340</v>
      </c>
      <c r="C82" s="71" t="s">
        <v>8</v>
      </c>
      <c r="D82" s="41">
        <v>6258.61</v>
      </c>
      <c r="E82" s="41">
        <f>148+896.14</f>
        <v>1044.1399999999999</v>
      </c>
      <c r="F82" s="41"/>
      <c r="G82" s="45"/>
      <c r="H82" s="41">
        <f t="shared" si="17"/>
        <v>7302.75</v>
      </c>
      <c r="I82" s="41"/>
      <c r="J82" s="51"/>
      <c r="K82" s="41"/>
      <c r="L82" s="41">
        <f t="shared" si="18"/>
        <v>0</v>
      </c>
      <c r="M82" s="41"/>
      <c r="N82" s="41">
        <v>467.97999999999996</v>
      </c>
      <c r="O82" s="41"/>
      <c r="P82" s="41">
        <f t="shared" si="19"/>
        <v>467.97999999999996</v>
      </c>
      <c r="Q82" s="41"/>
      <c r="R82" s="35">
        <v>3121</v>
      </c>
      <c r="S82" s="4">
        <v>340</v>
      </c>
      <c r="T82" s="71" t="s">
        <v>8</v>
      </c>
      <c r="U82" s="41">
        <v>150</v>
      </c>
      <c r="V82" s="45">
        <f>1000</f>
        <v>1000</v>
      </c>
      <c r="W82" s="41"/>
      <c r="X82" s="41">
        <f t="shared" si="20"/>
        <v>1150</v>
      </c>
      <c r="Y82" s="41"/>
      <c r="Z82" s="41"/>
      <c r="AA82" s="41"/>
      <c r="AB82" s="41"/>
      <c r="AC82" s="41">
        <f t="shared" si="21"/>
        <v>0</v>
      </c>
    </row>
    <row r="83" spans="1:29" ht="12.75">
      <c r="A83" s="35">
        <v>3127</v>
      </c>
      <c r="B83" s="4">
        <v>345</v>
      </c>
      <c r="C83" s="71" t="s">
        <v>121</v>
      </c>
      <c r="D83" s="41">
        <v>30048.89</v>
      </c>
      <c r="E83" s="41">
        <f>67.5+1423.4+12</f>
        <v>1502.9</v>
      </c>
      <c r="F83" s="41"/>
      <c r="G83" s="45"/>
      <c r="H83" s="41">
        <f t="shared" si="17"/>
        <v>31551.79</v>
      </c>
      <c r="I83" s="41"/>
      <c r="J83" s="51">
        <v>48</v>
      </c>
      <c r="K83" s="41">
        <f>90</f>
        <v>90</v>
      </c>
      <c r="L83" s="41">
        <f t="shared" si="18"/>
        <v>138</v>
      </c>
      <c r="M83" s="41"/>
      <c r="N83" s="41">
        <v>2326.1</v>
      </c>
      <c r="O83" s="41"/>
      <c r="P83" s="41">
        <f t="shared" si="19"/>
        <v>2326.1</v>
      </c>
      <c r="Q83" s="41"/>
      <c r="R83" s="35">
        <v>3127</v>
      </c>
      <c r="S83" s="4">
        <v>345</v>
      </c>
      <c r="T83" s="71" t="s">
        <v>121</v>
      </c>
      <c r="U83" s="41"/>
      <c r="V83" s="41"/>
      <c r="W83" s="41"/>
      <c r="X83" s="41">
        <f t="shared" si="20"/>
        <v>0</v>
      </c>
      <c r="Y83" s="41"/>
      <c r="Z83" s="41">
        <v>9769</v>
      </c>
      <c r="AA83" s="41"/>
      <c r="AB83" s="41"/>
      <c r="AC83" s="41">
        <f t="shared" si="21"/>
        <v>9769</v>
      </c>
    </row>
    <row r="84" spans="1:29" ht="12.75">
      <c r="A84" s="35">
        <v>3114</v>
      </c>
      <c r="B84" s="4">
        <v>346</v>
      </c>
      <c r="C84" s="71" t="s">
        <v>98</v>
      </c>
      <c r="D84" s="41">
        <v>4596.12</v>
      </c>
      <c r="E84" s="41">
        <f>54+232.88</f>
        <v>286.88</v>
      </c>
      <c r="F84" s="41"/>
      <c r="G84" s="45"/>
      <c r="H84" s="41">
        <f t="shared" si="17"/>
        <v>4883</v>
      </c>
      <c r="I84" s="41"/>
      <c r="J84" s="51"/>
      <c r="K84" s="41">
        <f>70</f>
        <v>70</v>
      </c>
      <c r="L84" s="41">
        <f t="shared" si="18"/>
        <v>70</v>
      </c>
      <c r="M84" s="41"/>
      <c r="N84" s="41">
        <v>334.19</v>
      </c>
      <c r="O84" s="41"/>
      <c r="P84" s="41">
        <f t="shared" si="19"/>
        <v>334.19</v>
      </c>
      <c r="Q84" s="41"/>
      <c r="R84" s="35">
        <v>3114</v>
      </c>
      <c r="S84" s="4">
        <v>346</v>
      </c>
      <c r="T84" s="71" t="s">
        <v>98</v>
      </c>
      <c r="U84" s="41"/>
      <c r="V84" s="41"/>
      <c r="W84" s="41"/>
      <c r="X84" s="41">
        <f t="shared" si="20"/>
        <v>0</v>
      </c>
      <c r="Y84" s="41"/>
      <c r="Z84" s="41">
        <v>1930</v>
      </c>
      <c r="AA84" s="41"/>
      <c r="AB84" s="41"/>
      <c r="AC84" s="41">
        <f t="shared" si="21"/>
        <v>1930</v>
      </c>
    </row>
    <row r="85" spans="1:29" ht="12.75" customHeight="1">
      <c r="A85" s="35">
        <v>3114</v>
      </c>
      <c r="B85" s="4">
        <v>347</v>
      </c>
      <c r="C85" s="72" t="s">
        <v>99</v>
      </c>
      <c r="D85" s="41">
        <v>2251.02</v>
      </c>
      <c r="E85" s="41">
        <f>16</f>
        <v>16</v>
      </c>
      <c r="F85" s="41"/>
      <c r="G85" s="45"/>
      <c r="H85" s="41">
        <f t="shared" si="17"/>
        <v>2267.02</v>
      </c>
      <c r="I85" s="41"/>
      <c r="J85" s="51"/>
      <c r="K85" s="41"/>
      <c r="L85" s="41">
        <f t="shared" si="18"/>
        <v>0</v>
      </c>
      <c r="M85" s="41"/>
      <c r="N85" s="41">
        <v>166.23999999999998</v>
      </c>
      <c r="O85" s="41"/>
      <c r="P85" s="41">
        <f t="shared" si="19"/>
        <v>166.23999999999998</v>
      </c>
      <c r="Q85" s="41"/>
      <c r="R85" s="35">
        <v>3114</v>
      </c>
      <c r="S85" s="4">
        <v>347</v>
      </c>
      <c r="T85" s="72" t="s">
        <v>99</v>
      </c>
      <c r="U85" s="41"/>
      <c r="V85" s="41"/>
      <c r="W85" s="41"/>
      <c r="X85" s="41">
        <f t="shared" si="20"/>
        <v>0</v>
      </c>
      <c r="Y85" s="41"/>
      <c r="Z85" s="41"/>
      <c r="AA85" s="41"/>
      <c r="AB85" s="41"/>
      <c r="AC85" s="41">
        <f t="shared" si="21"/>
        <v>0</v>
      </c>
    </row>
    <row r="86" spans="1:29" ht="12.75">
      <c r="A86" s="35">
        <v>3133</v>
      </c>
      <c r="B86" s="4">
        <v>349</v>
      </c>
      <c r="C86" s="71" t="s">
        <v>43</v>
      </c>
      <c r="D86" s="41">
        <v>7905.92</v>
      </c>
      <c r="E86" s="41">
        <f>366.8</f>
        <v>366.8</v>
      </c>
      <c r="F86" s="41"/>
      <c r="G86" s="45"/>
      <c r="H86" s="41">
        <f t="shared" si="17"/>
        <v>8272.72</v>
      </c>
      <c r="I86" s="41"/>
      <c r="J86" s="51"/>
      <c r="K86" s="41"/>
      <c r="L86" s="41">
        <f t="shared" si="18"/>
        <v>0</v>
      </c>
      <c r="M86" s="41"/>
      <c r="N86" s="41">
        <v>445.22</v>
      </c>
      <c r="O86" s="41"/>
      <c r="P86" s="41">
        <f t="shared" si="19"/>
        <v>445.22</v>
      </c>
      <c r="Q86" s="41"/>
      <c r="R86" s="35">
        <v>3133</v>
      </c>
      <c r="S86" s="4">
        <v>349</v>
      </c>
      <c r="T86" s="71" t="s">
        <v>43</v>
      </c>
      <c r="U86" s="41"/>
      <c r="V86" s="41"/>
      <c r="W86" s="41"/>
      <c r="X86" s="41">
        <f t="shared" si="20"/>
        <v>0</v>
      </c>
      <c r="Y86" s="41"/>
      <c r="Z86" s="41"/>
      <c r="AA86" s="41">
        <f>250</f>
        <v>250</v>
      </c>
      <c r="AB86" s="41"/>
      <c r="AC86" s="41">
        <f t="shared" si="21"/>
        <v>250</v>
      </c>
    </row>
    <row r="87" spans="1:29" ht="25.5" customHeight="1">
      <c r="A87" s="35">
        <v>3294</v>
      </c>
      <c r="B87" s="1">
        <v>352</v>
      </c>
      <c r="C87" s="85" t="s">
        <v>168</v>
      </c>
      <c r="D87" s="41">
        <v>9474.58</v>
      </c>
      <c r="E87" s="45"/>
      <c r="F87" s="41"/>
      <c r="G87" s="45">
        <f>88.56</f>
        <v>88.56</v>
      </c>
      <c r="H87" s="41">
        <f t="shared" si="17"/>
        <v>9563.14</v>
      </c>
      <c r="I87" s="41"/>
      <c r="J87" s="51"/>
      <c r="K87" s="41"/>
      <c r="L87" s="41">
        <f t="shared" si="18"/>
        <v>0</v>
      </c>
      <c r="M87" s="41"/>
      <c r="N87" s="41">
        <v>11.21</v>
      </c>
      <c r="O87" s="41"/>
      <c r="P87" s="41">
        <f t="shared" si="19"/>
        <v>11.21</v>
      </c>
      <c r="Q87" s="41"/>
      <c r="R87" s="35">
        <v>3294</v>
      </c>
      <c r="S87" s="1">
        <v>352</v>
      </c>
      <c r="T87" s="85" t="s">
        <v>160</v>
      </c>
      <c r="U87" s="41"/>
      <c r="V87" s="41"/>
      <c r="W87" s="41"/>
      <c r="X87" s="41">
        <f t="shared" si="20"/>
        <v>0</v>
      </c>
      <c r="Y87" s="41"/>
      <c r="Z87" s="41"/>
      <c r="AA87" s="41"/>
      <c r="AB87" s="41"/>
      <c r="AC87" s="41">
        <f t="shared" si="21"/>
        <v>0</v>
      </c>
    </row>
    <row r="88" spans="1:29" ht="12.75">
      <c r="A88" s="35">
        <v>3114</v>
      </c>
      <c r="B88" s="4">
        <v>358</v>
      </c>
      <c r="C88" s="71" t="s">
        <v>122</v>
      </c>
      <c r="D88" s="41">
        <v>1705.04</v>
      </c>
      <c r="E88" s="41">
        <f>31.51+189.9</f>
        <v>221.41</v>
      </c>
      <c r="F88" s="41"/>
      <c r="G88" s="45"/>
      <c r="H88" s="41">
        <f t="shared" si="17"/>
        <v>1926.45</v>
      </c>
      <c r="I88" s="41"/>
      <c r="J88" s="51"/>
      <c r="K88" s="41"/>
      <c r="L88" s="41">
        <f t="shared" si="18"/>
        <v>0</v>
      </c>
      <c r="M88" s="41"/>
      <c r="N88" s="41">
        <v>100.35</v>
      </c>
      <c r="O88" s="41"/>
      <c r="P88" s="41">
        <f t="shared" si="19"/>
        <v>100.35</v>
      </c>
      <c r="Q88" s="41"/>
      <c r="R88" s="35">
        <v>3114</v>
      </c>
      <c r="S88" s="4">
        <v>358</v>
      </c>
      <c r="T88" s="71" t="s">
        <v>122</v>
      </c>
      <c r="U88" s="41"/>
      <c r="V88" s="41"/>
      <c r="W88" s="41"/>
      <c r="X88" s="41">
        <f t="shared" si="20"/>
        <v>0</v>
      </c>
      <c r="Y88" s="41"/>
      <c r="Z88" s="41"/>
      <c r="AA88" s="41">
        <f>400</f>
        <v>400</v>
      </c>
      <c r="AB88" s="41"/>
      <c r="AC88" s="41">
        <f t="shared" si="21"/>
        <v>400</v>
      </c>
    </row>
    <row r="89" spans="1:29" ht="12.75">
      <c r="A89" s="35">
        <v>3114</v>
      </c>
      <c r="B89" s="4">
        <v>363</v>
      </c>
      <c r="C89" s="71" t="s">
        <v>154</v>
      </c>
      <c r="D89" s="41">
        <v>4657.1900000000005</v>
      </c>
      <c r="E89" s="41">
        <f>67+298.6</f>
        <v>365.6</v>
      </c>
      <c r="F89" s="41"/>
      <c r="G89" s="45"/>
      <c r="H89" s="41">
        <f t="shared" si="17"/>
        <v>5022.790000000001</v>
      </c>
      <c r="I89" s="41"/>
      <c r="J89" s="51"/>
      <c r="K89" s="41">
        <f>100</f>
        <v>100</v>
      </c>
      <c r="L89" s="41">
        <f t="shared" si="18"/>
        <v>100</v>
      </c>
      <c r="M89" s="41"/>
      <c r="N89" s="41">
        <v>249.14</v>
      </c>
      <c r="O89" s="41"/>
      <c r="P89" s="41">
        <f t="shared" si="19"/>
        <v>249.14</v>
      </c>
      <c r="Q89" s="41"/>
      <c r="R89" s="35">
        <v>3114</v>
      </c>
      <c r="S89" s="4">
        <v>363</v>
      </c>
      <c r="T89" s="71" t="s">
        <v>154</v>
      </c>
      <c r="U89" s="41"/>
      <c r="V89" s="41"/>
      <c r="W89" s="41"/>
      <c r="X89" s="41">
        <f t="shared" si="20"/>
        <v>0</v>
      </c>
      <c r="Y89" s="41"/>
      <c r="Z89" s="41"/>
      <c r="AA89" s="41">
        <f>560</f>
        <v>560</v>
      </c>
      <c r="AB89" s="41"/>
      <c r="AC89" s="41">
        <f t="shared" si="21"/>
        <v>560</v>
      </c>
    </row>
    <row r="90" spans="1:29" ht="12.75">
      <c r="A90" s="35">
        <v>3121</v>
      </c>
      <c r="B90" s="4">
        <v>367</v>
      </c>
      <c r="C90" s="72" t="s">
        <v>126</v>
      </c>
      <c r="D90" s="41">
        <v>5634.89</v>
      </c>
      <c r="E90" s="41">
        <f>77+634</f>
        <v>711</v>
      </c>
      <c r="F90" s="41"/>
      <c r="G90" s="45"/>
      <c r="H90" s="41">
        <f t="shared" si="17"/>
        <v>6345.89</v>
      </c>
      <c r="I90" s="41"/>
      <c r="J90" s="51"/>
      <c r="K90" s="41"/>
      <c r="L90" s="41">
        <f t="shared" si="18"/>
        <v>0</v>
      </c>
      <c r="M90" s="41"/>
      <c r="N90" s="41">
        <v>427.72</v>
      </c>
      <c r="O90" s="41"/>
      <c r="P90" s="41">
        <f t="shared" si="19"/>
        <v>427.72</v>
      </c>
      <c r="Q90" s="41"/>
      <c r="R90" s="35">
        <v>3121</v>
      </c>
      <c r="S90" s="4">
        <v>367</v>
      </c>
      <c r="T90" s="72" t="s">
        <v>126</v>
      </c>
      <c r="U90" s="41"/>
      <c r="V90" s="41"/>
      <c r="W90" s="41"/>
      <c r="X90" s="41">
        <f t="shared" si="20"/>
        <v>0</v>
      </c>
      <c r="Y90" s="41"/>
      <c r="Z90" s="41"/>
      <c r="AA90" s="41"/>
      <c r="AB90" s="41"/>
      <c r="AC90" s="41">
        <f t="shared" si="21"/>
        <v>0</v>
      </c>
    </row>
    <row r="91" spans="1:29" ht="12.75">
      <c r="A91" s="35">
        <v>3121</v>
      </c>
      <c r="B91" s="4">
        <v>368</v>
      </c>
      <c r="C91" s="71" t="s">
        <v>9</v>
      </c>
      <c r="D91" s="41">
        <v>3424.96</v>
      </c>
      <c r="E91" s="46">
        <f>80+473.5</f>
        <v>553.5</v>
      </c>
      <c r="F91" s="46"/>
      <c r="G91" s="54"/>
      <c r="H91" s="41">
        <f t="shared" si="17"/>
        <v>3978.46</v>
      </c>
      <c r="I91" s="46"/>
      <c r="J91" s="51"/>
      <c r="K91" s="46"/>
      <c r="L91" s="41">
        <f t="shared" si="18"/>
        <v>0</v>
      </c>
      <c r="M91" s="46"/>
      <c r="N91" s="41">
        <v>410.70000000000005</v>
      </c>
      <c r="O91" s="46"/>
      <c r="P91" s="41">
        <f t="shared" si="19"/>
        <v>410.70000000000005</v>
      </c>
      <c r="Q91" s="46"/>
      <c r="R91" s="35">
        <v>3121</v>
      </c>
      <c r="S91" s="4">
        <v>368</v>
      </c>
      <c r="T91" s="71" t="s">
        <v>9</v>
      </c>
      <c r="U91" s="46">
        <v>400</v>
      </c>
      <c r="V91" s="46"/>
      <c r="W91" s="46"/>
      <c r="X91" s="41">
        <f t="shared" si="20"/>
        <v>400</v>
      </c>
      <c r="Y91" s="46"/>
      <c r="Z91" s="46"/>
      <c r="AA91" s="46"/>
      <c r="AB91" s="46"/>
      <c r="AC91" s="41">
        <f t="shared" si="21"/>
        <v>0</v>
      </c>
    </row>
    <row r="92" spans="1:29" ht="12.75">
      <c r="A92" s="35">
        <v>3122</v>
      </c>
      <c r="B92" s="5">
        <v>370</v>
      </c>
      <c r="C92" s="72" t="s">
        <v>127</v>
      </c>
      <c r="D92" s="41">
        <v>4276.01</v>
      </c>
      <c r="E92" s="51">
        <f>59+1024.2</f>
        <v>1083.2</v>
      </c>
      <c r="F92" s="41"/>
      <c r="G92" s="45"/>
      <c r="H92" s="41">
        <f t="shared" si="17"/>
        <v>5359.21</v>
      </c>
      <c r="I92" s="41"/>
      <c r="J92" s="51"/>
      <c r="K92" s="41"/>
      <c r="L92" s="41">
        <f t="shared" si="18"/>
        <v>0</v>
      </c>
      <c r="M92" s="41"/>
      <c r="N92" s="41">
        <v>423.61</v>
      </c>
      <c r="O92" s="41"/>
      <c r="P92" s="41">
        <f t="shared" si="19"/>
        <v>423.61</v>
      </c>
      <c r="Q92" s="41"/>
      <c r="R92" s="35">
        <v>3122</v>
      </c>
      <c r="S92" s="5">
        <v>370</v>
      </c>
      <c r="T92" s="72" t="s">
        <v>127</v>
      </c>
      <c r="U92" s="41"/>
      <c r="V92" s="41"/>
      <c r="W92" s="41"/>
      <c r="X92" s="41">
        <f t="shared" si="20"/>
        <v>0</v>
      </c>
      <c r="Y92" s="41"/>
      <c r="Z92" s="41">
        <v>3390</v>
      </c>
      <c r="AA92" s="41">
        <f>100</f>
        <v>100</v>
      </c>
      <c r="AB92" s="41"/>
      <c r="AC92" s="41">
        <f t="shared" si="21"/>
        <v>3490</v>
      </c>
    </row>
    <row r="93" spans="1:29" ht="12.75" customHeight="1">
      <c r="A93" s="35">
        <v>3122</v>
      </c>
      <c r="B93" s="4">
        <v>371</v>
      </c>
      <c r="C93" s="72" t="s">
        <v>100</v>
      </c>
      <c r="D93" s="41">
        <v>4577.5599999999995</v>
      </c>
      <c r="E93" s="41">
        <f>184+690.8</f>
        <v>874.8</v>
      </c>
      <c r="F93" s="41"/>
      <c r="G93" s="45"/>
      <c r="H93" s="41">
        <f t="shared" si="17"/>
        <v>5452.36</v>
      </c>
      <c r="I93" s="41"/>
      <c r="J93" s="51"/>
      <c r="K93" s="41"/>
      <c r="L93" s="41">
        <f t="shared" si="18"/>
        <v>0</v>
      </c>
      <c r="M93" s="41"/>
      <c r="N93" s="41">
        <v>132.06</v>
      </c>
      <c r="O93" s="41"/>
      <c r="P93" s="41">
        <f t="shared" si="19"/>
        <v>132.06</v>
      </c>
      <c r="Q93" s="41"/>
      <c r="R93" s="35">
        <v>3122</v>
      </c>
      <c r="S93" s="4">
        <v>371</v>
      </c>
      <c r="T93" s="72" t="s">
        <v>100</v>
      </c>
      <c r="U93" s="41"/>
      <c r="V93" s="51"/>
      <c r="W93" s="41"/>
      <c r="X93" s="41">
        <f t="shared" si="20"/>
        <v>0</v>
      </c>
      <c r="Y93" s="41"/>
      <c r="Z93" s="41">
        <v>3500</v>
      </c>
      <c r="AA93" s="45"/>
      <c r="AB93" s="45"/>
      <c r="AC93" s="41">
        <f t="shared" si="21"/>
        <v>3500</v>
      </c>
    </row>
    <row r="94" spans="1:29" ht="13.5" customHeight="1">
      <c r="A94" s="35">
        <v>3127</v>
      </c>
      <c r="B94" s="4">
        <v>372</v>
      </c>
      <c r="C94" s="72" t="s">
        <v>123</v>
      </c>
      <c r="D94" s="41">
        <v>10703.310000000001</v>
      </c>
      <c r="E94" s="41">
        <f>84.16+595.56</f>
        <v>679.7199999999999</v>
      </c>
      <c r="F94" s="41"/>
      <c r="G94" s="45"/>
      <c r="H94" s="41">
        <f t="shared" si="17"/>
        <v>11383.03</v>
      </c>
      <c r="I94" s="41"/>
      <c r="J94" s="51">
        <v>295</v>
      </c>
      <c r="K94" s="41">
        <f>180</f>
        <v>180</v>
      </c>
      <c r="L94" s="41">
        <f t="shared" si="18"/>
        <v>475</v>
      </c>
      <c r="M94" s="41"/>
      <c r="N94" s="41">
        <v>1322.0300000000002</v>
      </c>
      <c r="O94" s="41">
        <f>-41.87</f>
        <v>-41.87</v>
      </c>
      <c r="P94" s="41">
        <f t="shared" si="19"/>
        <v>1280.1600000000003</v>
      </c>
      <c r="Q94" s="41"/>
      <c r="R94" s="35">
        <v>3127</v>
      </c>
      <c r="S94" s="4">
        <v>372</v>
      </c>
      <c r="T94" s="72" t="s">
        <v>123</v>
      </c>
      <c r="U94" s="41"/>
      <c r="V94" s="41"/>
      <c r="W94" s="41"/>
      <c r="X94" s="41">
        <f t="shared" si="20"/>
        <v>0</v>
      </c>
      <c r="Y94" s="41"/>
      <c r="Z94" s="41"/>
      <c r="AA94" s="45"/>
      <c r="AB94" s="45"/>
      <c r="AC94" s="41">
        <f t="shared" si="21"/>
        <v>0</v>
      </c>
    </row>
    <row r="95" spans="1:29" ht="12.75">
      <c r="A95" s="35">
        <v>3133</v>
      </c>
      <c r="B95" s="4">
        <v>374</v>
      </c>
      <c r="C95" s="71" t="s">
        <v>59</v>
      </c>
      <c r="D95" s="41">
        <v>2861.33</v>
      </c>
      <c r="E95" s="41">
        <f>70</f>
        <v>70</v>
      </c>
      <c r="F95" s="41"/>
      <c r="G95" s="45"/>
      <c r="H95" s="41">
        <f t="shared" si="17"/>
        <v>2931.33</v>
      </c>
      <c r="I95" s="41"/>
      <c r="J95" s="51"/>
      <c r="K95" s="41"/>
      <c r="L95" s="41">
        <f t="shared" si="18"/>
        <v>0</v>
      </c>
      <c r="M95" s="41"/>
      <c r="N95" s="41">
        <v>167.75</v>
      </c>
      <c r="O95" s="41"/>
      <c r="P95" s="41">
        <f t="shared" si="19"/>
        <v>167.75</v>
      </c>
      <c r="Q95" s="41"/>
      <c r="R95" s="35">
        <v>3133</v>
      </c>
      <c r="S95" s="4">
        <v>374</v>
      </c>
      <c r="T95" s="71" t="s">
        <v>59</v>
      </c>
      <c r="U95" s="41"/>
      <c r="V95" s="41"/>
      <c r="W95" s="41"/>
      <c r="X95" s="41">
        <f t="shared" si="20"/>
        <v>0</v>
      </c>
      <c r="Y95" s="41"/>
      <c r="Z95" s="41"/>
      <c r="AA95" s="41"/>
      <c r="AB95" s="41"/>
      <c r="AC95" s="41">
        <f t="shared" si="21"/>
        <v>0</v>
      </c>
    </row>
    <row r="96" spans="1:29" ht="12.75">
      <c r="A96" s="35">
        <v>3114</v>
      </c>
      <c r="B96" s="4">
        <v>379</v>
      </c>
      <c r="C96" s="71" t="s">
        <v>49</v>
      </c>
      <c r="D96" s="41">
        <v>931.61</v>
      </c>
      <c r="E96" s="41">
        <f>55+44.5</f>
        <v>99.5</v>
      </c>
      <c r="F96" s="41"/>
      <c r="G96" s="45"/>
      <c r="H96" s="41">
        <f t="shared" si="17"/>
        <v>1031.1100000000001</v>
      </c>
      <c r="I96" s="41"/>
      <c r="J96" s="51"/>
      <c r="K96" s="41"/>
      <c r="L96" s="41">
        <f t="shared" si="18"/>
        <v>0</v>
      </c>
      <c r="M96" s="41"/>
      <c r="N96" s="41">
        <v>44.41</v>
      </c>
      <c r="O96" s="41"/>
      <c r="P96" s="41">
        <f t="shared" si="19"/>
        <v>44.41</v>
      </c>
      <c r="Q96" s="41"/>
      <c r="R96" s="35">
        <v>3114</v>
      </c>
      <c r="S96" s="4">
        <v>379</v>
      </c>
      <c r="T96" s="71" t="s">
        <v>49</v>
      </c>
      <c r="U96" s="41"/>
      <c r="V96" s="41"/>
      <c r="W96" s="41"/>
      <c r="X96" s="41">
        <f t="shared" si="20"/>
        <v>0</v>
      </c>
      <c r="Y96" s="41"/>
      <c r="Z96" s="41"/>
      <c r="AA96" s="41">
        <f>600</f>
        <v>600</v>
      </c>
      <c r="AB96" s="41"/>
      <c r="AC96" s="41">
        <f t="shared" si="21"/>
        <v>600</v>
      </c>
    </row>
    <row r="97" spans="1:29" ht="12.75">
      <c r="A97" s="35">
        <v>3133</v>
      </c>
      <c r="B97" s="4">
        <v>380</v>
      </c>
      <c r="C97" s="71" t="s">
        <v>44</v>
      </c>
      <c r="D97" s="41">
        <v>4234.88</v>
      </c>
      <c r="E97" s="41"/>
      <c r="F97" s="41"/>
      <c r="G97" s="45"/>
      <c r="H97" s="41">
        <f t="shared" si="17"/>
        <v>4234.88</v>
      </c>
      <c r="I97" s="41"/>
      <c r="J97" s="51"/>
      <c r="K97" s="41"/>
      <c r="L97" s="41">
        <f t="shared" si="18"/>
        <v>0</v>
      </c>
      <c r="M97" s="41"/>
      <c r="N97" s="41">
        <v>178.23</v>
      </c>
      <c r="O97" s="41"/>
      <c r="P97" s="41">
        <f t="shared" si="19"/>
        <v>178.23</v>
      </c>
      <c r="Q97" s="41"/>
      <c r="R97" s="35">
        <v>3133</v>
      </c>
      <c r="S97" s="4">
        <v>380</v>
      </c>
      <c r="T97" s="71" t="s">
        <v>44</v>
      </c>
      <c r="U97" s="41"/>
      <c r="V97" s="41"/>
      <c r="W97" s="41"/>
      <c r="X97" s="41">
        <f t="shared" si="20"/>
        <v>0</v>
      </c>
      <c r="Y97" s="41"/>
      <c r="Z97" s="41"/>
      <c r="AA97" s="41"/>
      <c r="AB97" s="41"/>
      <c r="AC97" s="41">
        <f t="shared" si="21"/>
        <v>0</v>
      </c>
    </row>
    <row r="98" spans="1:29" ht="12.75" customHeight="1">
      <c r="A98" s="35">
        <v>3114</v>
      </c>
      <c r="B98" s="4">
        <v>381</v>
      </c>
      <c r="C98" s="71" t="s">
        <v>101</v>
      </c>
      <c r="D98" s="41">
        <v>2688.7799999999997</v>
      </c>
      <c r="E98" s="41">
        <f>79.6+189.9</f>
        <v>269.5</v>
      </c>
      <c r="F98" s="41"/>
      <c r="G98" s="45"/>
      <c r="H98" s="41">
        <f t="shared" si="17"/>
        <v>2958.2799999999997</v>
      </c>
      <c r="I98" s="41"/>
      <c r="J98" s="51"/>
      <c r="K98" s="41"/>
      <c r="L98" s="41">
        <f t="shared" si="18"/>
        <v>0</v>
      </c>
      <c r="M98" s="41"/>
      <c r="N98" s="41">
        <v>2.31</v>
      </c>
      <c r="O98" s="41"/>
      <c r="P98" s="41">
        <f t="shared" si="19"/>
        <v>2.31</v>
      </c>
      <c r="Q98" s="41"/>
      <c r="R98" s="35">
        <v>3114</v>
      </c>
      <c r="S98" s="4">
        <v>381</v>
      </c>
      <c r="T98" s="71" t="s">
        <v>101</v>
      </c>
      <c r="U98" s="41"/>
      <c r="V98" s="41"/>
      <c r="W98" s="41"/>
      <c r="X98" s="41">
        <f t="shared" si="20"/>
        <v>0</v>
      </c>
      <c r="Y98" s="41"/>
      <c r="Z98" s="41"/>
      <c r="AA98" s="41"/>
      <c r="AB98" s="41"/>
      <c r="AC98" s="41">
        <f t="shared" si="21"/>
        <v>0</v>
      </c>
    </row>
    <row r="99" spans="1:29" ht="12.75" customHeight="1">
      <c r="A99" s="35">
        <v>3121</v>
      </c>
      <c r="B99" s="4">
        <v>390</v>
      </c>
      <c r="C99" s="71" t="s">
        <v>27</v>
      </c>
      <c r="D99" s="41">
        <v>4514.13</v>
      </c>
      <c r="E99" s="41">
        <f>443</f>
        <v>443</v>
      </c>
      <c r="F99" s="41"/>
      <c r="G99" s="45"/>
      <c r="H99" s="41">
        <f t="shared" si="17"/>
        <v>4957.13</v>
      </c>
      <c r="I99" s="41"/>
      <c r="J99" s="51"/>
      <c r="K99" s="51">
        <f>45</f>
        <v>45</v>
      </c>
      <c r="L99" s="41">
        <f t="shared" si="18"/>
        <v>45</v>
      </c>
      <c r="M99" s="41"/>
      <c r="N99" s="41">
        <v>295.46</v>
      </c>
      <c r="O99" s="41"/>
      <c r="P99" s="41">
        <f t="shared" si="19"/>
        <v>295.46</v>
      </c>
      <c r="Q99" s="41"/>
      <c r="R99" s="35">
        <v>3121</v>
      </c>
      <c r="S99" s="4">
        <v>390</v>
      </c>
      <c r="T99" s="71" t="s">
        <v>27</v>
      </c>
      <c r="U99" s="41"/>
      <c r="V99" s="41">
        <f>700+820</f>
        <v>1520</v>
      </c>
      <c r="W99" s="41"/>
      <c r="X99" s="41">
        <f t="shared" si="20"/>
        <v>1520</v>
      </c>
      <c r="Y99" s="41"/>
      <c r="Z99" s="41">
        <v>600</v>
      </c>
      <c r="AA99" s="41"/>
      <c r="AB99" s="41"/>
      <c r="AC99" s="41">
        <f t="shared" si="21"/>
        <v>600</v>
      </c>
    </row>
    <row r="100" spans="1:29" ht="12.75">
      <c r="A100" s="35">
        <v>3127</v>
      </c>
      <c r="B100" s="4">
        <v>392</v>
      </c>
      <c r="C100" s="72" t="s">
        <v>102</v>
      </c>
      <c r="D100" s="41">
        <v>6858.08</v>
      </c>
      <c r="E100" s="41">
        <f>116+870</f>
        <v>986</v>
      </c>
      <c r="F100" s="41"/>
      <c r="G100" s="45"/>
      <c r="H100" s="41">
        <f t="shared" si="17"/>
        <v>7844.08</v>
      </c>
      <c r="I100" s="41"/>
      <c r="J100" s="51"/>
      <c r="K100" s="41"/>
      <c r="L100" s="41">
        <f t="shared" si="18"/>
        <v>0</v>
      </c>
      <c r="M100" s="41"/>
      <c r="N100" s="41">
        <v>993.61</v>
      </c>
      <c r="O100" s="41"/>
      <c r="P100" s="41">
        <f t="shared" si="19"/>
        <v>993.61</v>
      </c>
      <c r="Q100" s="41"/>
      <c r="R100" s="35">
        <v>3127</v>
      </c>
      <c r="S100" s="4">
        <v>392</v>
      </c>
      <c r="T100" s="72" t="s">
        <v>102</v>
      </c>
      <c r="U100" s="41"/>
      <c r="V100" s="41"/>
      <c r="W100" s="41"/>
      <c r="X100" s="41">
        <f t="shared" si="20"/>
        <v>0</v>
      </c>
      <c r="Y100" s="41"/>
      <c r="Z100" s="41"/>
      <c r="AA100" s="41">
        <f>500</f>
        <v>500</v>
      </c>
      <c r="AB100" s="41"/>
      <c r="AC100" s="41">
        <f t="shared" si="21"/>
        <v>500</v>
      </c>
    </row>
    <row r="101" spans="1:29" ht="12.75" customHeight="1">
      <c r="A101" s="35">
        <v>3122</v>
      </c>
      <c r="B101" s="4">
        <v>393</v>
      </c>
      <c r="C101" s="71" t="s">
        <v>10</v>
      </c>
      <c r="D101" s="41">
        <v>3258.64</v>
      </c>
      <c r="E101" s="41">
        <f>77.5+654.5</f>
        <v>732</v>
      </c>
      <c r="F101" s="41"/>
      <c r="G101" s="45"/>
      <c r="H101" s="41">
        <f t="shared" si="17"/>
        <v>3990.64</v>
      </c>
      <c r="I101" s="41"/>
      <c r="J101" s="51"/>
      <c r="K101" s="41"/>
      <c r="L101" s="41">
        <f t="shared" si="18"/>
        <v>0</v>
      </c>
      <c r="M101" s="41"/>
      <c r="N101" s="41">
        <v>351.99</v>
      </c>
      <c r="O101" s="41"/>
      <c r="P101" s="41">
        <f t="shared" si="19"/>
        <v>351.99</v>
      </c>
      <c r="Q101" s="41"/>
      <c r="R101" s="35">
        <v>3122</v>
      </c>
      <c r="S101" s="4">
        <v>393</v>
      </c>
      <c r="T101" s="71" t="s">
        <v>10</v>
      </c>
      <c r="U101" s="41">
        <v>450</v>
      </c>
      <c r="V101" s="41"/>
      <c r="W101" s="41"/>
      <c r="X101" s="41">
        <f t="shared" si="20"/>
        <v>450</v>
      </c>
      <c r="Y101" s="41"/>
      <c r="Z101" s="41">
        <v>200</v>
      </c>
      <c r="AA101" s="41"/>
      <c r="AB101" s="41"/>
      <c r="AC101" s="41">
        <f t="shared" si="21"/>
        <v>200</v>
      </c>
    </row>
    <row r="102" spans="1:29" ht="12.75">
      <c r="A102" s="35">
        <v>3127</v>
      </c>
      <c r="B102" s="4">
        <v>394</v>
      </c>
      <c r="C102" s="71" t="s">
        <v>128</v>
      </c>
      <c r="D102" s="41">
        <v>10792.4</v>
      </c>
      <c r="E102" s="41">
        <f>109.5+1389.9</f>
        <v>1499.4</v>
      </c>
      <c r="F102" s="41"/>
      <c r="G102" s="45"/>
      <c r="H102" s="41">
        <f t="shared" si="17"/>
        <v>12291.8</v>
      </c>
      <c r="I102" s="41"/>
      <c r="J102" s="51"/>
      <c r="K102" s="41"/>
      <c r="L102" s="41">
        <f t="shared" si="18"/>
        <v>0</v>
      </c>
      <c r="M102" s="41"/>
      <c r="N102" s="41">
        <v>986.88</v>
      </c>
      <c r="O102" s="41"/>
      <c r="P102" s="41">
        <f t="shared" si="19"/>
        <v>986.88</v>
      </c>
      <c r="Q102" s="41"/>
      <c r="R102" s="35">
        <v>3127</v>
      </c>
      <c r="S102" s="4">
        <v>394</v>
      </c>
      <c r="T102" s="71" t="s">
        <v>128</v>
      </c>
      <c r="U102" s="41"/>
      <c r="V102" s="41"/>
      <c r="W102" s="41"/>
      <c r="X102" s="41">
        <f t="shared" si="20"/>
        <v>0</v>
      </c>
      <c r="Y102" s="41"/>
      <c r="Z102" s="41">
        <v>6100</v>
      </c>
      <c r="AA102" s="41">
        <f>420+2000+920</f>
        <v>3340</v>
      </c>
      <c r="AB102" s="41"/>
      <c r="AC102" s="41">
        <f t="shared" si="21"/>
        <v>9440</v>
      </c>
    </row>
    <row r="103" spans="1:29" ht="12.75">
      <c r="A103" s="35">
        <v>3122</v>
      </c>
      <c r="B103" s="4">
        <v>395</v>
      </c>
      <c r="C103" s="71" t="s">
        <v>144</v>
      </c>
      <c r="D103" s="41">
        <v>6465.6</v>
      </c>
      <c r="E103" s="41">
        <f>155+1377.75</f>
        <v>1532.75</v>
      </c>
      <c r="F103" s="41"/>
      <c r="G103" s="45"/>
      <c r="H103" s="41">
        <f t="shared" si="17"/>
        <v>7998.35</v>
      </c>
      <c r="I103" s="41"/>
      <c r="J103" s="51"/>
      <c r="K103" s="41"/>
      <c r="L103" s="41">
        <f t="shared" si="18"/>
        <v>0</v>
      </c>
      <c r="M103" s="41"/>
      <c r="N103" s="41">
        <v>713.04</v>
      </c>
      <c r="O103" s="41">
        <f>33.85</f>
        <v>33.85</v>
      </c>
      <c r="P103" s="41">
        <f t="shared" si="19"/>
        <v>746.89</v>
      </c>
      <c r="Q103" s="41"/>
      <c r="R103" s="35">
        <v>3122</v>
      </c>
      <c r="S103" s="4">
        <v>395</v>
      </c>
      <c r="T103" s="71" t="s">
        <v>144</v>
      </c>
      <c r="U103" s="41"/>
      <c r="V103" s="41"/>
      <c r="W103" s="41"/>
      <c r="X103" s="41">
        <f t="shared" si="20"/>
        <v>0</v>
      </c>
      <c r="Y103" s="41"/>
      <c r="Z103" s="41">
        <v>2800</v>
      </c>
      <c r="AA103" s="41"/>
      <c r="AB103" s="41"/>
      <c r="AC103" s="41">
        <f t="shared" si="21"/>
        <v>2800</v>
      </c>
    </row>
    <row r="104" spans="1:29" ht="12.75">
      <c r="A104" s="35">
        <v>3127</v>
      </c>
      <c r="B104" s="4">
        <v>397</v>
      </c>
      <c r="C104" s="72" t="s">
        <v>103</v>
      </c>
      <c r="D104" s="41">
        <v>10698.89</v>
      </c>
      <c r="E104" s="41">
        <f>59+856.7</f>
        <v>915.7</v>
      </c>
      <c r="F104" s="41"/>
      <c r="G104" s="45"/>
      <c r="H104" s="41">
        <f t="shared" si="17"/>
        <v>11614.59</v>
      </c>
      <c r="I104" s="41"/>
      <c r="J104" s="51">
        <v>80</v>
      </c>
      <c r="K104" s="41"/>
      <c r="L104" s="41">
        <f t="shared" si="18"/>
        <v>80</v>
      </c>
      <c r="M104" s="41"/>
      <c r="N104" s="41">
        <v>1253.98</v>
      </c>
      <c r="O104" s="41"/>
      <c r="P104" s="41">
        <f t="shared" si="19"/>
        <v>1253.98</v>
      </c>
      <c r="Q104" s="41"/>
      <c r="R104" s="35">
        <v>3127</v>
      </c>
      <c r="S104" s="4">
        <v>397</v>
      </c>
      <c r="T104" s="72" t="s">
        <v>103</v>
      </c>
      <c r="U104" s="41"/>
      <c r="V104" s="41"/>
      <c r="W104" s="41"/>
      <c r="X104" s="41">
        <f t="shared" si="20"/>
        <v>0</v>
      </c>
      <c r="Y104" s="41"/>
      <c r="Z104" s="41">
        <v>2000</v>
      </c>
      <c r="AA104" s="41"/>
      <c r="AB104" s="41"/>
      <c r="AC104" s="41">
        <f t="shared" si="21"/>
        <v>2000</v>
      </c>
    </row>
    <row r="105" spans="1:29" ht="12.75">
      <c r="A105" s="35">
        <v>3127</v>
      </c>
      <c r="B105" s="4">
        <v>400</v>
      </c>
      <c r="C105" s="72" t="s">
        <v>104</v>
      </c>
      <c r="D105" s="41">
        <v>8519.41</v>
      </c>
      <c r="E105" s="41">
        <f>116+274.5</f>
        <v>390.5</v>
      </c>
      <c r="F105" s="41"/>
      <c r="G105" s="45"/>
      <c r="H105" s="41">
        <f t="shared" si="17"/>
        <v>8909.91</v>
      </c>
      <c r="I105" s="41"/>
      <c r="J105" s="51"/>
      <c r="K105" s="41">
        <f>700</f>
        <v>700</v>
      </c>
      <c r="L105" s="41">
        <f t="shared" si="18"/>
        <v>700</v>
      </c>
      <c r="M105" s="41"/>
      <c r="N105" s="41">
        <v>739.22</v>
      </c>
      <c r="O105" s="41"/>
      <c r="P105" s="41">
        <f t="shared" si="19"/>
        <v>739.22</v>
      </c>
      <c r="Q105" s="41"/>
      <c r="R105" s="35">
        <v>3127</v>
      </c>
      <c r="S105" s="4">
        <v>400</v>
      </c>
      <c r="T105" s="72" t="s">
        <v>104</v>
      </c>
      <c r="U105" s="41"/>
      <c r="V105" s="41"/>
      <c r="W105" s="41"/>
      <c r="X105" s="41">
        <f t="shared" si="20"/>
        <v>0</v>
      </c>
      <c r="Y105" s="41"/>
      <c r="Z105" s="41">
        <v>10485</v>
      </c>
      <c r="AA105" s="41">
        <f>180</f>
        <v>180</v>
      </c>
      <c r="AB105" s="41"/>
      <c r="AC105" s="41">
        <f t="shared" si="21"/>
        <v>10665</v>
      </c>
    </row>
    <row r="106" spans="1:29" ht="12.75">
      <c r="A106" s="35">
        <v>3124</v>
      </c>
      <c r="B106" s="4">
        <v>401</v>
      </c>
      <c r="C106" s="71" t="s">
        <v>105</v>
      </c>
      <c r="D106" s="41">
        <v>5222.23</v>
      </c>
      <c r="E106" s="41">
        <f>36</f>
        <v>36</v>
      </c>
      <c r="F106" s="41"/>
      <c r="G106" s="45"/>
      <c r="H106" s="41">
        <f t="shared" si="17"/>
        <v>5258.23</v>
      </c>
      <c r="I106" s="41"/>
      <c r="J106" s="51"/>
      <c r="K106" s="41"/>
      <c r="L106" s="41">
        <f t="shared" si="18"/>
        <v>0</v>
      </c>
      <c r="M106" s="41"/>
      <c r="N106" s="41">
        <v>150.95</v>
      </c>
      <c r="O106" s="41"/>
      <c r="P106" s="41">
        <f t="shared" si="19"/>
        <v>150.95</v>
      </c>
      <c r="Q106" s="41"/>
      <c r="R106" s="35">
        <v>3124</v>
      </c>
      <c r="S106" s="4">
        <v>401</v>
      </c>
      <c r="T106" s="71" t="s">
        <v>105</v>
      </c>
      <c r="U106" s="41"/>
      <c r="V106" s="41">
        <f>900</f>
        <v>900</v>
      </c>
      <c r="W106" s="41"/>
      <c r="X106" s="41">
        <f t="shared" si="20"/>
        <v>900</v>
      </c>
      <c r="Y106" s="41"/>
      <c r="Z106" s="41">
        <v>14500</v>
      </c>
      <c r="AA106" s="41">
        <f>-1300</f>
        <v>-1300</v>
      </c>
      <c r="AB106" s="41"/>
      <c r="AC106" s="41">
        <f t="shared" si="21"/>
        <v>13200</v>
      </c>
    </row>
    <row r="107" spans="1:29" ht="12.75" customHeight="1">
      <c r="A107" s="35">
        <v>3121</v>
      </c>
      <c r="B107" s="4">
        <v>409</v>
      </c>
      <c r="C107" s="71" t="s">
        <v>11</v>
      </c>
      <c r="D107" s="41">
        <v>3351.6600000000003</v>
      </c>
      <c r="E107" s="41">
        <f>43.23+598.5</f>
        <v>641.73</v>
      </c>
      <c r="F107" s="41"/>
      <c r="G107" s="45"/>
      <c r="H107" s="41">
        <f t="shared" si="17"/>
        <v>3993.3900000000003</v>
      </c>
      <c r="I107" s="41"/>
      <c r="J107" s="51"/>
      <c r="K107" s="41"/>
      <c r="L107" s="41">
        <f t="shared" si="18"/>
        <v>0</v>
      </c>
      <c r="M107" s="41"/>
      <c r="N107" s="41">
        <v>41.52</v>
      </c>
      <c r="O107" s="41"/>
      <c r="P107" s="41">
        <f t="shared" si="19"/>
        <v>41.52</v>
      </c>
      <c r="Q107" s="41"/>
      <c r="R107" s="35">
        <v>3121</v>
      </c>
      <c r="S107" s="4">
        <v>409</v>
      </c>
      <c r="T107" s="71" t="s">
        <v>11</v>
      </c>
      <c r="U107" s="41"/>
      <c r="V107" s="41"/>
      <c r="W107" s="41"/>
      <c r="X107" s="41">
        <f t="shared" si="20"/>
        <v>0</v>
      </c>
      <c r="Y107" s="41"/>
      <c r="Z107" s="41"/>
      <c r="AA107" s="41"/>
      <c r="AB107" s="41"/>
      <c r="AC107" s="41">
        <f t="shared" si="21"/>
        <v>0</v>
      </c>
    </row>
    <row r="108" spans="1:29" ht="12.75">
      <c r="A108" s="35">
        <v>3121</v>
      </c>
      <c r="B108" s="4">
        <v>410</v>
      </c>
      <c r="C108" s="71" t="s">
        <v>12</v>
      </c>
      <c r="D108" s="41">
        <v>7616.25</v>
      </c>
      <c r="E108" s="41">
        <f>135.5+614.1</f>
        <v>749.6</v>
      </c>
      <c r="F108" s="41"/>
      <c r="G108" s="45"/>
      <c r="H108" s="41">
        <f t="shared" si="17"/>
        <v>8365.85</v>
      </c>
      <c r="I108" s="41"/>
      <c r="J108" s="51"/>
      <c r="K108" s="41">
        <f>80</f>
        <v>80</v>
      </c>
      <c r="L108" s="41">
        <f t="shared" si="18"/>
        <v>80</v>
      </c>
      <c r="M108" s="41"/>
      <c r="N108" s="41">
        <v>952.81</v>
      </c>
      <c r="O108" s="41"/>
      <c r="P108" s="41">
        <f t="shared" si="19"/>
        <v>952.81</v>
      </c>
      <c r="Q108" s="41"/>
      <c r="R108" s="35">
        <v>3121</v>
      </c>
      <c r="S108" s="4">
        <v>410</v>
      </c>
      <c r="T108" s="71" t="s">
        <v>12</v>
      </c>
      <c r="U108" s="41"/>
      <c r="V108" s="41"/>
      <c r="W108" s="41"/>
      <c r="X108" s="41">
        <f t="shared" si="20"/>
        <v>0</v>
      </c>
      <c r="Y108" s="41"/>
      <c r="Z108" s="41"/>
      <c r="AA108" s="41"/>
      <c r="AB108" s="41"/>
      <c r="AC108" s="41">
        <f t="shared" si="21"/>
        <v>0</v>
      </c>
    </row>
    <row r="109" spans="1:29" ht="12.75">
      <c r="A109" s="35">
        <v>3127</v>
      </c>
      <c r="B109" s="4">
        <v>413</v>
      </c>
      <c r="C109" s="71" t="s">
        <v>129</v>
      </c>
      <c r="D109" s="41">
        <v>10140.380000000001</v>
      </c>
      <c r="E109" s="41">
        <f>237+878.6</f>
        <v>1115.6</v>
      </c>
      <c r="F109" s="41"/>
      <c r="G109" s="45"/>
      <c r="H109" s="41">
        <f t="shared" si="17"/>
        <v>11255.980000000001</v>
      </c>
      <c r="I109" s="41"/>
      <c r="J109" s="51"/>
      <c r="K109" s="41"/>
      <c r="L109" s="41">
        <f t="shared" si="18"/>
        <v>0</v>
      </c>
      <c r="M109" s="41"/>
      <c r="N109" s="41">
        <v>744.95</v>
      </c>
      <c r="O109" s="41"/>
      <c r="P109" s="41">
        <f t="shared" si="19"/>
        <v>744.95</v>
      </c>
      <c r="Q109" s="41"/>
      <c r="R109" s="35">
        <v>3127</v>
      </c>
      <c r="S109" s="4">
        <v>413</v>
      </c>
      <c r="T109" s="71" t="s">
        <v>129</v>
      </c>
      <c r="U109" s="41">
        <v>1639</v>
      </c>
      <c r="V109" s="41">
        <f>230</f>
        <v>230</v>
      </c>
      <c r="W109" s="41"/>
      <c r="X109" s="41">
        <f t="shared" si="20"/>
        <v>1869</v>
      </c>
      <c r="Y109" s="41"/>
      <c r="Z109" s="41"/>
      <c r="AA109" s="41">
        <f>339.5</f>
        <v>339.5</v>
      </c>
      <c r="AB109" s="41"/>
      <c r="AC109" s="41">
        <f t="shared" si="21"/>
        <v>339.5</v>
      </c>
    </row>
    <row r="110" spans="1:29" ht="12.75">
      <c r="A110" s="35">
        <v>3122</v>
      </c>
      <c r="B110" s="4">
        <v>415</v>
      </c>
      <c r="C110" s="72" t="s">
        <v>155</v>
      </c>
      <c r="D110" s="41">
        <v>13349.41</v>
      </c>
      <c r="E110" s="41">
        <f>411.32+1522.7</f>
        <v>1934.02</v>
      </c>
      <c r="F110" s="41"/>
      <c r="G110" s="45"/>
      <c r="H110" s="41">
        <f t="shared" si="17"/>
        <v>15283.43</v>
      </c>
      <c r="I110" s="41"/>
      <c r="J110" s="51">
        <v>110</v>
      </c>
      <c r="K110" s="41">
        <f>80</f>
        <v>80</v>
      </c>
      <c r="L110" s="41">
        <f t="shared" si="18"/>
        <v>190</v>
      </c>
      <c r="M110" s="41"/>
      <c r="N110" s="41">
        <v>2043.8500000000001</v>
      </c>
      <c r="O110" s="41"/>
      <c r="P110" s="41">
        <f t="shared" si="19"/>
        <v>2043.8500000000001</v>
      </c>
      <c r="Q110" s="41"/>
      <c r="R110" s="35">
        <v>3122</v>
      </c>
      <c r="S110" s="4">
        <v>415</v>
      </c>
      <c r="T110" s="72" t="s">
        <v>155</v>
      </c>
      <c r="U110" s="41"/>
      <c r="V110" s="41">
        <f>200</f>
        <v>200</v>
      </c>
      <c r="W110" s="41"/>
      <c r="X110" s="41">
        <f t="shared" si="20"/>
        <v>200</v>
      </c>
      <c r="Y110" s="41"/>
      <c r="Z110" s="41"/>
      <c r="AA110" s="41"/>
      <c r="AB110" s="41"/>
      <c r="AC110" s="41">
        <f t="shared" si="21"/>
        <v>0</v>
      </c>
    </row>
    <row r="111" spans="1:29" ht="12.75" customHeight="1">
      <c r="A111" s="35">
        <v>3127</v>
      </c>
      <c r="B111" s="4">
        <v>416</v>
      </c>
      <c r="C111" s="71" t="s">
        <v>106</v>
      </c>
      <c r="D111" s="41">
        <v>17538.95</v>
      </c>
      <c r="E111" s="41">
        <f>102+982.1</f>
        <v>1084.1</v>
      </c>
      <c r="F111" s="41"/>
      <c r="G111" s="45"/>
      <c r="H111" s="41">
        <f t="shared" si="17"/>
        <v>18623.05</v>
      </c>
      <c r="I111" s="41"/>
      <c r="J111" s="51">
        <v>260</v>
      </c>
      <c r="K111" s="51">
        <f>220</f>
        <v>220</v>
      </c>
      <c r="L111" s="41">
        <f t="shared" si="18"/>
        <v>480</v>
      </c>
      <c r="M111" s="41"/>
      <c r="N111" s="41">
        <v>2511.59</v>
      </c>
      <c r="O111" s="41"/>
      <c r="P111" s="41">
        <f t="shared" si="19"/>
        <v>2511.59</v>
      </c>
      <c r="Q111" s="41"/>
      <c r="R111" s="35">
        <v>3127</v>
      </c>
      <c r="S111" s="4">
        <v>416</v>
      </c>
      <c r="T111" s="71" t="s">
        <v>106</v>
      </c>
      <c r="U111" s="41">
        <v>400</v>
      </c>
      <c r="V111" s="41"/>
      <c r="W111" s="41"/>
      <c r="X111" s="41">
        <f t="shared" si="20"/>
        <v>400</v>
      </c>
      <c r="Y111" s="41"/>
      <c r="Z111" s="41">
        <v>5567</v>
      </c>
      <c r="AA111" s="45">
        <f>455+896</f>
        <v>1351</v>
      </c>
      <c r="AB111" s="45"/>
      <c r="AC111" s="41">
        <f t="shared" si="21"/>
        <v>6918</v>
      </c>
    </row>
    <row r="112" spans="1:29" ht="12.75">
      <c r="A112" s="35">
        <v>3127</v>
      </c>
      <c r="B112" s="4">
        <v>418</v>
      </c>
      <c r="C112" s="72" t="s">
        <v>145</v>
      </c>
      <c r="D112" s="41">
        <v>11175.86</v>
      </c>
      <c r="E112" s="41">
        <f>282+2191.87</f>
        <v>2473.87</v>
      </c>
      <c r="F112" s="41"/>
      <c r="G112" s="45"/>
      <c r="H112" s="41">
        <f t="shared" si="17"/>
        <v>13649.73</v>
      </c>
      <c r="I112" s="41"/>
      <c r="J112" s="51"/>
      <c r="K112" s="51">
        <f>200</f>
        <v>200</v>
      </c>
      <c r="L112" s="41">
        <f t="shared" si="18"/>
        <v>200</v>
      </c>
      <c r="M112" s="41"/>
      <c r="N112" s="41">
        <v>1074.53</v>
      </c>
      <c r="O112" s="41"/>
      <c r="P112" s="41">
        <f t="shared" si="19"/>
        <v>1074.53</v>
      </c>
      <c r="Q112" s="41"/>
      <c r="R112" s="35">
        <v>3127</v>
      </c>
      <c r="S112" s="4">
        <v>418</v>
      </c>
      <c r="T112" s="72" t="s">
        <v>145</v>
      </c>
      <c r="U112" s="41"/>
      <c r="V112" s="45"/>
      <c r="W112" s="45"/>
      <c r="X112" s="41">
        <f t="shared" si="20"/>
        <v>0</v>
      </c>
      <c r="Y112" s="41"/>
      <c r="Z112" s="41">
        <v>7923</v>
      </c>
      <c r="AA112" s="41">
        <f>4000</f>
        <v>4000</v>
      </c>
      <c r="AB112" s="41"/>
      <c r="AC112" s="41">
        <f t="shared" si="21"/>
        <v>11923</v>
      </c>
    </row>
    <row r="113" spans="1:29" ht="12.75">
      <c r="A113" s="35">
        <v>3127</v>
      </c>
      <c r="B113" s="4">
        <v>419</v>
      </c>
      <c r="C113" s="71" t="s">
        <v>45</v>
      </c>
      <c r="D113" s="41">
        <v>10835.5</v>
      </c>
      <c r="E113" s="41">
        <f>62.2+1528.3</f>
        <v>1590.5</v>
      </c>
      <c r="F113" s="41"/>
      <c r="G113" s="45"/>
      <c r="H113" s="41">
        <f t="shared" si="17"/>
        <v>12426</v>
      </c>
      <c r="I113" s="41"/>
      <c r="J113" s="51"/>
      <c r="K113" s="50">
        <f>200</f>
        <v>200</v>
      </c>
      <c r="L113" s="41">
        <f t="shared" si="18"/>
        <v>200</v>
      </c>
      <c r="M113" s="41"/>
      <c r="N113" s="41">
        <v>2094.6499999999996</v>
      </c>
      <c r="O113" s="41"/>
      <c r="P113" s="41">
        <f t="shared" si="19"/>
        <v>2094.6499999999996</v>
      </c>
      <c r="Q113" s="41"/>
      <c r="R113" s="35">
        <v>3127</v>
      </c>
      <c r="S113" s="4">
        <v>419</v>
      </c>
      <c r="T113" s="71" t="s">
        <v>45</v>
      </c>
      <c r="U113" s="41"/>
      <c r="V113" s="41"/>
      <c r="W113" s="41"/>
      <c r="X113" s="41">
        <f t="shared" si="20"/>
        <v>0</v>
      </c>
      <c r="Y113" s="41"/>
      <c r="Z113" s="41">
        <v>5417</v>
      </c>
      <c r="AA113" s="41">
        <f>2000</f>
        <v>2000</v>
      </c>
      <c r="AB113" s="41"/>
      <c r="AC113" s="41">
        <f t="shared" si="21"/>
        <v>7417</v>
      </c>
    </row>
    <row r="114" spans="1:29" ht="12.75">
      <c r="A114" s="35">
        <v>3124</v>
      </c>
      <c r="B114" s="4">
        <v>423</v>
      </c>
      <c r="C114" s="71" t="s">
        <v>107</v>
      </c>
      <c r="D114" s="41">
        <v>5789.1</v>
      </c>
      <c r="E114" s="41">
        <f>126.48+350.8</f>
        <v>477.28000000000003</v>
      </c>
      <c r="F114" s="41"/>
      <c r="G114" s="45"/>
      <c r="H114" s="41">
        <f t="shared" si="17"/>
        <v>6266.38</v>
      </c>
      <c r="I114" s="41"/>
      <c r="J114" s="51"/>
      <c r="K114" s="41"/>
      <c r="L114" s="41">
        <f t="shared" si="18"/>
        <v>0</v>
      </c>
      <c r="M114" s="41"/>
      <c r="N114" s="41">
        <v>371.75</v>
      </c>
      <c r="O114" s="41"/>
      <c r="P114" s="41">
        <f t="shared" si="19"/>
        <v>371.75</v>
      </c>
      <c r="Q114" s="41"/>
      <c r="R114" s="35">
        <v>3124</v>
      </c>
      <c r="S114" s="4">
        <v>423</v>
      </c>
      <c r="T114" s="71" t="s">
        <v>107</v>
      </c>
      <c r="U114" s="41">
        <v>21</v>
      </c>
      <c r="V114" s="41"/>
      <c r="W114" s="41"/>
      <c r="X114" s="41">
        <f t="shared" si="20"/>
        <v>21</v>
      </c>
      <c r="Y114" s="41"/>
      <c r="Z114" s="41"/>
      <c r="AA114" s="41"/>
      <c r="AB114" s="41"/>
      <c r="AC114" s="41">
        <f t="shared" si="21"/>
        <v>0</v>
      </c>
    </row>
    <row r="115" spans="1:29" ht="12.75">
      <c r="A115" s="35">
        <v>3112</v>
      </c>
      <c r="B115" s="4">
        <v>425</v>
      </c>
      <c r="C115" s="71" t="s">
        <v>108</v>
      </c>
      <c r="D115" s="41">
        <v>1705.47</v>
      </c>
      <c r="E115" s="41">
        <f>7+89.7</f>
        <v>96.7</v>
      </c>
      <c r="F115" s="41"/>
      <c r="G115" s="45"/>
      <c r="H115" s="41">
        <f t="shared" si="17"/>
        <v>1802.17</v>
      </c>
      <c r="I115" s="41"/>
      <c r="J115" s="51"/>
      <c r="K115" s="41"/>
      <c r="L115" s="41">
        <f t="shared" si="18"/>
        <v>0</v>
      </c>
      <c r="M115" s="41"/>
      <c r="N115" s="41">
        <v>22.369999999999997</v>
      </c>
      <c r="O115" s="41"/>
      <c r="P115" s="41">
        <f t="shared" si="19"/>
        <v>22.369999999999997</v>
      </c>
      <c r="Q115" s="41"/>
      <c r="R115" s="35">
        <v>3112</v>
      </c>
      <c r="S115" s="4">
        <v>425</v>
      </c>
      <c r="T115" s="71" t="s">
        <v>108</v>
      </c>
      <c r="U115" s="41"/>
      <c r="V115" s="41"/>
      <c r="W115" s="41"/>
      <c r="X115" s="41">
        <f t="shared" si="20"/>
        <v>0</v>
      </c>
      <c r="Y115" s="41"/>
      <c r="Z115" s="41"/>
      <c r="AA115" s="41"/>
      <c r="AB115" s="41"/>
      <c r="AC115" s="41">
        <f t="shared" si="21"/>
        <v>0</v>
      </c>
    </row>
    <row r="116" spans="1:29" ht="12.75">
      <c r="A116" s="35">
        <v>3114</v>
      </c>
      <c r="B116" s="4">
        <v>426</v>
      </c>
      <c r="C116" s="71" t="s">
        <v>46</v>
      </c>
      <c r="D116" s="41">
        <v>1360.44</v>
      </c>
      <c r="E116" s="41">
        <f>43.8+98.8</f>
        <v>142.6</v>
      </c>
      <c r="F116" s="41"/>
      <c r="G116" s="45"/>
      <c r="H116" s="41">
        <f t="shared" si="17"/>
        <v>1503.04</v>
      </c>
      <c r="I116" s="41"/>
      <c r="J116" s="51"/>
      <c r="K116" s="41"/>
      <c r="L116" s="41">
        <f t="shared" si="18"/>
        <v>0</v>
      </c>
      <c r="M116" s="41"/>
      <c r="N116" s="41">
        <v>0.03</v>
      </c>
      <c r="O116" s="41"/>
      <c r="P116" s="41">
        <f t="shared" si="19"/>
        <v>0.03</v>
      </c>
      <c r="Q116" s="41"/>
      <c r="R116" s="35">
        <v>3114</v>
      </c>
      <c r="S116" s="4">
        <v>426</v>
      </c>
      <c r="T116" s="71" t="s">
        <v>46</v>
      </c>
      <c r="U116" s="41"/>
      <c r="V116" s="41"/>
      <c r="W116" s="41"/>
      <c r="X116" s="41">
        <f t="shared" si="20"/>
        <v>0</v>
      </c>
      <c r="Y116" s="41"/>
      <c r="Z116" s="41"/>
      <c r="AA116" s="41"/>
      <c r="AB116" s="41"/>
      <c r="AC116" s="41">
        <f t="shared" si="21"/>
        <v>0</v>
      </c>
    </row>
    <row r="117" spans="1:29" ht="12.75" customHeight="1">
      <c r="A117" s="35">
        <v>3133</v>
      </c>
      <c r="B117" s="4">
        <v>427</v>
      </c>
      <c r="C117" s="71" t="s">
        <v>47</v>
      </c>
      <c r="D117" s="41">
        <v>3557.37</v>
      </c>
      <c r="E117" s="41">
        <f>98+190</f>
        <v>288</v>
      </c>
      <c r="F117" s="41"/>
      <c r="G117" s="45"/>
      <c r="H117" s="41">
        <f t="shared" si="17"/>
        <v>3845.37</v>
      </c>
      <c r="I117" s="41"/>
      <c r="J117" s="51"/>
      <c r="K117" s="41"/>
      <c r="L117" s="41">
        <f t="shared" si="18"/>
        <v>0</v>
      </c>
      <c r="M117" s="41"/>
      <c r="N117" s="41">
        <v>69.36</v>
      </c>
      <c r="O117" s="41"/>
      <c r="P117" s="41">
        <f t="shared" si="19"/>
        <v>69.36</v>
      </c>
      <c r="Q117" s="41"/>
      <c r="R117" s="35">
        <v>3133</v>
      </c>
      <c r="S117" s="4">
        <v>427</v>
      </c>
      <c r="T117" s="71" t="s">
        <v>47</v>
      </c>
      <c r="U117" s="41"/>
      <c r="V117" s="41"/>
      <c r="W117" s="41"/>
      <c r="X117" s="41">
        <f t="shared" si="20"/>
        <v>0</v>
      </c>
      <c r="Y117" s="41"/>
      <c r="Z117" s="41"/>
      <c r="AA117" s="41"/>
      <c r="AB117" s="41"/>
      <c r="AC117" s="41">
        <f t="shared" si="21"/>
        <v>0</v>
      </c>
    </row>
    <row r="118" spans="1:29" ht="12.75">
      <c r="A118" s="35">
        <v>3133</v>
      </c>
      <c r="B118" s="4">
        <v>428</v>
      </c>
      <c r="C118" s="71" t="s">
        <v>109</v>
      </c>
      <c r="D118" s="41">
        <v>4346.71</v>
      </c>
      <c r="E118" s="41">
        <f>66+52.01</f>
        <v>118.00999999999999</v>
      </c>
      <c r="F118" s="41"/>
      <c r="G118" s="45"/>
      <c r="H118" s="41">
        <f t="shared" si="17"/>
        <v>4464.72</v>
      </c>
      <c r="I118" s="41"/>
      <c r="J118" s="51"/>
      <c r="K118" s="41"/>
      <c r="L118" s="41">
        <f t="shared" si="18"/>
        <v>0</v>
      </c>
      <c r="M118" s="41"/>
      <c r="N118" s="41">
        <v>262.01</v>
      </c>
      <c r="O118" s="41">
        <f>2.01</f>
        <v>2.01</v>
      </c>
      <c r="P118" s="41">
        <f t="shared" si="19"/>
        <v>264.02</v>
      </c>
      <c r="Q118" s="41"/>
      <c r="R118" s="35">
        <v>3133</v>
      </c>
      <c r="S118" s="4">
        <v>428</v>
      </c>
      <c r="T118" s="71" t="s">
        <v>109</v>
      </c>
      <c r="U118" s="41"/>
      <c r="V118" s="41"/>
      <c r="W118" s="41"/>
      <c r="X118" s="41">
        <f t="shared" si="20"/>
        <v>0</v>
      </c>
      <c r="Y118" s="41"/>
      <c r="Z118" s="41">
        <v>1850</v>
      </c>
      <c r="AA118" s="41">
        <f>1500</f>
        <v>1500</v>
      </c>
      <c r="AB118" s="41"/>
      <c r="AC118" s="41">
        <f t="shared" si="21"/>
        <v>3350</v>
      </c>
    </row>
    <row r="119" spans="1:29" ht="12.75">
      <c r="A119" s="35">
        <v>3114</v>
      </c>
      <c r="B119" s="4">
        <v>431</v>
      </c>
      <c r="C119" s="71" t="s">
        <v>110</v>
      </c>
      <c r="D119" s="41">
        <v>2309.83</v>
      </c>
      <c r="E119" s="41">
        <f>17+115.1</f>
        <v>132.1</v>
      </c>
      <c r="F119" s="41"/>
      <c r="G119" s="45"/>
      <c r="H119" s="41">
        <f t="shared" si="17"/>
        <v>2441.93</v>
      </c>
      <c r="I119" s="41"/>
      <c r="J119" s="51"/>
      <c r="K119" s="41">
        <f>40</f>
        <v>40</v>
      </c>
      <c r="L119" s="41">
        <f t="shared" si="18"/>
        <v>40</v>
      </c>
      <c r="M119" s="41"/>
      <c r="N119" s="41">
        <v>231.58</v>
      </c>
      <c r="O119" s="41"/>
      <c r="P119" s="41">
        <f t="shared" si="19"/>
        <v>231.58</v>
      </c>
      <c r="Q119" s="41"/>
      <c r="R119" s="35">
        <v>3114</v>
      </c>
      <c r="S119" s="4">
        <v>431</v>
      </c>
      <c r="T119" s="71" t="s">
        <v>110</v>
      </c>
      <c r="U119" s="41"/>
      <c r="V119" s="41"/>
      <c r="W119" s="41"/>
      <c r="X119" s="41">
        <f t="shared" si="20"/>
        <v>0</v>
      </c>
      <c r="Y119" s="41"/>
      <c r="Z119" s="41">
        <v>3170</v>
      </c>
      <c r="AA119" s="41"/>
      <c r="AB119" s="41"/>
      <c r="AC119" s="41">
        <f t="shared" si="21"/>
        <v>3170</v>
      </c>
    </row>
    <row r="120" spans="1:29" ht="12.75">
      <c r="A120" s="35">
        <v>3114</v>
      </c>
      <c r="B120" s="4">
        <v>432</v>
      </c>
      <c r="C120" s="81" t="s">
        <v>111</v>
      </c>
      <c r="D120" s="41">
        <v>2917.77</v>
      </c>
      <c r="E120" s="41">
        <f>6+161.4</f>
        <v>167.4</v>
      </c>
      <c r="F120" s="41"/>
      <c r="G120" s="45"/>
      <c r="H120" s="41">
        <f t="shared" si="17"/>
        <v>3085.17</v>
      </c>
      <c r="I120" s="41"/>
      <c r="J120" s="51"/>
      <c r="K120" s="41"/>
      <c r="L120" s="41">
        <f t="shared" si="18"/>
        <v>0</v>
      </c>
      <c r="M120" s="41"/>
      <c r="N120" s="41">
        <v>6.78</v>
      </c>
      <c r="O120" s="41"/>
      <c r="P120" s="41">
        <f t="shared" si="19"/>
        <v>6.78</v>
      </c>
      <c r="Q120" s="41"/>
      <c r="R120" s="35">
        <v>3114</v>
      </c>
      <c r="S120" s="4">
        <v>432</v>
      </c>
      <c r="T120" s="81" t="s">
        <v>111</v>
      </c>
      <c r="U120" s="41"/>
      <c r="V120" s="41"/>
      <c r="W120" s="41"/>
      <c r="X120" s="41">
        <f t="shared" si="20"/>
        <v>0</v>
      </c>
      <c r="Y120" s="41"/>
      <c r="Z120" s="41"/>
      <c r="AA120" s="41"/>
      <c r="AB120" s="41"/>
      <c r="AC120" s="41">
        <f t="shared" si="21"/>
        <v>0</v>
      </c>
    </row>
    <row r="121" spans="1:29" ht="12.75">
      <c r="A121" s="35">
        <v>3114</v>
      </c>
      <c r="B121" s="4">
        <v>433</v>
      </c>
      <c r="C121" s="71" t="s">
        <v>156</v>
      </c>
      <c r="D121" s="41">
        <v>871.2</v>
      </c>
      <c r="E121" s="41">
        <f>51.8+126.3</f>
        <v>178.1</v>
      </c>
      <c r="F121" s="41"/>
      <c r="G121" s="45"/>
      <c r="H121" s="41">
        <f t="shared" si="17"/>
        <v>1049.3</v>
      </c>
      <c r="I121" s="41"/>
      <c r="J121" s="51"/>
      <c r="K121" s="41"/>
      <c r="L121" s="41">
        <f t="shared" si="18"/>
        <v>0</v>
      </c>
      <c r="M121" s="41"/>
      <c r="N121" s="41">
        <v>0</v>
      </c>
      <c r="O121" s="41"/>
      <c r="P121" s="41">
        <f t="shared" si="19"/>
        <v>0</v>
      </c>
      <c r="Q121" s="41"/>
      <c r="R121" s="35">
        <v>3114</v>
      </c>
      <c r="S121" s="4">
        <v>433</v>
      </c>
      <c r="T121" s="71" t="s">
        <v>156</v>
      </c>
      <c r="U121" s="41"/>
      <c r="V121" s="41"/>
      <c r="W121" s="41"/>
      <c r="X121" s="41">
        <f t="shared" si="20"/>
        <v>0</v>
      </c>
      <c r="Y121" s="41"/>
      <c r="Z121" s="41"/>
      <c r="AA121" s="41"/>
      <c r="AB121" s="41"/>
      <c r="AC121" s="41">
        <f t="shared" si="21"/>
        <v>0</v>
      </c>
    </row>
    <row r="122" spans="1:29" ht="12.75">
      <c r="A122" s="35">
        <v>3114</v>
      </c>
      <c r="B122" s="4">
        <v>436</v>
      </c>
      <c r="C122" s="72" t="s">
        <v>112</v>
      </c>
      <c r="D122" s="41">
        <v>3301.8</v>
      </c>
      <c r="E122" s="41">
        <f>160</f>
        <v>160</v>
      </c>
      <c r="F122" s="41"/>
      <c r="G122" s="45"/>
      <c r="H122" s="41">
        <f t="shared" si="17"/>
        <v>3461.8</v>
      </c>
      <c r="I122" s="41"/>
      <c r="J122" s="51"/>
      <c r="K122" s="41"/>
      <c r="L122" s="41">
        <f t="shared" si="18"/>
        <v>0</v>
      </c>
      <c r="M122" s="41"/>
      <c r="N122" s="41">
        <v>0</v>
      </c>
      <c r="O122" s="41"/>
      <c r="P122" s="41">
        <f t="shared" si="19"/>
        <v>0</v>
      </c>
      <c r="Q122" s="41"/>
      <c r="R122" s="35">
        <v>3114</v>
      </c>
      <c r="S122" s="4">
        <v>436</v>
      </c>
      <c r="T122" s="72" t="s">
        <v>112</v>
      </c>
      <c r="U122" s="41"/>
      <c r="V122" s="41"/>
      <c r="W122" s="41"/>
      <c r="X122" s="41">
        <f t="shared" si="20"/>
        <v>0</v>
      </c>
      <c r="Y122" s="41"/>
      <c r="Z122" s="41"/>
      <c r="AA122" s="41"/>
      <c r="AB122" s="41"/>
      <c r="AC122" s="41">
        <f t="shared" si="21"/>
        <v>0</v>
      </c>
    </row>
    <row r="123" spans="1:29" ht="12.75" customHeight="1">
      <c r="A123" s="35">
        <v>3127</v>
      </c>
      <c r="B123" s="4">
        <v>445</v>
      </c>
      <c r="C123" s="72" t="s">
        <v>113</v>
      </c>
      <c r="D123" s="41">
        <v>13388.5</v>
      </c>
      <c r="E123" s="41">
        <f>189+1097.9</f>
        <v>1286.9</v>
      </c>
      <c r="F123" s="41"/>
      <c r="G123" s="45"/>
      <c r="H123" s="41">
        <f t="shared" si="17"/>
        <v>14675.4</v>
      </c>
      <c r="I123" s="41"/>
      <c r="J123" s="51">
        <v>58</v>
      </c>
      <c r="K123" s="41">
        <f>375</f>
        <v>375</v>
      </c>
      <c r="L123" s="41">
        <f t="shared" si="18"/>
        <v>433</v>
      </c>
      <c r="M123" s="41"/>
      <c r="N123" s="41">
        <v>1255.08</v>
      </c>
      <c r="O123" s="41"/>
      <c r="P123" s="41">
        <f t="shared" si="19"/>
        <v>1255.08</v>
      </c>
      <c r="Q123" s="41"/>
      <c r="R123" s="35">
        <v>3127</v>
      </c>
      <c r="S123" s="4">
        <v>445</v>
      </c>
      <c r="T123" s="72" t="s">
        <v>113</v>
      </c>
      <c r="U123" s="41"/>
      <c r="V123" s="41"/>
      <c r="W123" s="41"/>
      <c r="X123" s="41">
        <f t="shared" si="20"/>
        <v>0</v>
      </c>
      <c r="Y123" s="41"/>
      <c r="Z123" s="41">
        <v>5017</v>
      </c>
      <c r="AA123" s="41"/>
      <c r="AB123" s="41"/>
      <c r="AC123" s="41">
        <f t="shared" si="21"/>
        <v>5017</v>
      </c>
    </row>
    <row r="124" spans="1:29" ht="12.75">
      <c r="A124" s="35">
        <v>3127</v>
      </c>
      <c r="B124" s="4">
        <v>447</v>
      </c>
      <c r="C124" s="71" t="s">
        <v>48</v>
      </c>
      <c r="D124" s="41">
        <v>8744.96</v>
      </c>
      <c r="E124" s="55">
        <f>130+1793.4</f>
        <v>1923.4</v>
      </c>
      <c r="F124" s="55"/>
      <c r="G124" s="55"/>
      <c r="H124" s="41">
        <f t="shared" si="17"/>
        <v>10668.359999999999</v>
      </c>
      <c r="I124" s="55"/>
      <c r="J124" s="51">
        <v>75</v>
      </c>
      <c r="K124" s="55">
        <f>95</f>
        <v>95</v>
      </c>
      <c r="L124" s="41">
        <f t="shared" si="18"/>
        <v>170</v>
      </c>
      <c r="M124" s="55"/>
      <c r="N124" s="41">
        <v>489.62</v>
      </c>
      <c r="O124" s="55"/>
      <c r="P124" s="41">
        <f t="shared" si="19"/>
        <v>489.62</v>
      </c>
      <c r="Q124" s="55"/>
      <c r="R124" s="35">
        <v>3127</v>
      </c>
      <c r="S124" s="4">
        <v>447</v>
      </c>
      <c r="T124" s="71" t="s">
        <v>48</v>
      </c>
      <c r="U124" s="55">
        <v>236</v>
      </c>
      <c r="V124" s="55"/>
      <c r="W124" s="55"/>
      <c r="X124" s="41">
        <f t="shared" si="20"/>
        <v>236</v>
      </c>
      <c r="Y124" s="55"/>
      <c r="Z124" s="55">
        <v>300</v>
      </c>
      <c r="AA124" s="55"/>
      <c r="AB124" s="55"/>
      <c r="AC124" s="41">
        <f t="shared" si="21"/>
        <v>300</v>
      </c>
    </row>
    <row r="125" spans="1:29" ht="12.75">
      <c r="A125" s="35">
        <v>3114</v>
      </c>
      <c r="B125" s="4">
        <v>452</v>
      </c>
      <c r="C125" s="81" t="s">
        <v>114</v>
      </c>
      <c r="D125" s="41">
        <v>2354.38</v>
      </c>
      <c r="E125" s="41">
        <f>32+261.39</f>
        <v>293.39</v>
      </c>
      <c r="F125" s="41"/>
      <c r="G125" s="41"/>
      <c r="H125" s="41">
        <f aca="true" t="shared" si="22" ref="H125:H132">D125+E125+F125+G125</f>
        <v>2647.77</v>
      </c>
      <c r="I125" s="41"/>
      <c r="J125" s="51"/>
      <c r="K125" s="41"/>
      <c r="L125" s="41">
        <f aca="true" t="shared" si="23" ref="L125:L131">J125+K125</f>
        <v>0</v>
      </c>
      <c r="M125" s="41"/>
      <c r="N125" s="41">
        <v>2.62</v>
      </c>
      <c r="O125" s="41"/>
      <c r="P125" s="41">
        <f aca="true" t="shared" si="24" ref="P125:P132">N125+O125</f>
        <v>2.62</v>
      </c>
      <c r="Q125" s="41"/>
      <c r="R125" s="35">
        <v>3114</v>
      </c>
      <c r="S125" s="4">
        <v>452</v>
      </c>
      <c r="T125" s="81" t="s">
        <v>114</v>
      </c>
      <c r="U125" s="41"/>
      <c r="V125" s="41"/>
      <c r="W125" s="41"/>
      <c r="X125" s="41">
        <f aca="true" t="shared" si="25" ref="X125:X131">SUM(U125:W125)</f>
        <v>0</v>
      </c>
      <c r="Y125" s="41"/>
      <c r="Z125" s="41"/>
      <c r="AA125" s="41"/>
      <c r="AB125" s="41"/>
      <c r="AC125" s="41">
        <f aca="true" t="shared" si="26" ref="AC125:AC131">SUM(Z125:AB125)</f>
        <v>0</v>
      </c>
    </row>
    <row r="126" spans="1:29" ht="12.75">
      <c r="A126" s="35">
        <v>3127</v>
      </c>
      <c r="B126" s="4">
        <v>454</v>
      </c>
      <c r="C126" s="71" t="s">
        <v>115</v>
      </c>
      <c r="D126" s="41">
        <v>19702.41</v>
      </c>
      <c r="E126" s="41">
        <f>92+841.3</f>
        <v>933.3</v>
      </c>
      <c r="F126" s="41"/>
      <c r="G126" s="41"/>
      <c r="H126" s="41">
        <f t="shared" si="22"/>
        <v>20635.71</v>
      </c>
      <c r="I126" s="41"/>
      <c r="J126" s="51"/>
      <c r="K126" s="51">
        <f>150</f>
        <v>150</v>
      </c>
      <c r="L126" s="41">
        <f t="shared" si="23"/>
        <v>150</v>
      </c>
      <c r="M126" s="41"/>
      <c r="N126" s="41">
        <v>4873.969999999999</v>
      </c>
      <c r="O126" s="41">
        <f>51.13</f>
        <v>51.13</v>
      </c>
      <c r="P126" s="41">
        <f t="shared" si="24"/>
        <v>4925.099999999999</v>
      </c>
      <c r="Q126" s="41"/>
      <c r="R126" s="35">
        <v>3127</v>
      </c>
      <c r="S126" s="4">
        <v>454</v>
      </c>
      <c r="T126" s="71" t="s">
        <v>115</v>
      </c>
      <c r="U126" s="41"/>
      <c r="V126" s="41"/>
      <c r="W126" s="41"/>
      <c r="X126" s="41">
        <f t="shared" si="25"/>
        <v>0</v>
      </c>
      <c r="Y126" s="41"/>
      <c r="Z126" s="41">
        <v>4092</v>
      </c>
      <c r="AA126" s="41">
        <f>1600</f>
        <v>1600</v>
      </c>
      <c r="AB126" s="41"/>
      <c r="AC126" s="41">
        <f t="shared" si="26"/>
        <v>5692</v>
      </c>
    </row>
    <row r="127" spans="1:29" ht="12.75">
      <c r="A127" s="35">
        <v>3146</v>
      </c>
      <c r="B127" s="4">
        <v>455</v>
      </c>
      <c r="C127" s="71" t="s">
        <v>116</v>
      </c>
      <c r="D127" s="41">
        <v>8285.43</v>
      </c>
      <c r="E127" s="63">
        <f>250</f>
        <v>250</v>
      </c>
      <c r="F127" s="63"/>
      <c r="G127" s="63"/>
      <c r="H127" s="41">
        <f t="shared" si="22"/>
        <v>8535.43</v>
      </c>
      <c r="I127" s="63"/>
      <c r="J127" s="51"/>
      <c r="K127" s="63"/>
      <c r="L127" s="63">
        <f t="shared" si="23"/>
        <v>0</v>
      </c>
      <c r="M127" s="63"/>
      <c r="N127" s="41">
        <v>570</v>
      </c>
      <c r="O127" s="63"/>
      <c r="P127" s="41">
        <f t="shared" si="24"/>
        <v>570</v>
      </c>
      <c r="Q127" s="63"/>
      <c r="R127" s="35">
        <v>3146</v>
      </c>
      <c r="S127" s="4">
        <v>455</v>
      </c>
      <c r="T127" s="71" t="s">
        <v>116</v>
      </c>
      <c r="U127" s="63"/>
      <c r="V127" s="63"/>
      <c r="W127" s="63"/>
      <c r="X127" s="55">
        <f t="shared" si="25"/>
        <v>0</v>
      </c>
      <c r="Y127" s="55"/>
      <c r="Z127" s="55">
        <v>172</v>
      </c>
      <c r="AA127" s="55"/>
      <c r="AB127" s="55"/>
      <c r="AC127" s="55">
        <f t="shared" si="26"/>
        <v>172</v>
      </c>
    </row>
    <row r="128" spans="1:29" ht="12.75">
      <c r="A128" s="69">
        <v>3127</v>
      </c>
      <c r="B128" s="70">
        <v>456</v>
      </c>
      <c r="C128" s="73" t="s">
        <v>130</v>
      </c>
      <c r="D128" s="41">
        <v>19070.25</v>
      </c>
      <c r="E128" s="41">
        <f>278+1330.3</f>
        <v>1608.3</v>
      </c>
      <c r="F128" s="41"/>
      <c r="G128" s="41"/>
      <c r="H128" s="41">
        <f t="shared" si="22"/>
        <v>20678.55</v>
      </c>
      <c r="I128" s="41"/>
      <c r="J128" s="86">
        <v>185</v>
      </c>
      <c r="K128" s="41">
        <f>270</f>
        <v>270</v>
      </c>
      <c r="L128" s="41">
        <f t="shared" si="23"/>
        <v>455</v>
      </c>
      <c r="M128" s="41"/>
      <c r="N128" s="41">
        <v>2632.07</v>
      </c>
      <c r="O128" s="41"/>
      <c r="P128" s="41">
        <f t="shared" si="24"/>
        <v>2632.07</v>
      </c>
      <c r="Q128" s="41"/>
      <c r="R128" s="69">
        <v>3127</v>
      </c>
      <c r="S128" s="70">
        <v>456</v>
      </c>
      <c r="T128" s="73" t="s">
        <v>130</v>
      </c>
      <c r="U128" s="41">
        <v>824</v>
      </c>
      <c r="V128" s="41">
        <f>-108.6</f>
        <v>-108.6</v>
      </c>
      <c r="W128" s="41"/>
      <c r="X128" s="41">
        <f t="shared" si="25"/>
        <v>715.4</v>
      </c>
      <c r="Y128" s="41"/>
      <c r="Z128" s="41">
        <v>8976</v>
      </c>
      <c r="AA128" s="41">
        <f>-1262.3</f>
        <v>-1262.3</v>
      </c>
      <c r="AB128" s="41"/>
      <c r="AC128" s="41">
        <f t="shared" si="26"/>
        <v>7713.7</v>
      </c>
    </row>
    <row r="129" spans="1:29" ht="12.75">
      <c r="A129" s="34">
        <v>3127</v>
      </c>
      <c r="B129" s="2">
        <v>457</v>
      </c>
      <c r="C129" s="74" t="s">
        <v>131</v>
      </c>
      <c r="D129" s="41">
        <v>9125.099999999999</v>
      </c>
      <c r="E129" s="41">
        <f>610.9</f>
        <v>610.9</v>
      </c>
      <c r="F129" s="41"/>
      <c r="G129" s="41"/>
      <c r="H129" s="41">
        <f t="shared" si="22"/>
        <v>9735.999999999998</v>
      </c>
      <c r="I129" s="41"/>
      <c r="J129" s="87"/>
      <c r="K129" s="41">
        <f>228</f>
        <v>228</v>
      </c>
      <c r="L129" s="41">
        <f t="shared" si="23"/>
        <v>228</v>
      </c>
      <c r="M129" s="41"/>
      <c r="N129" s="41">
        <v>401.02</v>
      </c>
      <c r="O129" s="41"/>
      <c r="P129" s="41">
        <f t="shared" si="24"/>
        <v>401.02</v>
      </c>
      <c r="Q129" s="41"/>
      <c r="R129" s="34">
        <v>3127</v>
      </c>
      <c r="S129" s="2">
        <v>457</v>
      </c>
      <c r="T129" s="74" t="s">
        <v>131</v>
      </c>
      <c r="U129" s="41"/>
      <c r="V129" s="41"/>
      <c r="W129" s="41"/>
      <c r="X129" s="41">
        <f t="shared" si="25"/>
        <v>0</v>
      </c>
      <c r="Y129" s="41"/>
      <c r="Z129" s="41"/>
      <c r="AA129" s="41"/>
      <c r="AB129" s="41"/>
      <c r="AC129" s="41">
        <f t="shared" si="26"/>
        <v>0</v>
      </c>
    </row>
    <row r="130" spans="1:29" ht="12.75">
      <c r="A130" s="34">
        <v>3127</v>
      </c>
      <c r="B130" s="2">
        <v>458</v>
      </c>
      <c r="C130" s="74" t="s">
        <v>147</v>
      </c>
      <c r="D130" s="41">
        <v>15756.96</v>
      </c>
      <c r="E130" s="41">
        <f>1295.1</f>
        <v>1295.1</v>
      </c>
      <c r="F130" s="41"/>
      <c r="G130" s="41"/>
      <c r="H130" s="41">
        <f t="shared" si="22"/>
        <v>17052.059999999998</v>
      </c>
      <c r="I130" s="41"/>
      <c r="J130" s="87"/>
      <c r="K130" s="41">
        <f>300</f>
        <v>300</v>
      </c>
      <c r="L130" s="41">
        <f t="shared" si="23"/>
        <v>300</v>
      </c>
      <c r="M130" s="41"/>
      <c r="N130" s="41">
        <v>1959.8</v>
      </c>
      <c r="O130" s="41"/>
      <c r="P130" s="41">
        <f t="shared" si="24"/>
        <v>1959.8</v>
      </c>
      <c r="Q130" s="41"/>
      <c r="R130" s="34">
        <v>3127</v>
      </c>
      <c r="S130" s="2">
        <v>458</v>
      </c>
      <c r="T130" s="74" t="s">
        <v>147</v>
      </c>
      <c r="U130" s="41"/>
      <c r="V130" s="41"/>
      <c r="W130" s="41"/>
      <c r="X130" s="41">
        <f t="shared" si="25"/>
        <v>0</v>
      </c>
      <c r="Y130" s="41"/>
      <c r="Z130" s="41">
        <v>6727</v>
      </c>
      <c r="AA130" s="41"/>
      <c r="AB130" s="41"/>
      <c r="AC130" s="41">
        <f t="shared" si="26"/>
        <v>6727</v>
      </c>
    </row>
    <row r="131" spans="1:29" ht="12.75">
      <c r="A131" s="34">
        <v>3127</v>
      </c>
      <c r="B131" s="2">
        <v>459</v>
      </c>
      <c r="C131" s="74" t="s">
        <v>132</v>
      </c>
      <c r="D131" s="41">
        <v>16310.02</v>
      </c>
      <c r="E131" s="41">
        <f>76+2322.6</f>
        <v>2398.6</v>
      </c>
      <c r="F131" s="41"/>
      <c r="G131" s="41"/>
      <c r="H131" s="41">
        <f t="shared" si="22"/>
        <v>18708.62</v>
      </c>
      <c r="I131" s="41"/>
      <c r="J131" s="87"/>
      <c r="K131" s="41"/>
      <c r="L131" s="41">
        <f t="shared" si="23"/>
        <v>0</v>
      </c>
      <c r="M131" s="41"/>
      <c r="N131" s="41">
        <v>1776.2</v>
      </c>
      <c r="O131" s="41"/>
      <c r="P131" s="41">
        <f t="shared" si="24"/>
        <v>1776.2</v>
      </c>
      <c r="Q131" s="41"/>
      <c r="R131" s="34">
        <v>3127</v>
      </c>
      <c r="S131" s="2">
        <v>459</v>
      </c>
      <c r="T131" s="74" t="s">
        <v>132</v>
      </c>
      <c r="U131" s="41"/>
      <c r="V131" s="41"/>
      <c r="W131" s="41"/>
      <c r="X131" s="41">
        <f t="shared" si="25"/>
        <v>0</v>
      </c>
      <c r="Y131" s="41"/>
      <c r="Z131" s="41"/>
      <c r="AA131" s="41"/>
      <c r="AB131" s="41"/>
      <c r="AC131" s="41">
        <f t="shared" si="26"/>
        <v>0</v>
      </c>
    </row>
    <row r="132" spans="1:29" ht="13.5" thickBot="1">
      <c r="A132" s="64">
        <v>3127</v>
      </c>
      <c r="B132" s="65">
        <v>460</v>
      </c>
      <c r="C132" s="75" t="s">
        <v>146</v>
      </c>
      <c r="D132" s="66">
        <v>12157.48</v>
      </c>
      <c r="E132" s="66">
        <f>187.5+710.6</f>
        <v>898.1</v>
      </c>
      <c r="F132" s="66"/>
      <c r="G132" s="66"/>
      <c r="H132" s="66">
        <f t="shared" si="22"/>
        <v>13055.58</v>
      </c>
      <c r="I132" s="66"/>
      <c r="J132" s="88">
        <v>300</v>
      </c>
      <c r="K132" s="66"/>
      <c r="L132" s="66">
        <f>J132+K132</f>
        <v>300</v>
      </c>
      <c r="M132" s="66"/>
      <c r="N132" s="66">
        <v>857.42</v>
      </c>
      <c r="O132" s="66"/>
      <c r="P132" s="41">
        <f t="shared" si="24"/>
        <v>857.42</v>
      </c>
      <c r="Q132" s="66"/>
      <c r="R132" s="64">
        <v>3127</v>
      </c>
      <c r="S132" s="65">
        <v>460</v>
      </c>
      <c r="T132" s="75" t="s">
        <v>146</v>
      </c>
      <c r="U132" s="66"/>
      <c r="V132" s="66"/>
      <c r="W132" s="66"/>
      <c r="X132" s="66">
        <f>SUM(U132:W132)</f>
        <v>0</v>
      </c>
      <c r="Y132" s="66"/>
      <c r="Z132" s="66"/>
      <c r="AA132" s="66"/>
      <c r="AB132" s="66"/>
      <c r="AC132" s="66">
        <f>SUM(Z132:AB132)</f>
        <v>0</v>
      </c>
    </row>
    <row r="133" spans="4:15" ht="12.75">
      <c r="D133" s="67"/>
      <c r="E133" s="67"/>
      <c r="F133" s="67"/>
      <c r="G133" s="67"/>
      <c r="N133" s="84"/>
      <c r="O133" s="67"/>
    </row>
    <row r="134" spans="4:15" ht="12.75">
      <c r="D134" s="67"/>
      <c r="E134" s="67"/>
      <c r="F134" s="67"/>
      <c r="G134" s="67"/>
      <c r="N134" s="67"/>
      <c r="O134" s="67"/>
    </row>
    <row r="135" spans="4:15" ht="12.75">
      <c r="D135" s="67"/>
      <c r="E135" s="67"/>
      <c r="F135" s="67"/>
      <c r="G135" s="67"/>
      <c r="N135" s="67"/>
      <c r="O135" s="67"/>
    </row>
    <row r="136" spans="4:15" ht="12.75">
      <c r="D136" s="67"/>
      <c r="E136" s="67"/>
      <c r="F136" s="67"/>
      <c r="G136" s="67"/>
      <c r="N136" s="67"/>
      <c r="O136" s="67"/>
    </row>
    <row r="137" spans="4:15" ht="12.75">
      <c r="D137" s="67"/>
      <c r="E137" s="67"/>
      <c r="F137" s="67"/>
      <c r="G137" s="67"/>
      <c r="N137" s="67"/>
      <c r="O137" s="67"/>
    </row>
    <row r="138" spans="4:15" ht="12.75">
      <c r="D138" s="67"/>
      <c r="E138" s="67"/>
      <c r="F138" s="67"/>
      <c r="G138" s="67"/>
      <c r="N138" s="67"/>
      <c r="O138" s="67"/>
    </row>
    <row r="139" spans="4:15" ht="12.75">
      <c r="D139" s="67"/>
      <c r="E139" s="67"/>
      <c r="F139" s="67"/>
      <c r="G139" s="67"/>
      <c r="N139" s="67"/>
      <c r="O139" s="67"/>
    </row>
    <row r="140" spans="14:15" ht="12.75">
      <c r="N140" s="67"/>
      <c r="O140" s="67"/>
    </row>
    <row r="141" spans="14:15" ht="12.75">
      <c r="N141" s="67"/>
      <c r="O141" s="67"/>
    </row>
    <row r="142" spans="14:15" ht="12.75">
      <c r="N142" s="67"/>
      <c r="O142" s="67"/>
    </row>
    <row r="143" spans="14:15" ht="12.75">
      <c r="N143" s="67"/>
      <c r="O143" s="67"/>
    </row>
    <row r="144" spans="14:15" ht="12.75">
      <c r="N144" s="67"/>
      <c r="O144" s="67"/>
    </row>
    <row r="145" spans="14:15" ht="12.75">
      <c r="N145" s="67"/>
      <c r="O145" s="67"/>
    </row>
    <row r="146" spans="14:15" ht="12.75">
      <c r="N146" s="67"/>
      <c r="O146" s="67"/>
    </row>
    <row r="147" spans="14:15" ht="12.75">
      <c r="N147" s="67"/>
      <c r="O147" s="67"/>
    </row>
    <row r="148" spans="14:15" ht="12.75">
      <c r="N148" s="67"/>
      <c r="O148" s="67"/>
    </row>
    <row r="149" spans="14:15" ht="12.75">
      <c r="N149" s="67"/>
      <c r="O149" s="67"/>
    </row>
    <row r="150" spans="14:15" ht="12.75">
      <c r="N150" s="67"/>
      <c r="O150" s="67"/>
    </row>
    <row r="151" spans="14:15" ht="12.75">
      <c r="N151" s="67"/>
      <c r="O151" s="67"/>
    </row>
    <row r="152" spans="14:15" ht="12.75">
      <c r="N152" s="67"/>
      <c r="O152" s="67"/>
    </row>
    <row r="153" spans="14:15" ht="12.75">
      <c r="N153" s="67"/>
      <c r="O153" s="67"/>
    </row>
    <row r="154" spans="14:15" ht="12.75">
      <c r="N154" s="67"/>
      <c r="O154" s="67"/>
    </row>
    <row r="155" spans="14:15" ht="12.75">
      <c r="N155" s="67"/>
      <c r="O155" s="67"/>
    </row>
    <row r="156" spans="14:15" ht="12.75">
      <c r="N156" s="67"/>
      <c r="O156" s="67"/>
    </row>
    <row r="157" spans="14:15" ht="12.75">
      <c r="N157" s="67"/>
      <c r="O157" s="67"/>
    </row>
    <row r="158" spans="14:15" ht="12.75">
      <c r="N158" s="67"/>
      <c r="O158" s="67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PageLayoutView="0" workbookViewId="0" topLeftCell="A1">
      <pane xSplit="3" ySplit="6" topLeftCell="D9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08" sqref="K108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6" width="9.7109375" style="0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hidden="1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55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54</v>
      </c>
    </row>
    <row r="2" spans="1:29" ht="21" customHeight="1">
      <c r="A2" s="89" t="s">
        <v>161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2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35</v>
      </c>
      <c r="Q3" s="13"/>
      <c r="R3" s="13"/>
      <c r="S3" s="13"/>
      <c r="T3" s="13"/>
      <c r="U3" s="61"/>
      <c r="V3" s="26"/>
      <c r="W3" s="26"/>
      <c r="X3" s="26"/>
      <c r="Y3" s="13"/>
      <c r="Z3" s="26"/>
      <c r="AA3" s="26"/>
      <c r="AB3" s="26"/>
      <c r="AC3" s="26" t="s">
        <v>35</v>
      </c>
    </row>
    <row r="4" spans="1:29" ht="13.5" customHeight="1" thickBot="1">
      <c r="A4" s="91" t="s">
        <v>13</v>
      </c>
      <c r="B4" s="93" t="s">
        <v>31</v>
      </c>
      <c r="C4" s="94" t="s">
        <v>0</v>
      </c>
      <c r="D4" s="96" t="s">
        <v>50</v>
      </c>
      <c r="E4" s="97"/>
      <c r="F4" s="97"/>
      <c r="G4" s="97"/>
      <c r="H4" s="98"/>
      <c r="I4" s="14"/>
      <c r="J4" s="96" t="s">
        <v>124</v>
      </c>
      <c r="K4" s="97"/>
      <c r="L4" s="98"/>
      <c r="M4" s="15"/>
      <c r="N4" s="99" t="s">
        <v>82</v>
      </c>
      <c r="O4" s="100"/>
      <c r="P4" s="101"/>
      <c r="Q4" s="29"/>
      <c r="R4" s="91" t="s">
        <v>13</v>
      </c>
      <c r="S4" s="93" t="s">
        <v>31</v>
      </c>
      <c r="T4" s="94" t="s">
        <v>0</v>
      </c>
      <c r="U4" s="99" t="s">
        <v>70</v>
      </c>
      <c r="V4" s="97"/>
      <c r="W4" s="97"/>
      <c r="X4" s="97"/>
      <c r="Y4" s="97"/>
      <c r="Z4" s="97"/>
      <c r="AA4" s="97"/>
      <c r="AB4" s="97"/>
      <c r="AC4" s="98"/>
    </row>
    <row r="5" spans="1:29" ht="75.75" customHeight="1" thickBot="1">
      <c r="A5" s="92"/>
      <c r="B5" s="92"/>
      <c r="C5" s="95"/>
      <c r="D5" s="16" t="s">
        <v>150</v>
      </c>
      <c r="E5" s="16" t="s">
        <v>53</v>
      </c>
      <c r="F5" s="16" t="s">
        <v>56</v>
      </c>
      <c r="G5" s="17" t="s">
        <v>51</v>
      </c>
      <c r="H5" s="16" t="s">
        <v>164</v>
      </c>
      <c r="I5" s="16"/>
      <c r="J5" s="19" t="s">
        <v>150</v>
      </c>
      <c r="K5" s="18" t="s">
        <v>57</v>
      </c>
      <c r="L5" s="19" t="s">
        <v>164</v>
      </c>
      <c r="M5" s="18"/>
      <c r="N5" s="19" t="s">
        <v>150</v>
      </c>
      <c r="O5" s="16" t="s">
        <v>53</v>
      </c>
      <c r="P5" s="19" t="s">
        <v>164</v>
      </c>
      <c r="Q5" s="19"/>
      <c r="R5" s="102"/>
      <c r="S5" s="103"/>
      <c r="T5" s="104"/>
      <c r="U5" s="27" t="s">
        <v>151</v>
      </c>
      <c r="V5" s="27" t="s">
        <v>52</v>
      </c>
      <c r="W5" s="27" t="s">
        <v>56</v>
      </c>
      <c r="X5" s="27" t="s">
        <v>165</v>
      </c>
      <c r="Y5" s="18"/>
      <c r="Z5" s="27" t="s">
        <v>152</v>
      </c>
      <c r="AA5" s="27" t="s">
        <v>52</v>
      </c>
      <c r="AB5" s="27" t="s">
        <v>56</v>
      </c>
      <c r="AC5" s="27" t="s">
        <v>166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17</v>
      </c>
      <c r="D7" s="39">
        <f>D9</f>
        <v>28840</v>
      </c>
      <c r="E7" s="39">
        <f aca="true" t="shared" si="0" ref="E7:P7">E9</f>
        <v>3000</v>
      </c>
      <c r="F7" s="39">
        <f t="shared" si="0"/>
        <v>0</v>
      </c>
      <c r="G7" s="39">
        <f t="shared" si="0"/>
        <v>0</v>
      </c>
      <c r="H7" s="39">
        <f t="shared" si="0"/>
        <v>31840</v>
      </c>
      <c r="I7" s="39">
        <f t="shared" si="0"/>
        <v>0</v>
      </c>
      <c r="J7" s="39">
        <f t="shared" si="0"/>
        <v>2000</v>
      </c>
      <c r="K7" s="39">
        <f t="shared" si="0"/>
        <v>0</v>
      </c>
      <c r="L7" s="39">
        <f t="shared" si="0"/>
        <v>2000</v>
      </c>
      <c r="M7" s="39">
        <f t="shared" si="0"/>
        <v>0</v>
      </c>
      <c r="N7" s="39">
        <f t="shared" si="0"/>
        <v>880.6</v>
      </c>
      <c r="O7" s="39">
        <f t="shared" si="0"/>
        <v>3004.53</v>
      </c>
      <c r="P7" s="39">
        <f t="shared" si="0"/>
        <v>3885.13</v>
      </c>
      <c r="Q7" s="39"/>
      <c r="R7" s="56"/>
      <c r="S7" s="57"/>
      <c r="T7" s="39" t="s">
        <v>65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36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8"/>
      <c r="S8" s="59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80</v>
      </c>
      <c r="D9" s="41">
        <v>28840</v>
      </c>
      <c r="E9" s="41">
        <f>3000</f>
        <v>3000</v>
      </c>
      <c r="F9" s="42"/>
      <c r="G9" s="41"/>
      <c r="H9" s="41">
        <f>D9+E9+F9+G9</f>
        <v>31840</v>
      </c>
      <c r="I9" s="41"/>
      <c r="J9" s="41">
        <v>2000</v>
      </c>
      <c r="K9" s="41"/>
      <c r="L9" s="41">
        <f>J9+K9</f>
        <v>2000</v>
      </c>
      <c r="M9" s="41"/>
      <c r="N9" s="41">
        <v>880.6</v>
      </c>
      <c r="O9" s="41">
        <f>3004.53</f>
        <v>3004.53</v>
      </c>
      <c r="P9" s="41">
        <f>N9+O9</f>
        <v>3885.13</v>
      </c>
      <c r="Q9" s="41"/>
      <c r="R9" s="58">
        <v>2212</v>
      </c>
      <c r="S9" s="59">
        <v>901</v>
      </c>
      <c r="T9" s="44" t="s">
        <v>80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75</v>
      </c>
      <c r="D10" s="39">
        <f>D13+D12</f>
        <v>66571.29000000001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0</v>
      </c>
      <c r="H10" s="39">
        <f t="shared" si="1"/>
        <v>66571.29000000001</v>
      </c>
      <c r="I10" s="39">
        <f t="shared" si="1"/>
        <v>0</v>
      </c>
      <c r="J10" s="39">
        <f t="shared" si="1"/>
        <v>1500</v>
      </c>
      <c r="K10" s="39">
        <f t="shared" si="1"/>
        <v>0</v>
      </c>
      <c r="L10" s="39">
        <f t="shared" si="1"/>
        <v>1500</v>
      </c>
      <c r="M10" s="39">
        <f t="shared" si="1"/>
        <v>0</v>
      </c>
      <c r="N10" s="39">
        <f t="shared" si="1"/>
        <v>340.8</v>
      </c>
      <c r="O10" s="39">
        <f t="shared" si="1"/>
        <v>0</v>
      </c>
      <c r="P10" s="39">
        <f t="shared" si="1"/>
        <v>340.8</v>
      </c>
      <c r="Q10" s="46"/>
      <c r="R10" s="58"/>
      <c r="S10" s="57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36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8"/>
      <c r="S11" s="57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3" t="s">
        <v>162</v>
      </c>
      <c r="D12" s="41">
        <v>56271.29</v>
      </c>
      <c r="E12" s="41"/>
      <c r="F12" s="41"/>
      <c r="G12" s="41"/>
      <c r="H12" s="41">
        <f>D12+E12+F12+G12</f>
        <v>56271.29</v>
      </c>
      <c r="I12" s="41"/>
      <c r="J12" s="41"/>
      <c r="K12" s="41"/>
      <c r="L12" s="41">
        <f>J12+K12</f>
        <v>0</v>
      </c>
      <c r="M12" s="41"/>
      <c r="N12" s="41">
        <v>340.8</v>
      </c>
      <c r="O12" s="41"/>
      <c r="P12" s="41">
        <f>N12+O12</f>
        <v>340.8</v>
      </c>
      <c r="Q12" s="46"/>
      <c r="R12" s="58"/>
      <c r="S12" s="57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.75" customHeight="1">
      <c r="A13" s="35">
        <v>3639</v>
      </c>
      <c r="B13" s="4">
        <v>902</v>
      </c>
      <c r="C13" s="72" t="s">
        <v>163</v>
      </c>
      <c r="D13" s="51">
        <v>10300</v>
      </c>
      <c r="E13" s="45"/>
      <c r="F13" s="41"/>
      <c r="G13" s="41"/>
      <c r="H13" s="41">
        <f>D13+E13+F13+G13</f>
        <v>10300</v>
      </c>
      <c r="I13" s="41"/>
      <c r="J13" s="41">
        <v>1500</v>
      </c>
      <c r="K13" s="41"/>
      <c r="L13" s="41">
        <f>J13+K13</f>
        <v>1500</v>
      </c>
      <c r="M13" s="41"/>
      <c r="N13" s="41"/>
      <c r="O13" s="41"/>
      <c r="P13" s="41">
        <f>N13+O13</f>
        <v>0</v>
      </c>
      <c r="Q13" s="46"/>
      <c r="R13" s="58"/>
      <c r="S13" s="57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18</v>
      </c>
      <c r="D14" s="48">
        <f>SUM(D16:D20)</f>
        <v>372095</v>
      </c>
      <c r="E14" s="48">
        <f aca="true" t="shared" si="2" ref="E14:P14">SUM(E16:E20)</f>
        <v>-70000</v>
      </c>
      <c r="F14" s="80">
        <f t="shared" si="2"/>
        <v>0</v>
      </c>
      <c r="G14" s="48">
        <f t="shared" si="2"/>
        <v>0</v>
      </c>
      <c r="H14" s="48">
        <f t="shared" si="2"/>
        <v>302095</v>
      </c>
      <c r="I14" s="48">
        <f t="shared" si="2"/>
        <v>0</v>
      </c>
      <c r="J14" s="48">
        <f t="shared" si="2"/>
        <v>0</v>
      </c>
      <c r="K14" s="78">
        <f t="shared" si="2"/>
        <v>0</v>
      </c>
      <c r="L14" s="48">
        <f t="shared" si="2"/>
        <v>0</v>
      </c>
      <c r="M14" s="48">
        <f t="shared" si="2"/>
        <v>12500</v>
      </c>
      <c r="N14" s="48">
        <f t="shared" si="2"/>
        <v>29804.7</v>
      </c>
      <c r="O14" s="48">
        <f t="shared" si="2"/>
        <v>1800</v>
      </c>
      <c r="P14" s="48">
        <f t="shared" si="2"/>
        <v>31604.7</v>
      </c>
      <c r="Q14" s="48"/>
      <c r="R14" s="58"/>
      <c r="S14" s="57"/>
      <c r="T14" s="48" t="s">
        <v>66</v>
      </c>
      <c r="U14" s="48">
        <f>SUM(U16:U20)</f>
        <v>2380.5</v>
      </c>
      <c r="V14" s="48">
        <f>SUM(V16:V20)</f>
        <v>0</v>
      </c>
      <c r="W14" s="48">
        <f>SUM(W16:W20)</f>
        <v>0</v>
      </c>
      <c r="X14" s="48">
        <f>SUM(X16:X20)</f>
        <v>2380.5</v>
      </c>
      <c r="Y14" s="48"/>
      <c r="Z14" s="48">
        <f>SUM(Z16:Z20)</f>
        <v>68353.66</v>
      </c>
      <c r="AA14" s="48">
        <f>SUM(AA16:AA20)</f>
        <v>-5684</v>
      </c>
      <c r="AB14" s="48">
        <f>SUM(AB16:AB20)</f>
        <v>0</v>
      </c>
      <c r="AC14" s="48">
        <f>SUM(AC16:AC20)</f>
        <v>62669.66</v>
      </c>
    </row>
    <row r="15" spans="1:29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8"/>
      <c r="S15" s="59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 customHeight="1">
      <c r="A16" s="35">
        <v>3526</v>
      </c>
      <c r="B16" s="4">
        <v>507</v>
      </c>
      <c r="C16" s="72" t="s">
        <v>153</v>
      </c>
      <c r="D16" s="41">
        <v>37316</v>
      </c>
      <c r="E16" s="41"/>
      <c r="F16" s="42"/>
      <c r="G16" s="41"/>
      <c r="H16" s="41">
        <f>D16+E16+F16+G16</f>
        <v>37316</v>
      </c>
      <c r="I16" s="41"/>
      <c r="J16" s="41"/>
      <c r="K16" s="77"/>
      <c r="L16" s="41">
        <f>J16+K16</f>
        <v>0</v>
      </c>
      <c r="M16" s="41"/>
      <c r="N16" s="41">
        <v>9707</v>
      </c>
      <c r="O16" s="41"/>
      <c r="P16" s="41">
        <f>N16+O16</f>
        <v>9707</v>
      </c>
      <c r="Q16" s="41"/>
      <c r="R16" s="58">
        <v>3526</v>
      </c>
      <c r="S16" s="4">
        <v>507</v>
      </c>
      <c r="T16" s="49" t="s">
        <v>23</v>
      </c>
      <c r="U16" s="41"/>
      <c r="V16" s="41"/>
      <c r="W16" s="41"/>
      <c r="X16" s="41">
        <f>SUM(U16:W16)</f>
        <v>0</v>
      </c>
      <c r="Y16" s="41"/>
      <c r="Z16" s="41">
        <v>6651.34</v>
      </c>
      <c r="AA16" s="45"/>
      <c r="AB16" s="41"/>
      <c r="AC16" s="41">
        <f>SUM(Z16:AB16)</f>
        <v>6651.34</v>
      </c>
    </row>
    <row r="17" spans="1:29" ht="12.75">
      <c r="A17" s="35">
        <v>3524</v>
      </c>
      <c r="B17" s="4">
        <v>508</v>
      </c>
      <c r="C17" s="7" t="s">
        <v>24</v>
      </c>
      <c r="D17" s="41">
        <v>9416</v>
      </c>
      <c r="E17" s="41"/>
      <c r="F17" s="42"/>
      <c r="G17" s="41"/>
      <c r="H17" s="41">
        <f>D17+E17+F17+G17</f>
        <v>9416</v>
      </c>
      <c r="I17" s="41"/>
      <c r="J17" s="51"/>
      <c r="K17" s="51"/>
      <c r="L17" s="51">
        <f>J17+K17</f>
        <v>0</v>
      </c>
      <c r="M17" s="41"/>
      <c r="N17" s="41">
        <v>376</v>
      </c>
      <c r="O17" s="41"/>
      <c r="P17" s="41">
        <f>N17+O17</f>
        <v>376</v>
      </c>
      <c r="Q17" s="41"/>
      <c r="R17" s="58">
        <v>3524</v>
      </c>
      <c r="S17" s="4">
        <v>508</v>
      </c>
      <c r="T17" s="49" t="s">
        <v>24</v>
      </c>
      <c r="U17" s="41"/>
      <c r="V17" s="41"/>
      <c r="W17" s="41"/>
      <c r="X17" s="41">
        <f>SUM(U17:W17)</f>
        <v>0</v>
      </c>
      <c r="Y17" s="41"/>
      <c r="Z17" s="41"/>
      <c r="AA17" s="41"/>
      <c r="AB17" s="41"/>
      <c r="AC17" s="41">
        <f>SUM(Z17:AB17)</f>
        <v>0</v>
      </c>
    </row>
    <row r="18" spans="1:29" ht="12.75" customHeight="1">
      <c r="A18" s="35">
        <v>3524</v>
      </c>
      <c r="B18" s="4">
        <v>509</v>
      </c>
      <c r="C18" s="7" t="s">
        <v>22</v>
      </c>
      <c r="D18" s="41">
        <v>3500</v>
      </c>
      <c r="E18" s="41"/>
      <c r="F18" s="42"/>
      <c r="G18" s="41"/>
      <c r="H18" s="41">
        <f>D18+E18+F18+G18</f>
        <v>3500</v>
      </c>
      <c r="I18" s="41"/>
      <c r="J18" s="41"/>
      <c r="K18" s="51"/>
      <c r="L18" s="41">
        <f>J18+K18</f>
        <v>0</v>
      </c>
      <c r="M18" s="41"/>
      <c r="N18" s="41">
        <v>162</v>
      </c>
      <c r="O18" s="41">
        <f>1300+500</f>
        <v>1800</v>
      </c>
      <c r="P18" s="41">
        <f>N18+O18</f>
        <v>1962</v>
      </c>
      <c r="Q18" s="41"/>
      <c r="R18" s="58">
        <v>3524</v>
      </c>
      <c r="S18" s="4">
        <v>509</v>
      </c>
      <c r="T18" s="49" t="s">
        <v>22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83</v>
      </c>
      <c r="D19" s="41">
        <v>311357</v>
      </c>
      <c r="E19" s="41">
        <f>-70000</f>
        <v>-70000</v>
      </c>
      <c r="F19" s="42"/>
      <c r="G19" s="41"/>
      <c r="H19" s="41">
        <f>D19+E19+F19+G19</f>
        <v>241357</v>
      </c>
      <c r="I19" s="41"/>
      <c r="J19" s="41"/>
      <c r="K19" s="41"/>
      <c r="L19" s="41">
        <f>J19+K19</f>
        <v>0</v>
      </c>
      <c r="M19" s="41">
        <v>12500</v>
      </c>
      <c r="N19" s="41">
        <v>19559.7</v>
      </c>
      <c r="O19" s="41"/>
      <c r="P19" s="41">
        <f>N19+O19</f>
        <v>19559.7</v>
      </c>
      <c r="Q19" s="41"/>
      <c r="R19" s="58">
        <v>3533</v>
      </c>
      <c r="S19" s="4">
        <v>511</v>
      </c>
      <c r="T19" s="49" t="s">
        <v>34</v>
      </c>
      <c r="U19" s="41">
        <v>2380.5</v>
      </c>
      <c r="V19" s="41"/>
      <c r="W19" s="41"/>
      <c r="X19" s="41">
        <f>SUM(U19:W19)</f>
        <v>2380.5</v>
      </c>
      <c r="Y19" s="41"/>
      <c r="Z19" s="41">
        <v>61702.32</v>
      </c>
      <c r="AA19" s="41">
        <f>-5684</f>
        <v>-5684</v>
      </c>
      <c r="AB19" s="41"/>
      <c r="AC19" s="41">
        <f>SUM(Z19:AB19)</f>
        <v>56018.32</v>
      </c>
    </row>
    <row r="20" spans="1:29" ht="12.75">
      <c r="A20" s="35">
        <v>3539</v>
      </c>
      <c r="B20" s="4">
        <v>514</v>
      </c>
      <c r="C20" s="8" t="s">
        <v>2</v>
      </c>
      <c r="D20" s="41">
        <v>10506</v>
      </c>
      <c r="E20" s="41"/>
      <c r="F20" s="41"/>
      <c r="G20" s="41"/>
      <c r="H20" s="41">
        <f>D20+E20+F20+G20</f>
        <v>10506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8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19</v>
      </c>
      <c r="D21" s="39">
        <f>SUM(D23:D33)</f>
        <v>239533.55000000002</v>
      </c>
      <c r="E21" s="39">
        <f aca="true" t="shared" si="3" ref="E21:P21">SUM(E23:E33)</f>
        <v>7696.35</v>
      </c>
      <c r="F21" s="39">
        <f t="shared" si="3"/>
        <v>0</v>
      </c>
      <c r="G21" s="39">
        <f t="shared" si="3"/>
        <v>0</v>
      </c>
      <c r="H21" s="39">
        <f t="shared" si="3"/>
        <v>247229.9</v>
      </c>
      <c r="I21" s="39">
        <f t="shared" si="3"/>
        <v>0</v>
      </c>
      <c r="J21" s="39">
        <f t="shared" si="3"/>
        <v>2850</v>
      </c>
      <c r="K21" s="39">
        <f t="shared" si="3"/>
        <v>4395.98</v>
      </c>
      <c r="L21" s="39">
        <f t="shared" si="3"/>
        <v>7245.98</v>
      </c>
      <c r="M21" s="39">
        <f t="shared" si="3"/>
        <v>0</v>
      </c>
      <c r="N21" s="39">
        <f t="shared" si="3"/>
        <v>12585.8</v>
      </c>
      <c r="O21" s="39">
        <f t="shared" si="3"/>
        <v>315.1000000000001</v>
      </c>
      <c r="P21" s="39">
        <f t="shared" si="3"/>
        <v>12900.9</v>
      </c>
      <c r="Q21" s="39"/>
      <c r="R21" s="56"/>
      <c r="S21" s="57"/>
      <c r="T21" s="39" t="s">
        <v>67</v>
      </c>
      <c r="U21" s="39">
        <f>SUM(U23:U32)</f>
        <v>550</v>
      </c>
      <c r="V21" s="39">
        <f>SUM(V23:V32)</f>
        <v>0</v>
      </c>
      <c r="W21" s="39">
        <f>SUM(W23:W32)</f>
        <v>0</v>
      </c>
      <c r="X21" s="39">
        <f>SUM(X23:X32)</f>
        <v>550</v>
      </c>
      <c r="Y21" s="39"/>
      <c r="Z21" s="39">
        <f>SUM(Z23:Z32)</f>
        <v>6237</v>
      </c>
      <c r="AA21" s="68">
        <f>SUM(AA23:AA32)</f>
        <v>-764.4</v>
      </c>
      <c r="AB21" s="39">
        <f>SUM(AB23:AB32)</f>
        <v>0</v>
      </c>
      <c r="AC21" s="39">
        <f>SUM(AC23:AC32)</f>
        <v>5472.6</v>
      </c>
    </row>
    <row r="22" spans="1:29" ht="12.75">
      <c r="A22" s="34"/>
      <c r="B22" s="2"/>
      <c r="C22" s="6" t="s">
        <v>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6"/>
      <c r="S22" s="57"/>
      <c r="T22" s="43" t="s">
        <v>36</v>
      </c>
      <c r="U22" s="39"/>
      <c r="V22" s="39"/>
      <c r="W22" s="39"/>
      <c r="X22" s="39"/>
      <c r="Y22" s="39"/>
      <c r="Z22" s="39"/>
      <c r="AA22" s="68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19784.8</v>
      </c>
      <c r="E23" s="41"/>
      <c r="F23" s="41"/>
      <c r="G23" s="41"/>
      <c r="H23" s="41">
        <f>D23+E23+F23+G23</f>
        <v>19784.8</v>
      </c>
      <c r="I23" s="41"/>
      <c r="J23" s="41">
        <v>1500</v>
      </c>
      <c r="K23" s="41"/>
      <c r="L23" s="41">
        <f aca="true" t="shared" si="4" ref="L23:L32">J23+K23</f>
        <v>1500</v>
      </c>
      <c r="M23" s="41"/>
      <c r="N23" s="41">
        <v>904.3</v>
      </c>
      <c r="O23" s="41"/>
      <c r="P23" s="41">
        <f>N23+O23</f>
        <v>904.3</v>
      </c>
      <c r="Q23" s="41"/>
      <c r="R23" s="58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>
        <v>900</v>
      </c>
      <c r="AA23" s="45">
        <f>-864.4</f>
        <v>-864.4</v>
      </c>
      <c r="AB23" s="41"/>
      <c r="AC23" s="41">
        <f aca="true" t="shared" si="6" ref="AC23:AC32">SUM(Z23:AB23)</f>
        <v>35.60000000000002</v>
      </c>
    </row>
    <row r="24" spans="1:29" ht="12.75">
      <c r="A24" s="35">
        <v>3315</v>
      </c>
      <c r="B24" s="4">
        <v>602</v>
      </c>
      <c r="C24" s="8" t="s">
        <v>60</v>
      </c>
      <c r="D24" s="41">
        <v>8625.45</v>
      </c>
      <c r="E24" s="41">
        <f>156.3</f>
        <v>156.3</v>
      </c>
      <c r="F24" s="41"/>
      <c r="G24" s="41"/>
      <c r="H24" s="41">
        <f aca="true" t="shared" si="7" ref="H24:H33">D24+E24+F24+G24</f>
        <v>8781.75</v>
      </c>
      <c r="I24" s="41"/>
      <c r="J24" s="41">
        <v>500</v>
      </c>
      <c r="K24" s="41"/>
      <c r="L24" s="41">
        <f t="shared" si="4"/>
        <v>500</v>
      </c>
      <c r="M24" s="41"/>
      <c r="N24" s="41">
        <v>150</v>
      </c>
      <c r="O24" s="41"/>
      <c r="P24" s="41">
        <f aca="true" t="shared" si="8" ref="P24:P33">N24+O24</f>
        <v>150</v>
      </c>
      <c r="Q24" s="41"/>
      <c r="R24" s="58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>
        <v>237</v>
      </c>
      <c r="AA24" s="45"/>
      <c r="AB24" s="41"/>
      <c r="AC24" s="41">
        <f t="shared" si="6"/>
        <v>237</v>
      </c>
    </row>
    <row r="25" spans="1:29" ht="25.5">
      <c r="A25" s="35">
        <v>3315</v>
      </c>
      <c r="B25" s="4">
        <v>603</v>
      </c>
      <c r="C25" s="37" t="s">
        <v>169</v>
      </c>
      <c r="D25" s="41">
        <v>52702.200000000004</v>
      </c>
      <c r="E25" s="41">
        <f>2611.44+49.66+601.4</f>
        <v>3262.5</v>
      </c>
      <c r="F25" s="41"/>
      <c r="G25" s="41"/>
      <c r="H25" s="41">
        <f t="shared" si="7"/>
        <v>55964.700000000004</v>
      </c>
      <c r="I25" s="41"/>
      <c r="J25" s="41">
        <v>300</v>
      </c>
      <c r="K25" s="41">
        <f>141.8+700+3554.18</f>
        <v>4395.98</v>
      </c>
      <c r="L25" s="41">
        <f t="shared" si="4"/>
        <v>4695.98</v>
      </c>
      <c r="M25" s="41"/>
      <c r="N25" s="41">
        <v>2916.2</v>
      </c>
      <c r="O25" s="41">
        <f>-39</f>
        <v>-39</v>
      </c>
      <c r="P25" s="41">
        <f t="shared" si="8"/>
        <v>2877.2</v>
      </c>
      <c r="Q25" s="41"/>
      <c r="R25" s="58">
        <v>3315</v>
      </c>
      <c r="S25" s="4">
        <v>603</v>
      </c>
      <c r="T25" s="44" t="s">
        <v>3</v>
      </c>
      <c r="U25" s="41">
        <v>350</v>
      </c>
      <c r="V25" s="41"/>
      <c r="W25" s="41"/>
      <c r="X25" s="41">
        <f t="shared" si="5"/>
        <v>350</v>
      </c>
      <c r="Y25" s="41"/>
      <c r="Z25" s="41">
        <v>1800</v>
      </c>
      <c r="AA25" s="45">
        <f>100</f>
        <v>100</v>
      </c>
      <c r="AB25" s="41"/>
      <c r="AC25" s="41">
        <f t="shared" si="6"/>
        <v>1900</v>
      </c>
    </row>
    <row r="26" spans="1:29" ht="12.75">
      <c r="A26" s="35">
        <v>3314</v>
      </c>
      <c r="B26" s="4">
        <v>604</v>
      </c>
      <c r="C26" s="8" t="s">
        <v>167</v>
      </c>
      <c r="D26" s="41">
        <v>70115.2</v>
      </c>
      <c r="E26" s="41">
        <f>160+2208.65</f>
        <v>2368.65</v>
      </c>
      <c r="F26" s="41"/>
      <c r="G26" s="41"/>
      <c r="H26" s="41">
        <f t="shared" si="7"/>
        <v>72483.84999999999</v>
      </c>
      <c r="I26" s="41"/>
      <c r="J26" s="41"/>
      <c r="K26" s="41"/>
      <c r="L26" s="41">
        <f t="shared" si="4"/>
        <v>0</v>
      </c>
      <c r="M26" s="41"/>
      <c r="N26" s="41">
        <v>4259.1</v>
      </c>
      <c r="O26" s="41">
        <f>193</f>
        <v>193</v>
      </c>
      <c r="P26" s="41">
        <f t="shared" si="8"/>
        <v>4452.1</v>
      </c>
      <c r="Q26" s="41"/>
      <c r="R26" s="58">
        <v>3314</v>
      </c>
      <c r="S26" s="4">
        <v>604</v>
      </c>
      <c r="T26" s="44" t="s">
        <v>37</v>
      </c>
      <c r="U26" s="41"/>
      <c r="V26" s="41"/>
      <c r="W26" s="41"/>
      <c r="X26" s="41">
        <f t="shared" si="5"/>
        <v>0</v>
      </c>
      <c r="Y26" s="41"/>
      <c r="Z26" s="41">
        <v>950</v>
      </c>
      <c r="AA26" s="45"/>
      <c r="AB26" s="41"/>
      <c r="AC26" s="41">
        <f t="shared" si="6"/>
        <v>950</v>
      </c>
    </row>
    <row r="27" spans="1:29" ht="12.75">
      <c r="A27" s="35">
        <v>3319</v>
      </c>
      <c r="B27" s="4">
        <v>605</v>
      </c>
      <c r="C27" s="8" t="s">
        <v>158</v>
      </c>
      <c r="D27" s="41">
        <v>6410.8</v>
      </c>
      <c r="E27" s="41">
        <f>50+354.9</f>
        <v>404.9</v>
      </c>
      <c r="F27" s="41"/>
      <c r="G27" s="41"/>
      <c r="H27" s="41">
        <f t="shared" si="7"/>
        <v>6815.7</v>
      </c>
      <c r="I27" s="41"/>
      <c r="J27" s="41"/>
      <c r="K27" s="41"/>
      <c r="L27" s="41">
        <f t="shared" si="4"/>
        <v>0</v>
      </c>
      <c r="M27" s="41"/>
      <c r="N27" s="41">
        <v>139.3</v>
      </c>
      <c r="O27" s="41">
        <f>1.3</f>
        <v>1.3</v>
      </c>
      <c r="P27" s="41">
        <f t="shared" si="8"/>
        <v>140.60000000000002</v>
      </c>
      <c r="Q27" s="41"/>
      <c r="R27" s="58">
        <v>3319</v>
      </c>
      <c r="S27" s="4">
        <v>605</v>
      </c>
      <c r="T27" s="44" t="s">
        <v>158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16267.6</v>
      </c>
      <c r="E28" s="41">
        <f>748.9</f>
        <v>748.9</v>
      </c>
      <c r="F28" s="41"/>
      <c r="G28" s="41"/>
      <c r="H28" s="41">
        <f t="shared" si="7"/>
        <v>17016.5</v>
      </c>
      <c r="I28" s="41"/>
      <c r="J28" s="41"/>
      <c r="K28" s="41"/>
      <c r="L28" s="41">
        <f t="shared" si="4"/>
        <v>0</v>
      </c>
      <c r="M28" s="41"/>
      <c r="N28" s="41">
        <v>1049.8</v>
      </c>
      <c r="O28" s="41">
        <f>3.5</f>
        <v>3.5</v>
      </c>
      <c r="P28" s="41">
        <f t="shared" si="8"/>
        <v>1053.3</v>
      </c>
      <c r="Q28" s="41"/>
      <c r="R28" s="58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700</v>
      </c>
      <c r="AA28" s="45"/>
      <c r="AB28" s="41"/>
      <c r="AC28" s="41">
        <f t="shared" si="6"/>
        <v>700</v>
      </c>
    </row>
    <row r="29" spans="1:29" ht="12.75">
      <c r="A29" s="35">
        <v>3319</v>
      </c>
      <c r="B29" s="4">
        <v>607</v>
      </c>
      <c r="C29" s="8" t="s">
        <v>74</v>
      </c>
      <c r="D29" s="41">
        <v>7297.1</v>
      </c>
      <c r="E29" s="41"/>
      <c r="F29" s="41"/>
      <c r="G29" s="41"/>
      <c r="H29" s="41">
        <f t="shared" si="7"/>
        <v>7297.1</v>
      </c>
      <c r="I29" s="41"/>
      <c r="J29" s="41"/>
      <c r="K29" s="41"/>
      <c r="L29" s="41">
        <f t="shared" si="4"/>
        <v>0</v>
      </c>
      <c r="M29" s="41"/>
      <c r="N29" s="41">
        <v>115</v>
      </c>
      <c r="O29" s="41">
        <f>31.9</f>
        <v>31.9</v>
      </c>
      <c r="P29" s="41">
        <f t="shared" si="8"/>
        <v>146.9</v>
      </c>
      <c r="Q29" s="41"/>
      <c r="R29" s="58">
        <v>3319</v>
      </c>
      <c r="S29" s="4">
        <v>607</v>
      </c>
      <c r="T29" s="44" t="s">
        <v>15</v>
      </c>
      <c r="U29" s="41">
        <v>200</v>
      </c>
      <c r="V29" s="41"/>
      <c r="W29" s="41"/>
      <c r="X29" s="41">
        <f t="shared" si="5"/>
        <v>200</v>
      </c>
      <c r="Y29" s="41"/>
      <c r="Z29" s="41">
        <v>200</v>
      </c>
      <c r="AA29" s="41"/>
      <c r="AB29" s="41"/>
      <c r="AC29" s="41">
        <f t="shared" si="6"/>
        <v>200</v>
      </c>
    </row>
    <row r="30" spans="1:29" ht="12.75">
      <c r="A30" s="35">
        <v>3315</v>
      </c>
      <c r="B30" s="4">
        <v>608</v>
      </c>
      <c r="C30" s="8" t="s">
        <v>38</v>
      </c>
      <c r="D30" s="41">
        <v>14849.400000000001</v>
      </c>
      <c r="E30" s="41"/>
      <c r="F30" s="41"/>
      <c r="G30" s="41"/>
      <c r="H30" s="41">
        <f t="shared" si="7"/>
        <v>14849.400000000001</v>
      </c>
      <c r="I30" s="41"/>
      <c r="J30" s="41">
        <v>100</v>
      </c>
      <c r="K30" s="41"/>
      <c r="L30" s="41">
        <f t="shared" si="4"/>
        <v>100</v>
      </c>
      <c r="M30" s="41"/>
      <c r="N30" s="41">
        <v>703.4</v>
      </c>
      <c r="O30" s="41">
        <f>14.1</f>
        <v>14.1</v>
      </c>
      <c r="P30" s="41">
        <f t="shared" si="8"/>
        <v>717.5</v>
      </c>
      <c r="Q30" s="41"/>
      <c r="R30" s="58">
        <v>3315</v>
      </c>
      <c r="S30" s="4">
        <v>608</v>
      </c>
      <c r="T30" s="44" t="s">
        <v>38</v>
      </c>
      <c r="U30" s="41"/>
      <c r="V30" s="41"/>
      <c r="W30" s="41"/>
      <c r="X30" s="41">
        <f t="shared" si="5"/>
        <v>0</v>
      </c>
      <c r="Y30" s="41"/>
      <c r="Z30" s="41">
        <v>550</v>
      </c>
      <c r="AA30" s="41"/>
      <c r="AB30" s="41"/>
      <c r="AC30" s="41">
        <f t="shared" si="6"/>
        <v>550</v>
      </c>
    </row>
    <row r="31" spans="1:29" ht="12.75">
      <c r="A31" s="35">
        <v>3315</v>
      </c>
      <c r="B31" s="4">
        <v>609</v>
      </c>
      <c r="C31" s="8" t="s">
        <v>120</v>
      </c>
      <c r="D31" s="41">
        <v>13699.599999999999</v>
      </c>
      <c r="E31" s="41">
        <f>155.1+100</f>
        <v>255.1</v>
      </c>
      <c r="F31" s="41"/>
      <c r="G31" s="41"/>
      <c r="H31" s="41">
        <f t="shared" si="7"/>
        <v>13954.699999999999</v>
      </c>
      <c r="I31" s="41"/>
      <c r="J31" s="41">
        <v>100</v>
      </c>
      <c r="K31" s="41"/>
      <c r="L31" s="41">
        <f t="shared" si="4"/>
        <v>100</v>
      </c>
      <c r="M31" s="41"/>
      <c r="N31" s="41">
        <v>1845.6</v>
      </c>
      <c r="O31" s="41">
        <f>166.4</f>
        <v>166.4</v>
      </c>
      <c r="P31" s="41">
        <f t="shared" si="8"/>
        <v>2012</v>
      </c>
      <c r="Q31" s="41"/>
      <c r="R31" s="58">
        <v>3315</v>
      </c>
      <c r="S31" s="4">
        <v>609</v>
      </c>
      <c r="T31" s="44" t="s">
        <v>120</v>
      </c>
      <c r="U31" s="41"/>
      <c r="V31" s="41"/>
      <c r="W31" s="41"/>
      <c r="X31" s="41">
        <f t="shared" si="5"/>
        <v>0</v>
      </c>
      <c r="Y31" s="41"/>
      <c r="Z31" s="41">
        <v>650</v>
      </c>
      <c r="AA31" s="41"/>
      <c r="AB31" s="41"/>
      <c r="AC31" s="41">
        <f t="shared" si="6"/>
        <v>650</v>
      </c>
    </row>
    <row r="32" spans="1:29" ht="12.75">
      <c r="A32" s="35">
        <v>3315</v>
      </c>
      <c r="B32" s="4">
        <v>610</v>
      </c>
      <c r="C32" s="37" t="s">
        <v>81</v>
      </c>
      <c r="D32" s="41">
        <v>17426.4</v>
      </c>
      <c r="E32" s="41"/>
      <c r="F32" s="41"/>
      <c r="G32" s="41"/>
      <c r="H32" s="41">
        <f t="shared" si="7"/>
        <v>17426.4</v>
      </c>
      <c r="I32" s="41"/>
      <c r="J32" s="41">
        <v>350</v>
      </c>
      <c r="K32" s="41"/>
      <c r="L32" s="41">
        <f t="shared" si="4"/>
        <v>350</v>
      </c>
      <c r="M32" s="41"/>
      <c r="N32" s="41">
        <v>430</v>
      </c>
      <c r="O32" s="41">
        <f>-37.4</f>
        <v>-37.4</v>
      </c>
      <c r="P32" s="41">
        <f t="shared" si="8"/>
        <v>392.6</v>
      </c>
      <c r="Q32" s="41"/>
      <c r="R32" s="58">
        <v>3315</v>
      </c>
      <c r="S32" s="4">
        <v>610</v>
      </c>
      <c r="T32" s="44" t="s">
        <v>28</v>
      </c>
      <c r="U32" s="41"/>
      <c r="V32" s="41"/>
      <c r="W32" s="41"/>
      <c r="X32" s="41">
        <f t="shared" si="5"/>
        <v>0</v>
      </c>
      <c r="Y32" s="41"/>
      <c r="Z32" s="41">
        <v>250</v>
      </c>
      <c r="AA32" s="41"/>
      <c r="AB32" s="41"/>
      <c r="AC32" s="41">
        <f t="shared" si="6"/>
        <v>250</v>
      </c>
    </row>
    <row r="33" spans="1:29" ht="12.75">
      <c r="A33" s="35">
        <v>2143</v>
      </c>
      <c r="B33" s="4">
        <v>611</v>
      </c>
      <c r="C33" s="37" t="s">
        <v>149</v>
      </c>
      <c r="D33" s="41">
        <v>12355</v>
      </c>
      <c r="E33" s="41">
        <f>500</f>
        <v>500</v>
      </c>
      <c r="F33" s="41"/>
      <c r="G33" s="41"/>
      <c r="H33" s="41">
        <f t="shared" si="7"/>
        <v>12855</v>
      </c>
      <c r="I33" s="41"/>
      <c r="J33" s="41"/>
      <c r="K33" s="41"/>
      <c r="L33" s="41"/>
      <c r="M33" s="41"/>
      <c r="N33" s="41">
        <v>73.1</v>
      </c>
      <c r="O33" s="41">
        <f>-18.7</f>
        <v>-18.7</v>
      </c>
      <c r="P33" s="41">
        <f t="shared" si="8"/>
        <v>54.39999999999999</v>
      </c>
      <c r="Q33" s="41"/>
      <c r="R33" s="58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20</v>
      </c>
      <c r="D34" s="52">
        <f aca="true" t="shared" si="9" ref="D34:P34">SUM(D36:D58)</f>
        <v>309700.00000000006</v>
      </c>
      <c r="E34" s="52">
        <f t="shared" si="9"/>
        <v>0</v>
      </c>
      <c r="F34" s="52">
        <f t="shared" si="9"/>
        <v>0</v>
      </c>
      <c r="G34" s="52">
        <f t="shared" si="9"/>
        <v>0</v>
      </c>
      <c r="H34" s="52">
        <f t="shared" si="9"/>
        <v>309700.00000000006</v>
      </c>
      <c r="I34" s="52">
        <f t="shared" si="9"/>
        <v>0</v>
      </c>
      <c r="J34" s="52">
        <f t="shared" si="9"/>
        <v>0</v>
      </c>
      <c r="K34" s="52">
        <f t="shared" si="9"/>
        <v>0</v>
      </c>
      <c r="L34" s="52">
        <f t="shared" si="9"/>
        <v>0</v>
      </c>
      <c r="M34" s="52">
        <f t="shared" si="9"/>
        <v>0</v>
      </c>
      <c r="N34" s="52">
        <f t="shared" si="9"/>
        <v>29939</v>
      </c>
      <c r="O34" s="52">
        <f t="shared" si="9"/>
        <v>0</v>
      </c>
      <c r="P34" s="52">
        <f t="shared" si="9"/>
        <v>29939</v>
      </c>
      <c r="Q34" s="52"/>
      <c r="R34" s="58"/>
      <c r="S34" s="59"/>
      <c r="T34" s="52" t="s">
        <v>68</v>
      </c>
      <c r="U34" s="52">
        <f>SUM(U36:U58)</f>
        <v>2650</v>
      </c>
      <c r="V34" s="52">
        <f>SUM(V36:V58)</f>
        <v>0</v>
      </c>
      <c r="W34" s="52">
        <f>SUM(W36:W58)</f>
        <v>0</v>
      </c>
      <c r="X34" s="52">
        <f>SUM(X36:X58)</f>
        <v>2650</v>
      </c>
      <c r="Y34" s="52"/>
      <c r="Z34" s="52">
        <f>SUM(Z36:Z58)</f>
        <v>24896.789999999997</v>
      </c>
      <c r="AA34" s="52">
        <f>SUM(AA36:AA58)</f>
        <v>0</v>
      </c>
      <c r="AB34" s="52">
        <f>SUM(AB36:AB58)</f>
        <v>0</v>
      </c>
      <c r="AC34" s="52">
        <f>SUM(AC36:AC58)</f>
        <v>24896.789999999997</v>
      </c>
    </row>
    <row r="35" spans="1:29" ht="12.75">
      <c r="A35" s="35"/>
      <c r="B35" s="4"/>
      <c r="C35" s="6" t="s">
        <v>36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8"/>
      <c r="S35" s="59"/>
      <c r="T35" s="43" t="s">
        <v>1</v>
      </c>
      <c r="U35" s="41"/>
      <c r="V35" s="41"/>
      <c r="W35" s="41"/>
      <c r="X35" s="41"/>
      <c r="Y35" s="41"/>
      <c r="Z35" s="51" t="s">
        <v>63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141</v>
      </c>
      <c r="D36" s="41">
        <v>21097.65</v>
      </c>
      <c r="E36" s="41"/>
      <c r="F36" s="41"/>
      <c r="G36" s="41"/>
      <c r="H36" s="41">
        <f aca="true" t="shared" si="10" ref="H36:H58">D36+E36+F36+G36</f>
        <v>21097.65</v>
      </c>
      <c r="I36" s="41"/>
      <c r="J36" s="41"/>
      <c r="K36" s="41"/>
      <c r="L36" s="41">
        <f aca="true" t="shared" si="11" ref="L36:L58">J36+K36</f>
        <v>0</v>
      </c>
      <c r="M36" s="41"/>
      <c r="N36" s="82">
        <v>1696.66</v>
      </c>
      <c r="O36" s="41"/>
      <c r="P36" s="41">
        <f aca="true" t="shared" si="12" ref="P36:P58">N36+O36</f>
        <v>1696.66</v>
      </c>
      <c r="Q36" s="41"/>
      <c r="R36" s="35">
        <v>4357</v>
      </c>
      <c r="S36" s="4">
        <v>801</v>
      </c>
      <c r="T36" s="7" t="s">
        <v>25</v>
      </c>
      <c r="U36" s="41"/>
      <c r="V36" s="41"/>
      <c r="W36" s="41"/>
      <c r="X36" s="41">
        <f aca="true" t="shared" si="13" ref="X36:X58">SUM(U36:W36)</f>
        <v>0</v>
      </c>
      <c r="Y36" s="41"/>
      <c r="Z36" s="41">
        <v>2000</v>
      </c>
      <c r="AA36" s="41"/>
      <c r="AB36" s="41"/>
      <c r="AC36" s="41">
        <f aca="true" t="shared" si="14" ref="AC36:AC58">SUM(Z36:AB36)</f>
        <v>2000</v>
      </c>
    </row>
    <row r="37" spans="1:29" ht="12.75">
      <c r="A37" s="35">
        <v>4357</v>
      </c>
      <c r="B37" s="4">
        <v>803</v>
      </c>
      <c r="C37" s="7" t="s">
        <v>133</v>
      </c>
      <c r="D37" s="41">
        <v>11037.63</v>
      </c>
      <c r="E37" s="41"/>
      <c r="F37" s="41"/>
      <c r="G37" s="41"/>
      <c r="H37" s="41">
        <f t="shared" si="10"/>
        <v>11037.63</v>
      </c>
      <c r="I37" s="41"/>
      <c r="J37" s="41"/>
      <c r="K37" s="41"/>
      <c r="L37" s="41">
        <f t="shared" si="11"/>
        <v>0</v>
      </c>
      <c r="M37" s="41"/>
      <c r="N37" s="82">
        <v>1328.91</v>
      </c>
      <c r="O37" s="41"/>
      <c r="P37" s="41">
        <f t="shared" si="12"/>
        <v>1328.91</v>
      </c>
      <c r="Q37" s="41"/>
      <c r="R37" s="35">
        <v>4357</v>
      </c>
      <c r="S37" s="4">
        <v>803</v>
      </c>
      <c r="T37" s="7" t="s">
        <v>29</v>
      </c>
      <c r="U37" s="41"/>
      <c r="V37" s="41"/>
      <c r="W37" s="41"/>
      <c r="X37" s="41">
        <f t="shared" si="13"/>
        <v>0</v>
      </c>
      <c r="Y37" s="41"/>
      <c r="Z37" s="41"/>
      <c r="AA37" s="41"/>
      <c r="AB37" s="41"/>
      <c r="AC37" s="41">
        <f t="shared" si="14"/>
        <v>0</v>
      </c>
    </row>
    <row r="38" spans="1:29" ht="12.75">
      <c r="A38" s="35">
        <v>4350</v>
      </c>
      <c r="B38" s="4">
        <v>804</v>
      </c>
      <c r="C38" s="7" t="s">
        <v>142</v>
      </c>
      <c r="D38" s="41">
        <v>10539.41</v>
      </c>
      <c r="E38" s="41"/>
      <c r="F38" s="41"/>
      <c r="G38" s="41"/>
      <c r="H38" s="41">
        <f t="shared" si="10"/>
        <v>10539.41</v>
      </c>
      <c r="I38" s="41"/>
      <c r="J38" s="41"/>
      <c r="K38" s="41"/>
      <c r="L38" s="41">
        <f t="shared" si="11"/>
        <v>0</v>
      </c>
      <c r="M38" s="41"/>
      <c r="N38" s="82">
        <v>1029.73</v>
      </c>
      <c r="O38" s="41"/>
      <c r="P38" s="41">
        <f t="shared" si="12"/>
        <v>1029.73</v>
      </c>
      <c r="Q38" s="41"/>
      <c r="R38" s="35">
        <v>4350</v>
      </c>
      <c r="S38" s="4">
        <v>804</v>
      </c>
      <c r="T38" s="7" t="s">
        <v>61</v>
      </c>
      <c r="U38" s="41"/>
      <c r="V38" s="41"/>
      <c r="W38" s="41"/>
      <c r="X38" s="41">
        <f t="shared" si="13"/>
        <v>0</v>
      </c>
      <c r="Y38" s="41"/>
      <c r="Z38" s="41"/>
      <c r="AA38" s="41"/>
      <c r="AB38" s="41"/>
      <c r="AC38" s="41">
        <f t="shared" si="14"/>
        <v>0</v>
      </c>
    </row>
    <row r="39" spans="1:29" ht="12.75">
      <c r="A39" s="35">
        <v>4350</v>
      </c>
      <c r="B39" s="4">
        <v>805</v>
      </c>
      <c r="C39" s="7" t="s">
        <v>134</v>
      </c>
      <c r="D39" s="41">
        <v>27999.94</v>
      </c>
      <c r="E39" s="41"/>
      <c r="F39" s="41"/>
      <c r="G39" s="41"/>
      <c r="H39" s="41">
        <f t="shared" si="10"/>
        <v>27999.94</v>
      </c>
      <c r="I39" s="41"/>
      <c r="J39" s="41"/>
      <c r="K39" s="41"/>
      <c r="L39" s="41">
        <f t="shared" si="11"/>
        <v>0</v>
      </c>
      <c r="M39" s="41"/>
      <c r="N39" s="82">
        <v>2977.77</v>
      </c>
      <c r="O39" s="41"/>
      <c r="P39" s="41">
        <f t="shared" si="12"/>
        <v>2977.77</v>
      </c>
      <c r="Q39" s="41"/>
      <c r="R39" s="35">
        <v>4350</v>
      </c>
      <c r="S39" s="4">
        <v>805</v>
      </c>
      <c r="T39" s="7" t="s">
        <v>117</v>
      </c>
      <c r="U39" s="41"/>
      <c r="V39" s="41"/>
      <c r="W39" s="41"/>
      <c r="X39" s="41">
        <f t="shared" si="13"/>
        <v>0</v>
      </c>
      <c r="Y39" s="41"/>
      <c r="Z39" s="41">
        <v>3300</v>
      </c>
      <c r="AA39" s="41"/>
      <c r="AB39" s="41"/>
      <c r="AC39" s="41">
        <f t="shared" si="14"/>
        <v>3300</v>
      </c>
    </row>
    <row r="40" spans="1:29" ht="12.75">
      <c r="A40" s="35">
        <v>4350</v>
      </c>
      <c r="B40" s="4">
        <v>806</v>
      </c>
      <c r="C40" s="7" t="s">
        <v>30</v>
      </c>
      <c r="D40" s="41">
        <v>5064.67</v>
      </c>
      <c r="E40" s="41"/>
      <c r="F40" s="41"/>
      <c r="G40" s="41"/>
      <c r="H40" s="41">
        <f t="shared" si="10"/>
        <v>5064.67</v>
      </c>
      <c r="I40" s="41"/>
      <c r="J40" s="41"/>
      <c r="K40" s="41"/>
      <c r="L40" s="41">
        <f t="shared" si="11"/>
        <v>0</v>
      </c>
      <c r="M40" s="41"/>
      <c r="N40" s="82">
        <v>479.5</v>
      </c>
      <c r="O40" s="41"/>
      <c r="P40" s="41">
        <f t="shared" si="12"/>
        <v>479.5</v>
      </c>
      <c r="Q40" s="41"/>
      <c r="R40" s="35">
        <v>4350</v>
      </c>
      <c r="S40" s="4">
        <v>806</v>
      </c>
      <c r="T40" s="7" t="s">
        <v>30</v>
      </c>
      <c r="U40" s="41"/>
      <c r="V40" s="41"/>
      <c r="W40" s="41"/>
      <c r="X40" s="41">
        <f t="shared" si="13"/>
        <v>0</v>
      </c>
      <c r="Y40" s="41"/>
      <c r="Z40" s="41"/>
      <c r="AA40" s="41"/>
      <c r="AB40" s="41"/>
      <c r="AC40" s="41">
        <f t="shared" si="14"/>
        <v>0</v>
      </c>
    </row>
    <row r="41" spans="1:29" ht="12.75">
      <c r="A41" s="35">
        <v>4357</v>
      </c>
      <c r="B41" s="4">
        <v>807</v>
      </c>
      <c r="C41" s="7" t="s">
        <v>135</v>
      </c>
      <c r="D41" s="41">
        <v>15004.58</v>
      </c>
      <c r="E41" s="41"/>
      <c r="F41" s="41"/>
      <c r="G41" s="45"/>
      <c r="H41" s="41">
        <f t="shared" si="10"/>
        <v>15004.58</v>
      </c>
      <c r="I41" s="41"/>
      <c r="J41" s="41"/>
      <c r="K41" s="41"/>
      <c r="L41" s="41">
        <f t="shared" si="11"/>
        <v>0</v>
      </c>
      <c r="M41" s="41"/>
      <c r="N41" s="82">
        <v>1599.08</v>
      </c>
      <c r="O41" s="41"/>
      <c r="P41" s="41">
        <f t="shared" si="12"/>
        <v>1599.08</v>
      </c>
      <c r="Q41" s="41"/>
      <c r="R41" s="35">
        <v>4357</v>
      </c>
      <c r="S41" s="4">
        <v>807</v>
      </c>
      <c r="T41" s="7" t="s">
        <v>78</v>
      </c>
      <c r="U41" s="41"/>
      <c r="V41" s="41"/>
      <c r="W41" s="41"/>
      <c r="X41" s="41">
        <f t="shared" si="13"/>
        <v>0</v>
      </c>
      <c r="Y41" s="41"/>
      <c r="Z41" s="41"/>
      <c r="AA41" s="41"/>
      <c r="AB41" s="41"/>
      <c r="AC41" s="41">
        <f t="shared" si="14"/>
        <v>0</v>
      </c>
    </row>
    <row r="42" spans="1:29" ht="12.75">
      <c r="A42" s="35">
        <v>4350</v>
      </c>
      <c r="B42" s="4">
        <v>808</v>
      </c>
      <c r="C42" s="7" t="s">
        <v>16</v>
      </c>
      <c r="D42" s="41">
        <v>8105.94</v>
      </c>
      <c r="E42" s="41"/>
      <c r="F42" s="41"/>
      <c r="G42" s="45"/>
      <c r="H42" s="41">
        <f t="shared" si="10"/>
        <v>8105.94</v>
      </c>
      <c r="I42" s="41"/>
      <c r="J42" s="41"/>
      <c r="K42" s="41"/>
      <c r="L42" s="41">
        <f t="shared" si="11"/>
        <v>0</v>
      </c>
      <c r="M42" s="41"/>
      <c r="N42" s="82">
        <v>233.17</v>
      </c>
      <c r="O42" s="41"/>
      <c r="P42" s="41">
        <f t="shared" si="12"/>
        <v>233.17</v>
      </c>
      <c r="Q42" s="41"/>
      <c r="R42" s="35">
        <v>4350</v>
      </c>
      <c r="S42" s="4">
        <v>808</v>
      </c>
      <c r="T42" s="7" t="s">
        <v>16</v>
      </c>
      <c r="U42" s="41"/>
      <c r="V42" s="41"/>
      <c r="W42" s="41"/>
      <c r="X42" s="41">
        <f t="shared" si="13"/>
        <v>0</v>
      </c>
      <c r="Y42" s="41"/>
      <c r="Z42" s="41"/>
      <c r="AA42" s="41"/>
      <c r="AB42" s="41"/>
      <c r="AC42" s="41">
        <f t="shared" si="14"/>
        <v>0</v>
      </c>
    </row>
    <row r="43" spans="1:29" ht="12.75">
      <c r="A43" s="35">
        <v>4350</v>
      </c>
      <c r="B43" s="4">
        <v>809</v>
      </c>
      <c r="C43" s="7" t="s">
        <v>157</v>
      </c>
      <c r="D43" s="41">
        <v>14306.58</v>
      </c>
      <c r="E43" s="41"/>
      <c r="F43" s="41"/>
      <c r="G43" s="45"/>
      <c r="H43" s="41">
        <f t="shared" si="10"/>
        <v>14306.58</v>
      </c>
      <c r="I43" s="41"/>
      <c r="J43" s="41"/>
      <c r="K43" s="41"/>
      <c r="L43" s="41">
        <f t="shared" si="11"/>
        <v>0</v>
      </c>
      <c r="M43" s="41"/>
      <c r="N43" s="82">
        <v>1828.76</v>
      </c>
      <c r="O43" s="41"/>
      <c r="P43" s="41">
        <f t="shared" si="12"/>
        <v>1828.76</v>
      </c>
      <c r="Q43" s="41"/>
      <c r="R43" s="35">
        <v>4350</v>
      </c>
      <c r="S43" s="4">
        <v>809</v>
      </c>
      <c r="T43" s="7" t="s">
        <v>157</v>
      </c>
      <c r="U43" s="41"/>
      <c r="V43" s="41"/>
      <c r="W43" s="41"/>
      <c r="X43" s="41">
        <f t="shared" si="13"/>
        <v>0</v>
      </c>
      <c r="Y43" s="41"/>
      <c r="Z43" s="41">
        <v>8300</v>
      </c>
      <c r="AA43" s="41"/>
      <c r="AB43" s="41"/>
      <c r="AC43" s="41">
        <f t="shared" si="14"/>
        <v>8300</v>
      </c>
    </row>
    <row r="44" spans="1:29" ht="12.75">
      <c r="A44" s="35">
        <v>4350</v>
      </c>
      <c r="B44" s="4">
        <v>810</v>
      </c>
      <c r="C44" s="7" t="s">
        <v>76</v>
      </c>
      <c r="D44" s="41">
        <v>4979.58</v>
      </c>
      <c r="E44" s="41"/>
      <c r="F44" s="41"/>
      <c r="G44" s="45"/>
      <c r="H44" s="41">
        <f t="shared" si="10"/>
        <v>4979.58</v>
      </c>
      <c r="I44" s="41"/>
      <c r="J44" s="41"/>
      <c r="K44" s="41"/>
      <c r="L44" s="41">
        <f t="shared" si="11"/>
        <v>0</v>
      </c>
      <c r="M44" s="41"/>
      <c r="N44" s="82">
        <v>352.85</v>
      </c>
      <c r="O44" s="41"/>
      <c r="P44" s="41">
        <f t="shared" si="12"/>
        <v>352.85</v>
      </c>
      <c r="Q44" s="41"/>
      <c r="R44" s="35">
        <v>4350</v>
      </c>
      <c r="S44" s="4">
        <v>810</v>
      </c>
      <c r="T44" s="7" t="s">
        <v>76</v>
      </c>
      <c r="U44" s="41"/>
      <c r="V44" s="41"/>
      <c r="W44" s="41"/>
      <c r="X44" s="41">
        <f t="shared" si="13"/>
        <v>0</v>
      </c>
      <c r="Y44" s="41"/>
      <c r="Z44" s="41"/>
      <c r="AA44" s="41"/>
      <c r="AB44" s="41"/>
      <c r="AC44" s="41">
        <f t="shared" si="14"/>
        <v>0</v>
      </c>
    </row>
    <row r="45" spans="1:29" ht="12.75">
      <c r="A45" s="35">
        <v>4350</v>
      </c>
      <c r="B45" s="4">
        <v>811</v>
      </c>
      <c r="C45" s="7" t="s">
        <v>73</v>
      </c>
      <c r="D45" s="41">
        <v>5580.3</v>
      </c>
      <c r="E45" s="41"/>
      <c r="F45" s="41"/>
      <c r="G45" s="45"/>
      <c r="H45" s="41">
        <f t="shared" si="10"/>
        <v>5580.3</v>
      </c>
      <c r="I45" s="41"/>
      <c r="J45" s="41"/>
      <c r="K45" s="41"/>
      <c r="L45" s="41">
        <f t="shared" si="11"/>
        <v>0</v>
      </c>
      <c r="M45" s="41"/>
      <c r="N45" s="82">
        <v>801.75</v>
      </c>
      <c r="O45" s="41"/>
      <c r="P45" s="41">
        <f t="shared" si="12"/>
        <v>801.75</v>
      </c>
      <c r="Q45" s="41"/>
      <c r="R45" s="35">
        <v>4350</v>
      </c>
      <c r="S45" s="4">
        <v>811</v>
      </c>
      <c r="T45" s="7" t="s">
        <v>73</v>
      </c>
      <c r="U45" s="41"/>
      <c r="V45" s="41"/>
      <c r="W45" s="41"/>
      <c r="X45" s="41">
        <f t="shared" si="13"/>
        <v>0</v>
      </c>
      <c r="Y45" s="41"/>
      <c r="Z45" s="41">
        <v>1300</v>
      </c>
      <c r="AA45" s="41"/>
      <c r="AB45" s="41"/>
      <c r="AC45" s="41">
        <f t="shared" si="14"/>
        <v>1300</v>
      </c>
    </row>
    <row r="46" spans="1:29" ht="12.75">
      <c r="A46" s="35">
        <v>4357</v>
      </c>
      <c r="B46" s="4">
        <v>813</v>
      </c>
      <c r="C46" s="7" t="s">
        <v>71</v>
      </c>
      <c r="D46" s="41">
        <v>32870.14</v>
      </c>
      <c r="E46" s="41"/>
      <c r="F46" s="41"/>
      <c r="G46" s="45"/>
      <c r="H46" s="41">
        <f t="shared" si="10"/>
        <v>32870.14</v>
      </c>
      <c r="I46" s="41"/>
      <c r="J46" s="41"/>
      <c r="K46" s="41"/>
      <c r="L46" s="41">
        <f t="shared" si="11"/>
        <v>0</v>
      </c>
      <c r="M46" s="41"/>
      <c r="N46" s="82">
        <v>868.71</v>
      </c>
      <c r="O46" s="41"/>
      <c r="P46" s="41">
        <f t="shared" si="12"/>
        <v>868.71</v>
      </c>
      <c r="Q46" s="41"/>
      <c r="R46" s="35">
        <v>4357</v>
      </c>
      <c r="S46" s="4">
        <v>813</v>
      </c>
      <c r="T46" s="7" t="s">
        <v>71</v>
      </c>
      <c r="U46" s="41">
        <v>150</v>
      </c>
      <c r="V46" s="41"/>
      <c r="W46" s="41"/>
      <c r="X46" s="41">
        <f t="shared" si="13"/>
        <v>150</v>
      </c>
      <c r="Y46" s="41"/>
      <c r="Z46" s="41">
        <v>3369.06</v>
      </c>
      <c r="AA46" s="41"/>
      <c r="AB46" s="41"/>
      <c r="AC46" s="41">
        <f t="shared" si="14"/>
        <v>3369.06</v>
      </c>
    </row>
    <row r="47" spans="1:29" ht="12.75">
      <c r="A47" s="35">
        <v>4357</v>
      </c>
      <c r="B47" s="4">
        <v>814</v>
      </c>
      <c r="C47" s="8" t="s">
        <v>119</v>
      </c>
      <c r="D47" s="41">
        <v>14032.49</v>
      </c>
      <c r="E47" s="41"/>
      <c r="F47" s="41"/>
      <c r="G47" s="45"/>
      <c r="H47" s="41">
        <f t="shared" si="10"/>
        <v>14032.49</v>
      </c>
      <c r="I47" s="41"/>
      <c r="J47" s="41"/>
      <c r="K47" s="41"/>
      <c r="L47" s="41">
        <f t="shared" si="11"/>
        <v>0</v>
      </c>
      <c r="M47" s="41"/>
      <c r="N47" s="82">
        <v>817.58</v>
      </c>
      <c r="O47" s="41"/>
      <c r="P47" s="41">
        <f t="shared" si="12"/>
        <v>817.58</v>
      </c>
      <c r="Q47" s="41"/>
      <c r="R47" s="35">
        <v>4357</v>
      </c>
      <c r="S47" s="4">
        <v>814</v>
      </c>
      <c r="T47" s="37" t="s">
        <v>119</v>
      </c>
      <c r="U47" s="41"/>
      <c r="V47" s="41"/>
      <c r="W47" s="41"/>
      <c r="X47" s="41">
        <f t="shared" si="13"/>
        <v>0</v>
      </c>
      <c r="Y47" s="41"/>
      <c r="Z47" s="41">
        <v>2000</v>
      </c>
      <c r="AA47" s="41"/>
      <c r="AB47" s="41"/>
      <c r="AC47" s="41">
        <f t="shared" si="14"/>
        <v>2000</v>
      </c>
    </row>
    <row r="48" spans="1:29" ht="12.75" customHeight="1">
      <c r="A48" s="35">
        <v>4357</v>
      </c>
      <c r="B48" s="4">
        <v>815</v>
      </c>
      <c r="C48" s="8" t="s">
        <v>136</v>
      </c>
      <c r="D48" s="41">
        <v>11096.31</v>
      </c>
      <c r="E48" s="45"/>
      <c r="F48" s="41"/>
      <c r="G48" s="45"/>
      <c r="H48" s="41">
        <f t="shared" si="10"/>
        <v>11096.31</v>
      </c>
      <c r="I48" s="41"/>
      <c r="J48" s="41"/>
      <c r="K48" s="41"/>
      <c r="L48" s="41">
        <f t="shared" si="11"/>
        <v>0</v>
      </c>
      <c r="M48" s="41"/>
      <c r="N48" s="82">
        <v>1875.6</v>
      </c>
      <c r="O48" s="41"/>
      <c r="P48" s="41">
        <f t="shared" si="12"/>
        <v>1875.6</v>
      </c>
      <c r="Q48" s="41"/>
      <c r="R48" s="35">
        <v>4357</v>
      </c>
      <c r="S48" s="4">
        <v>815</v>
      </c>
      <c r="T48" s="37" t="s">
        <v>118</v>
      </c>
      <c r="U48" s="41"/>
      <c r="V48" s="41"/>
      <c r="W48" s="41"/>
      <c r="X48" s="41">
        <f t="shared" si="13"/>
        <v>0</v>
      </c>
      <c r="Y48" s="41"/>
      <c r="Z48" s="41">
        <v>494.01</v>
      </c>
      <c r="AA48" s="41"/>
      <c r="AB48" s="41"/>
      <c r="AC48" s="41">
        <f t="shared" si="14"/>
        <v>494.01</v>
      </c>
    </row>
    <row r="49" spans="1:29" ht="12.75">
      <c r="A49" s="35">
        <v>4357</v>
      </c>
      <c r="B49" s="4">
        <v>816</v>
      </c>
      <c r="C49" s="8" t="s">
        <v>26</v>
      </c>
      <c r="D49" s="41">
        <v>18893.37</v>
      </c>
      <c r="E49" s="45"/>
      <c r="F49" s="41"/>
      <c r="G49" s="45"/>
      <c r="H49" s="41">
        <f t="shared" si="10"/>
        <v>18893.37</v>
      </c>
      <c r="I49" s="41"/>
      <c r="J49" s="41"/>
      <c r="K49" s="41"/>
      <c r="L49" s="41">
        <f t="shared" si="11"/>
        <v>0</v>
      </c>
      <c r="M49" s="41"/>
      <c r="N49" s="82">
        <v>1865.31</v>
      </c>
      <c r="O49" s="41"/>
      <c r="P49" s="41">
        <f t="shared" si="12"/>
        <v>1865.31</v>
      </c>
      <c r="Q49" s="41"/>
      <c r="R49" s="35">
        <v>4357</v>
      </c>
      <c r="S49" s="4">
        <v>816</v>
      </c>
      <c r="T49" s="8" t="s">
        <v>26</v>
      </c>
      <c r="U49" s="41"/>
      <c r="V49" s="41"/>
      <c r="W49" s="41"/>
      <c r="X49" s="41">
        <f t="shared" si="13"/>
        <v>0</v>
      </c>
      <c r="Y49" s="41"/>
      <c r="Z49" s="41">
        <v>716.35</v>
      </c>
      <c r="AA49" s="41"/>
      <c r="AB49" s="41"/>
      <c r="AC49" s="41">
        <f t="shared" si="14"/>
        <v>716.35</v>
      </c>
    </row>
    <row r="50" spans="1:29" ht="12.75">
      <c r="A50" s="35">
        <v>4357</v>
      </c>
      <c r="B50" s="4">
        <v>818</v>
      </c>
      <c r="C50" s="8" t="s">
        <v>58</v>
      </c>
      <c r="D50" s="41">
        <v>20466.41</v>
      </c>
      <c r="E50" s="45"/>
      <c r="F50" s="41"/>
      <c r="G50" s="45"/>
      <c r="H50" s="41">
        <f t="shared" si="10"/>
        <v>20466.41</v>
      </c>
      <c r="I50" s="41"/>
      <c r="J50" s="41"/>
      <c r="K50" s="41"/>
      <c r="L50" s="41">
        <f t="shared" si="11"/>
        <v>0</v>
      </c>
      <c r="M50" s="41"/>
      <c r="N50" s="82">
        <v>2351.87</v>
      </c>
      <c r="O50" s="41"/>
      <c r="P50" s="41">
        <f t="shared" si="12"/>
        <v>2351.87</v>
      </c>
      <c r="Q50" s="41"/>
      <c r="R50" s="35">
        <v>4357</v>
      </c>
      <c r="S50" s="4">
        <v>818</v>
      </c>
      <c r="T50" s="8" t="s">
        <v>58</v>
      </c>
      <c r="U50" s="41">
        <v>1000</v>
      </c>
      <c r="V50" s="41"/>
      <c r="W50" s="41"/>
      <c r="X50" s="41">
        <f t="shared" si="13"/>
        <v>1000</v>
      </c>
      <c r="Y50" s="41"/>
      <c r="Z50" s="41"/>
      <c r="AA50" s="41"/>
      <c r="AB50" s="41"/>
      <c r="AC50" s="41">
        <f t="shared" si="14"/>
        <v>0</v>
      </c>
    </row>
    <row r="51" spans="1:29" ht="12.75">
      <c r="A51" s="35">
        <v>4357</v>
      </c>
      <c r="B51" s="4">
        <v>819</v>
      </c>
      <c r="C51" s="8" t="s">
        <v>143</v>
      </c>
      <c r="D51" s="41">
        <v>15798.25</v>
      </c>
      <c r="E51" s="45"/>
      <c r="F51" s="41"/>
      <c r="G51" s="45"/>
      <c r="H51" s="41">
        <f t="shared" si="10"/>
        <v>15798.25</v>
      </c>
      <c r="I51" s="41"/>
      <c r="J51" s="41"/>
      <c r="K51" s="41"/>
      <c r="L51" s="41">
        <f t="shared" si="11"/>
        <v>0</v>
      </c>
      <c r="M51" s="41"/>
      <c r="N51" s="82">
        <v>808.83</v>
      </c>
      <c r="O51" s="41"/>
      <c r="P51" s="41">
        <f t="shared" si="12"/>
        <v>808.83</v>
      </c>
      <c r="Q51" s="41"/>
      <c r="R51" s="35">
        <v>4357</v>
      </c>
      <c r="S51" s="4">
        <v>819</v>
      </c>
      <c r="T51" s="8" t="s">
        <v>79</v>
      </c>
      <c r="U51" s="41"/>
      <c r="V51" s="41"/>
      <c r="W51" s="41"/>
      <c r="X51" s="41">
        <f t="shared" si="13"/>
        <v>0</v>
      </c>
      <c r="Y51" s="41"/>
      <c r="Z51" s="41"/>
      <c r="AA51" s="41"/>
      <c r="AB51" s="41"/>
      <c r="AC51" s="41">
        <f t="shared" si="14"/>
        <v>0</v>
      </c>
    </row>
    <row r="52" spans="1:29" ht="12.75">
      <c r="A52" s="35">
        <v>4357</v>
      </c>
      <c r="B52" s="4">
        <v>820</v>
      </c>
      <c r="C52" s="8" t="s">
        <v>148</v>
      </c>
      <c r="D52" s="41">
        <v>14819.13</v>
      </c>
      <c r="E52" s="45"/>
      <c r="F52" s="41"/>
      <c r="G52" s="45"/>
      <c r="H52" s="41">
        <f t="shared" si="10"/>
        <v>14819.13</v>
      </c>
      <c r="I52" s="41"/>
      <c r="J52" s="41"/>
      <c r="K52" s="41"/>
      <c r="L52" s="41">
        <f t="shared" si="11"/>
        <v>0</v>
      </c>
      <c r="M52" s="41"/>
      <c r="N52" s="82">
        <v>1702.16</v>
      </c>
      <c r="O52" s="41"/>
      <c r="P52" s="41">
        <f t="shared" si="12"/>
        <v>1702.16</v>
      </c>
      <c r="Q52" s="41"/>
      <c r="R52" s="35">
        <v>4357</v>
      </c>
      <c r="S52" s="4">
        <v>820</v>
      </c>
      <c r="T52" s="8" t="s">
        <v>148</v>
      </c>
      <c r="U52" s="41"/>
      <c r="V52" s="41"/>
      <c r="W52" s="41"/>
      <c r="X52" s="41">
        <f t="shared" si="13"/>
        <v>0</v>
      </c>
      <c r="Y52" s="41"/>
      <c r="Z52" s="41"/>
      <c r="AA52" s="41"/>
      <c r="AB52" s="41"/>
      <c r="AC52" s="41">
        <f t="shared" si="14"/>
        <v>0</v>
      </c>
    </row>
    <row r="53" spans="1:29" ht="12.75">
      <c r="A53" s="35">
        <v>4357</v>
      </c>
      <c r="B53" s="4">
        <v>821</v>
      </c>
      <c r="C53" s="8" t="s">
        <v>137</v>
      </c>
      <c r="D53" s="41">
        <v>10394.01</v>
      </c>
      <c r="E53" s="45"/>
      <c r="F53" s="41"/>
      <c r="G53" s="45"/>
      <c r="H53" s="41">
        <f t="shared" si="10"/>
        <v>10394.01</v>
      </c>
      <c r="I53" s="41"/>
      <c r="J53" s="41"/>
      <c r="K53" s="41"/>
      <c r="L53" s="41">
        <f t="shared" si="11"/>
        <v>0</v>
      </c>
      <c r="M53" s="41"/>
      <c r="N53" s="82">
        <v>2082.75</v>
      </c>
      <c r="O53" s="41"/>
      <c r="P53" s="41">
        <f t="shared" si="12"/>
        <v>2082.75</v>
      </c>
      <c r="Q53" s="41"/>
      <c r="R53" s="35">
        <v>4357</v>
      </c>
      <c r="S53" s="4">
        <v>821</v>
      </c>
      <c r="T53" s="8" t="s">
        <v>64</v>
      </c>
      <c r="U53" s="41"/>
      <c r="V53" s="41"/>
      <c r="W53" s="41"/>
      <c r="X53" s="41">
        <f t="shared" si="13"/>
        <v>0</v>
      </c>
      <c r="Y53" s="41"/>
      <c r="Z53" s="41"/>
      <c r="AA53" s="41"/>
      <c r="AB53" s="41"/>
      <c r="AC53" s="41">
        <f t="shared" si="14"/>
        <v>0</v>
      </c>
    </row>
    <row r="54" spans="1:29" ht="12.75">
      <c r="A54" s="35">
        <v>4350</v>
      </c>
      <c r="B54" s="4">
        <v>824</v>
      </c>
      <c r="C54" s="8" t="s">
        <v>77</v>
      </c>
      <c r="D54" s="41">
        <v>13432.8</v>
      </c>
      <c r="E54" s="41"/>
      <c r="F54" s="41"/>
      <c r="G54" s="41"/>
      <c r="H54" s="41">
        <f t="shared" si="10"/>
        <v>13432.8</v>
      </c>
      <c r="I54" s="41"/>
      <c r="J54" s="41"/>
      <c r="K54" s="41"/>
      <c r="L54" s="41">
        <f t="shared" si="11"/>
        <v>0</v>
      </c>
      <c r="M54" s="41"/>
      <c r="N54" s="82">
        <v>1853.6</v>
      </c>
      <c r="O54" s="41"/>
      <c r="P54" s="41">
        <f t="shared" si="12"/>
        <v>1853.6</v>
      </c>
      <c r="Q54" s="41"/>
      <c r="R54" s="35">
        <v>4350</v>
      </c>
      <c r="S54" s="4">
        <v>824</v>
      </c>
      <c r="T54" s="8" t="s">
        <v>77</v>
      </c>
      <c r="U54" s="41">
        <v>1500</v>
      </c>
      <c r="V54" s="41"/>
      <c r="W54" s="41"/>
      <c r="X54" s="41">
        <f t="shared" si="13"/>
        <v>1500</v>
      </c>
      <c r="Y54" s="41"/>
      <c r="Z54" s="41"/>
      <c r="AA54" s="41"/>
      <c r="AB54" s="41"/>
      <c r="AC54" s="41">
        <f t="shared" si="14"/>
        <v>0</v>
      </c>
    </row>
    <row r="55" spans="1:29" ht="12.75">
      <c r="A55" s="35">
        <v>4350</v>
      </c>
      <c r="B55" s="4">
        <v>825</v>
      </c>
      <c r="C55" s="8" t="s">
        <v>33</v>
      </c>
      <c r="D55" s="41">
        <v>4497.08</v>
      </c>
      <c r="E55" s="41"/>
      <c r="F55" s="41"/>
      <c r="G55" s="41"/>
      <c r="H55" s="41">
        <f t="shared" si="10"/>
        <v>4497.08</v>
      </c>
      <c r="I55" s="41"/>
      <c r="J55" s="41"/>
      <c r="K55" s="41"/>
      <c r="L55" s="41">
        <f t="shared" si="11"/>
        <v>0</v>
      </c>
      <c r="M55" s="41"/>
      <c r="N55" s="82">
        <v>259.9</v>
      </c>
      <c r="O55" s="41"/>
      <c r="P55" s="41">
        <f t="shared" si="12"/>
        <v>259.9</v>
      </c>
      <c r="Q55" s="41"/>
      <c r="R55" s="35">
        <v>4350</v>
      </c>
      <c r="S55" s="4">
        <v>825</v>
      </c>
      <c r="T55" s="8" t="s">
        <v>33</v>
      </c>
      <c r="U55" s="41"/>
      <c r="V55" s="41"/>
      <c r="W55" s="41"/>
      <c r="X55" s="41">
        <f t="shared" si="13"/>
        <v>0</v>
      </c>
      <c r="Y55" s="41"/>
      <c r="Z55" s="41">
        <v>202.37</v>
      </c>
      <c r="AA55" s="41"/>
      <c r="AB55" s="41"/>
      <c r="AC55" s="41">
        <f t="shared" si="14"/>
        <v>202.37</v>
      </c>
    </row>
    <row r="56" spans="1:29" ht="12.75">
      <c r="A56" s="35">
        <v>4350</v>
      </c>
      <c r="B56" s="4">
        <v>826</v>
      </c>
      <c r="C56" s="8" t="s">
        <v>138</v>
      </c>
      <c r="D56" s="41">
        <v>12147.08</v>
      </c>
      <c r="E56" s="41"/>
      <c r="F56" s="41"/>
      <c r="G56" s="41"/>
      <c r="H56" s="41">
        <f t="shared" si="10"/>
        <v>12147.08</v>
      </c>
      <c r="I56" s="41"/>
      <c r="J56" s="41"/>
      <c r="K56" s="41"/>
      <c r="L56" s="41">
        <f t="shared" si="11"/>
        <v>0</v>
      </c>
      <c r="M56" s="41"/>
      <c r="N56" s="82">
        <v>851.73</v>
      </c>
      <c r="O56" s="41"/>
      <c r="P56" s="41">
        <f t="shared" si="12"/>
        <v>851.73</v>
      </c>
      <c r="Q56" s="41"/>
      <c r="R56" s="35">
        <v>4350</v>
      </c>
      <c r="S56" s="4">
        <v>826</v>
      </c>
      <c r="T56" s="8" t="s">
        <v>62</v>
      </c>
      <c r="U56" s="41"/>
      <c r="V56" s="41"/>
      <c r="W56" s="41"/>
      <c r="X56" s="41">
        <f t="shared" si="13"/>
        <v>0</v>
      </c>
      <c r="Y56" s="41"/>
      <c r="Z56" s="41">
        <v>2505</v>
      </c>
      <c r="AA56" s="41"/>
      <c r="AB56" s="41"/>
      <c r="AC56" s="41">
        <f t="shared" si="14"/>
        <v>2505</v>
      </c>
    </row>
    <row r="57" spans="1:29" ht="12.75">
      <c r="A57" s="35">
        <v>4350</v>
      </c>
      <c r="B57" s="4">
        <v>827</v>
      </c>
      <c r="C57" s="8" t="s">
        <v>139</v>
      </c>
      <c r="D57" s="41">
        <v>7497.14</v>
      </c>
      <c r="E57" s="41"/>
      <c r="F57" s="41"/>
      <c r="G57" s="41"/>
      <c r="H57" s="41">
        <f t="shared" si="10"/>
        <v>7497.14</v>
      </c>
      <c r="I57" s="41"/>
      <c r="J57" s="41"/>
      <c r="K57" s="41"/>
      <c r="L57" s="41">
        <f t="shared" si="11"/>
        <v>0</v>
      </c>
      <c r="M57" s="41"/>
      <c r="N57" s="82">
        <v>1068.75</v>
      </c>
      <c r="O57" s="41"/>
      <c r="P57" s="41">
        <f t="shared" si="12"/>
        <v>1068.75</v>
      </c>
      <c r="Q57" s="41"/>
      <c r="R57" s="35">
        <v>4350</v>
      </c>
      <c r="S57" s="4">
        <v>827</v>
      </c>
      <c r="T57" s="8" t="s">
        <v>32</v>
      </c>
      <c r="U57" s="41"/>
      <c r="V57" s="41"/>
      <c r="W57" s="41"/>
      <c r="X57" s="41">
        <f t="shared" si="13"/>
        <v>0</v>
      </c>
      <c r="Y57" s="41"/>
      <c r="Z57" s="41"/>
      <c r="AA57" s="41"/>
      <c r="AB57" s="41"/>
      <c r="AC57" s="41">
        <f t="shared" si="14"/>
        <v>0</v>
      </c>
    </row>
    <row r="58" spans="1:29" ht="12.75">
      <c r="A58" s="35">
        <v>4357</v>
      </c>
      <c r="B58" s="4">
        <v>828</v>
      </c>
      <c r="C58" s="8" t="s">
        <v>140</v>
      </c>
      <c r="D58" s="41">
        <v>10039.51</v>
      </c>
      <c r="E58" s="41"/>
      <c r="F58" s="41"/>
      <c r="G58" s="41"/>
      <c r="H58" s="41">
        <f t="shared" si="10"/>
        <v>10039.51</v>
      </c>
      <c r="I58" s="41"/>
      <c r="J58" s="41"/>
      <c r="K58" s="41"/>
      <c r="L58" s="41">
        <f t="shared" si="11"/>
        <v>0</v>
      </c>
      <c r="M58" s="41"/>
      <c r="N58" s="82">
        <v>1204.03</v>
      </c>
      <c r="O58" s="41"/>
      <c r="P58" s="41">
        <f t="shared" si="12"/>
        <v>1204.03</v>
      </c>
      <c r="Q58" s="41"/>
      <c r="R58" s="35">
        <v>4357</v>
      </c>
      <c r="S58" s="4">
        <v>828</v>
      </c>
      <c r="T58" s="8" t="s">
        <v>72</v>
      </c>
      <c r="U58" s="41"/>
      <c r="V58" s="41"/>
      <c r="W58" s="41"/>
      <c r="X58" s="41">
        <f t="shared" si="13"/>
        <v>0</v>
      </c>
      <c r="Y58" s="41"/>
      <c r="Z58" s="41">
        <v>710</v>
      </c>
      <c r="AA58" s="41"/>
      <c r="AB58" s="41"/>
      <c r="AC58" s="41">
        <f t="shared" si="14"/>
        <v>710</v>
      </c>
    </row>
    <row r="59" spans="1:29" ht="12.75">
      <c r="A59" s="35"/>
      <c r="B59" s="4"/>
      <c r="C59" s="10" t="s">
        <v>21</v>
      </c>
      <c r="D59" s="52">
        <f aca="true" t="shared" si="15" ref="D59:P59">SUM(D61:D132)</f>
        <v>536196.6499999999</v>
      </c>
      <c r="E59" s="79">
        <f t="shared" si="15"/>
        <v>54161.7</v>
      </c>
      <c r="F59" s="52">
        <f t="shared" si="15"/>
        <v>0</v>
      </c>
      <c r="G59" s="52">
        <f t="shared" si="15"/>
        <v>110.34</v>
      </c>
      <c r="H59" s="52">
        <f t="shared" si="15"/>
        <v>590468.69</v>
      </c>
      <c r="I59" s="52">
        <f t="shared" si="15"/>
        <v>0</v>
      </c>
      <c r="J59" s="52">
        <f t="shared" si="15"/>
        <v>1755.6100000000001</v>
      </c>
      <c r="K59" s="52">
        <f t="shared" si="15"/>
        <v>10155.880000000001</v>
      </c>
      <c r="L59" s="52">
        <f t="shared" si="15"/>
        <v>11911.49</v>
      </c>
      <c r="M59" s="52">
        <f t="shared" si="15"/>
        <v>0</v>
      </c>
      <c r="N59" s="52">
        <f t="shared" si="15"/>
        <v>54214.320000000014</v>
      </c>
      <c r="O59" s="52">
        <f t="shared" si="15"/>
        <v>54.38</v>
      </c>
      <c r="P59" s="52">
        <f t="shared" si="15"/>
        <v>54268.700000000004</v>
      </c>
      <c r="Q59" s="52"/>
      <c r="R59" s="58"/>
      <c r="S59" s="59"/>
      <c r="T59" s="52" t="s">
        <v>69</v>
      </c>
      <c r="U59" s="52">
        <f aca="true" t="shared" si="16" ref="U59:AC59">SUM(U61:U132)</f>
        <v>27899</v>
      </c>
      <c r="V59" s="52">
        <f t="shared" si="16"/>
        <v>-9403.6</v>
      </c>
      <c r="W59" s="52">
        <f t="shared" si="16"/>
        <v>0</v>
      </c>
      <c r="X59" s="52">
        <f t="shared" si="16"/>
        <v>18495.4</v>
      </c>
      <c r="Y59" s="52">
        <f t="shared" si="16"/>
        <v>0</v>
      </c>
      <c r="Z59" s="52">
        <f t="shared" si="16"/>
        <v>142024</v>
      </c>
      <c r="AA59" s="52">
        <f t="shared" si="16"/>
        <v>26692.2</v>
      </c>
      <c r="AB59" s="52">
        <f t="shared" si="16"/>
        <v>0</v>
      </c>
      <c r="AC59" s="52">
        <f t="shared" si="16"/>
        <v>168716.2</v>
      </c>
    </row>
    <row r="60" spans="1:29" ht="19.5" customHeight="1">
      <c r="A60" s="35"/>
      <c r="B60" s="4"/>
      <c r="C60" s="76" t="s">
        <v>159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8"/>
      <c r="S60" s="59"/>
      <c r="T60" s="53" t="s">
        <v>36</v>
      </c>
      <c r="U60" s="52"/>
      <c r="V60" s="52"/>
      <c r="W60" s="52"/>
      <c r="X60" s="52"/>
      <c r="Y60" s="52"/>
      <c r="Z60" s="52"/>
      <c r="AA60" s="52"/>
      <c r="AB60" s="52"/>
      <c r="AC60" s="52"/>
    </row>
    <row r="61" spans="1:29" ht="12.75">
      <c r="A61" s="35">
        <v>3121</v>
      </c>
      <c r="B61" s="4">
        <v>301</v>
      </c>
      <c r="C61" s="71" t="s">
        <v>6</v>
      </c>
      <c r="D61" s="41">
        <v>5457.969999999999</v>
      </c>
      <c r="E61" s="41">
        <f>65.9+575.5</f>
        <v>641.4</v>
      </c>
      <c r="F61" s="41"/>
      <c r="G61" s="45"/>
      <c r="H61" s="41">
        <f aca="true" t="shared" si="17" ref="H61:H124">D61+E61+F61+G61</f>
        <v>6099.369999999999</v>
      </c>
      <c r="I61" s="41"/>
      <c r="J61" s="51"/>
      <c r="K61" s="41">
        <f>270</f>
        <v>270</v>
      </c>
      <c r="L61" s="41">
        <f aca="true" t="shared" si="18" ref="L61:L124">J61+K61</f>
        <v>270</v>
      </c>
      <c r="M61" s="41"/>
      <c r="N61" s="41">
        <v>405.07</v>
      </c>
      <c r="O61" s="41"/>
      <c r="P61" s="41">
        <f aca="true" t="shared" si="19" ref="P61:P124">N61+O61</f>
        <v>405.07</v>
      </c>
      <c r="Q61" s="41"/>
      <c r="R61" s="35">
        <v>3121</v>
      </c>
      <c r="S61" s="4">
        <v>301</v>
      </c>
      <c r="T61" s="71" t="s">
        <v>6</v>
      </c>
      <c r="U61" s="41">
        <v>19025</v>
      </c>
      <c r="V61" s="41">
        <f>-1075-2010-2709.1-10230.9</f>
        <v>-16025</v>
      </c>
      <c r="W61" s="41"/>
      <c r="X61" s="41">
        <f aca="true" t="shared" si="20" ref="X61:X124">SUM(U61:W61)</f>
        <v>3000</v>
      </c>
      <c r="Y61" s="41"/>
      <c r="Z61" s="41"/>
      <c r="AA61" s="41"/>
      <c r="AB61" s="41"/>
      <c r="AC61" s="41">
        <f aca="true" t="shared" si="21" ref="AC61:AC124">SUM(Z61:AB61)</f>
        <v>0</v>
      </c>
    </row>
    <row r="62" spans="1:29" ht="12.75">
      <c r="A62" s="35">
        <v>3121</v>
      </c>
      <c r="B62" s="4">
        <v>302</v>
      </c>
      <c r="C62" s="71" t="s">
        <v>85</v>
      </c>
      <c r="D62" s="41">
        <v>7057.79</v>
      </c>
      <c r="E62" s="41">
        <f>189+401.4</f>
        <v>590.4</v>
      </c>
      <c r="F62" s="41"/>
      <c r="G62" s="45"/>
      <c r="H62" s="41">
        <f t="shared" si="17"/>
        <v>7648.19</v>
      </c>
      <c r="I62" s="41"/>
      <c r="J62" s="51"/>
      <c r="K62" s="41">
        <f>344</f>
        <v>344</v>
      </c>
      <c r="L62" s="41">
        <f t="shared" si="18"/>
        <v>344</v>
      </c>
      <c r="M62" s="41"/>
      <c r="N62" s="41">
        <v>293.84000000000003</v>
      </c>
      <c r="O62" s="41"/>
      <c r="P62" s="41">
        <f t="shared" si="19"/>
        <v>293.84000000000003</v>
      </c>
      <c r="Q62" s="41"/>
      <c r="R62" s="35">
        <v>3121</v>
      </c>
      <c r="S62" s="4">
        <v>302</v>
      </c>
      <c r="T62" s="71" t="s">
        <v>85</v>
      </c>
      <c r="U62" s="41">
        <v>350</v>
      </c>
      <c r="V62" s="41">
        <f>80</f>
        <v>80</v>
      </c>
      <c r="W62" s="41"/>
      <c r="X62" s="41">
        <f t="shared" si="20"/>
        <v>430</v>
      </c>
      <c r="Y62" s="41"/>
      <c r="Z62" s="41">
        <v>2741</v>
      </c>
      <c r="AA62" s="41">
        <f>200+5000</f>
        <v>5200</v>
      </c>
      <c r="AB62" s="41"/>
      <c r="AC62" s="41">
        <f t="shared" si="21"/>
        <v>7941</v>
      </c>
    </row>
    <row r="63" spans="1:29" ht="12.75">
      <c r="A63" s="35">
        <v>3127</v>
      </c>
      <c r="B63" s="4">
        <v>303</v>
      </c>
      <c r="C63" s="71" t="s">
        <v>125</v>
      </c>
      <c r="D63" s="41">
        <v>7112.42</v>
      </c>
      <c r="E63" s="41">
        <f>49+959.1</f>
        <v>1008.1</v>
      </c>
      <c r="F63" s="41"/>
      <c r="G63" s="45"/>
      <c r="H63" s="41">
        <f t="shared" si="17"/>
        <v>8120.52</v>
      </c>
      <c r="I63" s="41"/>
      <c r="J63" s="51"/>
      <c r="K63" s="41">
        <f>100</f>
        <v>100</v>
      </c>
      <c r="L63" s="41">
        <f t="shared" si="18"/>
        <v>100</v>
      </c>
      <c r="M63" s="41"/>
      <c r="N63" s="41">
        <v>529.81</v>
      </c>
      <c r="O63" s="41"/>
      <c r="P63" s="41">
        <f t="shared" si="19"/>
        <v>529.81</v>
      </c>
      <c r="Q63" s="41"/>
      <c r="R63" s="35">
        <v>3127</v>
      </c>
      <c r="S63" s="4">
        <v>303</v>
      </c>
      <c r="T63" s="71" t="s">
        <v>125</v>
      </c>
      <c r="U63" s="41">
        <v>2500</v>
      </c>
      <c r="V63" s="41">
        <f>1300</f>
        <v>1300</v>
      </c>
      <c r="W63" s="41"/>
      <c r="X63" s="41">
        <f t="shared" si="20"/>
        <v>3800</v>
      </c>
      <c r="Y63" s="41"/>
      <c r="Z63" s="41">
        <v>16300</v>
      </c>
      <c r="AA63" s="41">
        <f>-1300</f>
        <v>-1300</v>
      </c>
      <c r="AB63" s="41"/>
      <c r="AC63" s="41">
        <f t="shared" si="21"/>
        <v>15000</v>
      </c>
    </row>
    <row r="64" spans="1:29" ht="12.75">
      <c r="A64" s="35">
        <v>3122</v>
      </c>
      <c r="B64" s="4">
        <v>305</v>
      </c>
      <c r="C64" s="71" t="s">
        <v>86</v>
      </c>
      <c r="D64" s="41">
        <v>5629.3</v>
      </c>
      <c r="E64" s="41">
        <f>104.65+806.8</f>
        <v>911.4499999999999</v>
      </c>
      <c r="F64" s="41"/>
      <c r="G64" s="45"/>
      <c r="H64" s="41">
        <f t="shared" si="17"/>
        <v>6540.75</v>
      </c>
      <c r="I64" s="41"/>
      <c r="J64" s="51"/>
      <c r="K64" s="41"/>
      <c r="L64" s="41">
        <f t="shared" si="18"/>
        <v>0</v>
      </c>
      <c r="M64" s="41"/>
      <c r="N64" s="41">
        <v>249.68</v>
      </c>
      <c r="O64" s="41"/>
      <c r="P64" s="41">
        <f t="shared" si="19"/>
        <v>249.68</v>
      </c>
      <c r="Q64" s="41"/>
      <c r="R64" s="35">
        <v>3122</v>
      </c>
      <c r="S64" s="4">
        <v>305</v>
      </c>
      <c r="T64" s="71" t="s">
        <v>86</v>
      </c>
      <c r="U64" s="41"/>
      <c r="V64" s="41"/>
      <c r="W64" s="41"/>
      <c r="X64" s="41">
        <f t="shared" si="20"/>
        <v>0</v>
      </c>
      <c r="Y64" s="41"/>
      <c r="Z64" s="41">
        <v>2278</v>
      </c>
      <c r="AA64" s="41"/>
      <c r="AB64" s="41"/>
      <c r="AC64" s="41">
        <f t="shared" si="21"/>
        <v>2278</v>
      </c>
    </row>
    <row r="65" spans="1:29" ht="12.75">
      <c r="A65" s="35">
        <v>3122</v>
      </c>
      <c r="B65" s="4">
        <v>307</v>
      </c>
      <c r="C65" s="71" t="s">
        <v>87</v>
      </c>
      <c r="D65" s="41">
        <v>6803.889999999999</v>
      </c>
      <c r="E65" s="41">
        <f>118.3+689.9</f>
        <v>808.1999999999999</v>
      </c>
      <c r="F65" s="41"/>
      <c r="G65" s="45"/>
      <c r="H65" s="41">
        <f t="shared" si="17"/>
        <v>7612.089999999999</v>
      </c>
      <c r="I65" s="41"/>
      <c r="J65" s="51">
        <v>185</v>
      </c>
      <c r="K65" s="41"/>
      <c r="L65" s="41">
        <f t="shared" si="18"/>
        <v>185</v>
      </c>
      <c r="M65" s="41"/>
      <c r="N65" s="41">
        <v>801.05</v>
      </c>
      <c r="O65" s="41"/>
      <c r="P65" s="41">
        <f t="shared" si="19"/>
        <v>801.05</v>
      </c>
      <c r="Q65" s="41"/>
      <c r="R65" s="35">
        <v>3122</v>
      </c>
      <c r="S65" s="4">
        <v>307</v>
      </c>
      <c r="T65" s="71" t="s">
        <v>87</v>
      </c>
      <c r="U65" s="41"/>
      <c r="V65" s="45"/>
      <c r="W65" s="41"/>
      <c r="X65" s="41">
        <f t="shared" si="20"/>
        <v>0</v>
      </c>
      <c r="Y65" s="41"/>
      <c r="Z65" s="45">
        <v>3954</v>
      </c>
      <c r="AA65" s="45">
        <f>200+2000</f>
        <v>2200</v>
      </c>
      <c r="AB65" s="41"/>
      <c r="AC65" s="41">
        <f t="shared" si="21"/>
        <v>6154</v>
      </c>
    </row>
    <row r="66" spans="1:29" ht="12.75">
      <c r="A66" s="35">
        <v>3127</v>
      </c>
      <c r="B66" s="4">
        <v>308</v>
      </c>
      <c r="C66" s="71" t="s">
        <v>88</v>
      </c>
      <c r="D66" s="41">
        <v>18625.63</v>
      </c>
      <c r="E66" s="41">
        <f>112+1330.3</f>
        <v>1442.3</v>
      </c>
      <c r="F66" s="41"/>
      <c r="G66" s="45"/>
      <c r="H66" s="41">
        <f t="shared" si="17"/>
        <v>20067.93</v>
      </c>
      <c r="I66" s="41"/>
      <c r="J66" s="51"/>
      <c r="K66" s="41">
        <f>240</f>
        <v>240</v>
      </c>
      <c r="L66" s="41">
        <f t="shared" si="18"/>
        <v>240</v>
      </c>
      <c r="M66" s="41"/>
      <c r="N66" s="41">
        <v>1522.32</v>
      </c>
      <c r="O66" s="41"/>
      <c r="P66" s="41">
        <f t="shared" si="19"/>
        <v>1522.32</v>
      </c>
      <c r="Q66" s="41"/>
      <c r="R66" s="35">
        <v>3127</v>
      </c>
      <c r="S66" s="4">
        <v>308</v>
      </c>
      <c r="T66" s="71" t="s">
        <v>88</v>
      </c>
      <c r="U66" s="41">
        <v>1404</v>
      </c>
      <c r="V66" s="41"/>
      <c r="W66" s="41"/>
      <c r="X66" s="41">
        <f t="shared" si="20"/>
        <v>1404</v>
      </c>
      <c r="Y66" s="41"/>
      <c r="Z66" s="41">
        <v>400</v>
      </c>
      <c r="AA66" s="41"/>
      <c r="AB66" s="41"/>
      <c r="AC66" s="41">
        <f t="shared" si="21"/>
        <v>400</v>
      </c>
    </row>
    <row r="67" spans="1:29" ht="12.75">
      <c r="A67" s="35">
        <v>3127</v>
      </c>
      <c r="B67" s="4">
        <v>309</v>
      </c>
      <c r="C67" s="71" t="s">
        <v>39</v>
      </c>
      <c r="D67" s="41">
        <v>11865.98</v>
      </c>
      <c r="E67" s="41">
        <f>210.87+1262.7</f>
        <v>1473.5700000000002</v>
      </c>
      <c r="F67" s="41"/>
      <c r="G67" s="45"/>
      <c r="H67" s="41">
        <f t="shared" si="17"/>
        <v>13339.55</v>
      </c>
      <c r="I67" s="41"/>
      <c r="J67" s="51"/>
      <c r="K67" s="41"/>
      <c r="L67" s="41">
        <f t="shared" si="18"/>
        <v>0</v>
      </c>
      <c r="M67" s="41"/>
      <c r="N67" s="41">
        <v>2341.81</v>
      </c>
      <c r="O67" s="41"/>
      <c r="P67" s="41">
        <f t="shared" si="19"/>
        <v>2341.81</v>
      </c>
      <c r="Q67" s="41"/>
      <c r="R67" s="35">
        <v>3127</v>
      </c>
      <c r="S67" s="4">
        <v>309</v>
      </c>
      <c r="T67" s="71" t="s">
        <v>39</v>
      </c>
      <c r="U67" s="41"/>
      <c r="V67" s="41"/>
      <c r="W67" s="41"/>
      <c r="X67" s="41">
        <f t="shared" si="20"/>
        <v>0</v>
      </c>
      <c r="Y67" s="41"/>
      <c r="Z67" s="41">
        <v>51</v>
      </c>
      <c r="AA67" s="41">
        <f>150+4410</f>
        <v>4560</v>
      </c>
      <c r="AB67" s="41"/>
      <c r="AC67" s="41">
        <f t="shared" si="21"/>
        <v>4611</v>
      </c>
    </row>
    <row r="68" spans="1:29" ht="12.75">
      <c r="A68" s="35">
        <v>3122</v>
      </c>
      <c r="B68" s="4">
        <v>312</v>
      </c>
      <c r="C68" s="71" t="s">
        <v>89</v>
      </c>
      <c r="D68" s="41">
        <v>6802.26</v>
      </c>
      <c r="E68" s="41">
        <f>166+534.6</f>
        <v>700.6</v>
      </c>
      <c r="F68" s="41"/>
      <c r="G68" s="45"/>
      <c r="H68" s="41">
        <f t="shared" si="17"/>
        <v>7502.860000000001</v>
      </c>
      <c r="I68" s="41"/>
      <c r="J68" s="51"/>
      <c r="K68" s="41"/>
      <c r="L68" s="41">
        <f t="shared" si="18"/>
        <v>0</v>
      </c>
      <c r="M68" s="41"/>
      <c r="N68" s="41">
        <v>1336.14</v>
      </c>
      <c r="O68" s="41"/>
      <c r="P68" s="41">
        <f t="shared" si="19"/>
        <v>1336.14</v>
      </c>
      <c r="Q68" s="41"/>
      <c r="R68" s="35">
        <v>3122</v>
      </c>
      <c r="S68" s="4">
        <v>312</v>
      </c>
      <c r="T68" s="71" t="s">
        <v>89</v>
      </c>
      <c r="U68" s="41"/>
      <c r="V68" s="41"/>
      <c r="W68" s="41"/>
      <c r="X68" s="41">
        <f t="shared" si="20"/>
        <v>0</v>
      </c>
      <c r="Y68" s="41"/>
      <c r="Z68" s="41"/>
      <c r="AA68" s="41"/>
      <c r="AB68" s="41"/>
      <c r="AC68" s="41">
        <f t="shared" si="21"/>
        <v>0</v>
      </c>
    </row>
    <row r="69" spans="1:29" ht="12.75">
      <c r="A69" s="35">
        <v>3122</v>
      </c>
      <c r="B69" s="4">
        <v>314</v>
      </c>
      <c r="C69" s="71" t="s">
        <v>90</v>
      </c>
      <c r="D69" s="41">
        <v>9089.27</v>
      </c>
      <c r="E69" s="41">
        <f>187.8+1615.2</f>
        <v>1803</v>
      </c>
      <c r="F69" s="41"/>
      <c r="G69" s="45"/>
      <c r="H69" s="41">
        <f t="shared" si="17"/>
        <v>10892.27</v>
      </c>
      <c r="I69" s="41"/>
      <c r="J69" s="51">
        <v>49.61</v>
      </c>
      <c r="K69" s="41"/>
      <c r="L69" s="41">
        <f t="shared" si="18"/>
        <v>49.61</v>
      </c>
      <c r="M69" s="41"/>
      <c r="N69" s="41">
        <v>1040.53</v>
      </c>
      <c r="O69" s="41"/>
      <c r="P69" s="41">
        <f t="shared" si="19"/>
        <v>1040.53</v>
      </c>
      <c r="Q69" s="41"/>
      <c r="R69" s="35">
        <v>3122</v>
      </c>
      <c r="S69" s="4">
        <v>314</v>
      </c>
      <c r="T69" s="71" t="s">
        <v>90</v>
      </c>
      <c r="U69" s="41"/>
      <c r="V69" s="41"/>
      <c r="W69" s="41"/>
      <c r="X69" s="41">
        <f t="shared" si="20"/>
        <v>0</v>
      </c>
      <c r="Y69" s="41"/>
      <c r="Z69" s="41">
        <v>300</v>
      </c>
      <c r="AA69" s="41"/>
      <c r="AB69" s="41"/>
      <c r="AC69" s="41">
        <f t="shared" si="21"/>
        <v>300</v>
      </c>
    </row>
    <row r="70" spans="1:29" ht="12.75" customHeight="1">
      <c r="A70" s="35">
        <v>3127</v>
      </c>
      <c r="B70" s="5">
        <v>317</v>
      </c>
      <c r="C70" s="72" t="s">
        <v>91</v>
      </c>
      <c r="D70" s="41">
        <v>7980.91</v>
      </c>
      <c r="E70" s="46">
        <f>130+1275.1</f>
        <v>1405.1</v>
      </c>
      <c r="F70" s="46"/>
      <c r="G70" s="54"/>
      <c r="H70" s="41">
        <f t="shared" si="17"/>
        <v>9386.01</v>
      </c>
      <c r="I70" s="46"/>
      <c r="J70" s="51">
        <v>110</v>
      </c>
      <c r="K70" s="46">
        <f>180</f>
        <v>180</v>
      </c>
      <c r="L70" s="41">
        <f t="shared" si="18"/>
        <v>290</v>
      </c>
      <c r="M70" s="46"/>
      <c r="N70" s="41">
        <v>1087.78</v>
      </c>
      <c r="O70" s="46"/>
      <c r="P70" s="41">
        <f t="shared" si="19"/>
        <v>1087.78</v>
      </c>
      <c r="Q70" s="46"/>
      <c r="R70" s="35">
        <v>3127</v>
      </c>
      <c r="S70" s="5">
        <v>317</v>
      </c>
      <c r="T70" s="72" t="s">
        <v>91</v>
      </c>
      <c r="U70" s="46"/>
      <c r="V70" s="46"/>
      <c r="W70" s="46"/>
      <c r="X70" s="41">
        <f t="shared" si="20"/>
        <v>0</v>
      </c>
      <c r="Y70" s="46"/>
      <c r="Z70" s="46"/>
      <c r="AA70" s="46">
        <f>600+474</f>
        <v>1074</v>
      </c>
      <c r="AB70" s="46"/>
      <c r="AC70" s="41">
        <f t="shared" si="21"/>
        <v>1074</v>
      </c>
    </row>
    <row r="71" spans="1:29" ht="12.75">
      <c r="A71" s="35">
        <v>3127</v>
      </c>
      <c r="B71" s="4">
        <v>318</v>
      </c>
      <c r="C71" s="71" t="s">
        <v>92</v>
      </c>
      <c r="D71" s="41">
        <v>13209.29</v>
      </c>
      <c r="E71" s="41">
        <f>102+1540.6</f>
        <v>1642.6</v>
      </c>
      <c r="F71" s="41"/>
      <c r="G71" s="45"/>
      <c r="H71" s="41">
        <f t="shared" si="17"/>
        <v>14851.890000000001</v>
      </c>
      <c r="I71" s="41"/>
      <c r="J71" s="51"/>
      <c r="K71" s="41"/>
      <c r="L71" s="41">
        <f t="shared" si="18"/>
        <v>0</v>
      </c>
      <c r="M71" s="41"/>
      <c r="N71" s="41">
        <v>897.27</v>
      </c>
      <c r="O71" s="41"/>
      <c r="P71" s="41">
        <f t="shared" si="19"/>
        <v>897.27</v>
      </c>
      <c r="Q71" s="41"/>
      <c r="R71" s="35">
        <v>3127</v>
      </c>
      <c r="S71" s="4">
        <v>318</v>
      </c>
      <c r="T71" s="71" t="s">
        <v>92</v>
      </c>
      <c r="U71" s="41"/>
      <c r="V71" s="41"/>
      <c r="W71" s="41"/>
      <c r="X71" s="41">
        <f t="shared" si="20"/>
        <v>0</v>
      </c>
      <c r="Y71" s="41"/>
      <c r="Z71" s="41">
        <v>700</v>
      </c>
      <c r="AA71" s="41"/>
      <c r="AB71" s="41"/>
      <c r="AC71" s="41">
        <f t="shared" si="21"/>
        <v>700</v>
      </c>
    </row>
    <row r="72" spans="1:29" ht="12.75">
      <c r="A72" s="35">
        <v>3124</v>
      </c>
      <c r="B72" s="4">
        <v>319</v>
      </c>
      <c r="C72" s="71" t="s">
        <v>93</v>
      </c>
      <c r="D72" s="41">
        <v>7914.69</v>
      </c>
      <c r="E72" s="41">
        <f>194.5+332.1</f>
        <v>526.6</v>
      </c>
      <c r="F72" s="41"/>
      <c r="G72" s="45"/>
      <c r="H72" s="41">
        <f t="shared" si="17"/>
        <v>8441.289999999999</v>
      </c>
      <c r="I72" s="41"/>
      <c r="J72" s="51"/>
      <c r="K72" s="41">
        <f>350</f>
        <v>350</v>
      </c>
      <c r="L72" s="41">
        <f t="shared" si="18"/>
        <v>350</v>
      </c>
      <c r="M72" s="41"/>
      <c r="N72" s="41">
        <v>1483.6999999999998</v>
      </c>
      <c r="O72" s="41"/>
      <c r="P72" s="41">
        <f t="shared" si="19"/>
        <v>1483.6999999999998</v>
      </c>
      <c r="Q72" s="41"/>
      <c r="R72" s="35">
        <v>3124</v>
      </c>
      <c r="S72" s="4">
        <v>319</v>
      </c>
      <c r="T72" s="71" t="s">
        <v>93</v>
      </c>
      <c r="U72" s="41"/>
      <c r="V72" s="41">
        <f>2000</f>
        <v>2000</v>
      </c>
      <c r="W72" s="41"/>
      <c r="X72" s="41">
        <f t="shared" si="20"/>
        <v>2000</v>
      </c>
      <c r="Y72" s="41"/>
      <c r="Z72" s="41"/>
      <c r="AA72" s="41"/>
      <c r="AB72" s="41"/>
      <c r="AC72" s="41">
        <f t="shared" si="21"/>
        <v>0</v>
      </c>
    </row>
    <row r="73" spans="1:29" ht="12.75">
      <c r="A73" s="35">
        <v>3114</v>
      </c>
      <c r="B73" s="4">
        <v>320</v>
      </c>
      <c r="C73" s="71" t="s">
        <v>94</v>
      </c>
      <c r="D73" s="41">
        <v>6260.91</v>
      </c>
      <c r="E73" s="41">
        <f>36+614</f>
        <v>650</v>
      </c>
      <c r="F73" s="41"/>
      <c r="G73" s="45"/>
      <c r="H73" s="41">
        <f t="shared" si="17"/>
        <v>6910.91</v>
      </c>
      <c r="I73" s="41"/>
      <c r="J73" s="51"/>
      <c r="K73" s="41"/>
      <c r="L73" s="41">
        <f t="shared" si="18"/>
        <v>0</v>
      </c>
      <c r="M73" s="41"/>
      <c r="N73" s="41">
        <v>606.54</v>
      </c>
      <c r="O73" s="41"/>
      <c r="P73" s="41">
        <f t="shared" si="19"/>
        <v>606.54</v>
      </c>
      <c r="Q73" s="41"/>
      <c r="R73" s="35">
        <v>3114</v>
      </c>
      <c r="S73" s="4">
        <v>320</v>
      </c>
      <c r="T73" s="71" t="s">
        <v>94</v>
      </c>
      <c r="U73" s="41"/>
      <c r="V73" s="41"/>
      <c r="W73" s="41"/>
      <c r="X73" s="41">
        <f t="shared" si="20"/>
        <v>0</v>
      </c>
      <c r="Y73" s="41"/>
      <c r="Z73" s="41">
        <v>3500</v>
      </c>
      <c r="AA73" s="41">
        <f>500</f>
        <v>500</v>
      </c>
      <c r="AB73" s="41"/>
      <c r="AC73" s="41">
        <f t="shared" si="21"/>
        <v>4000</v>
      </c>
    </row>
    <row r="74" spans="1:29" ht="12.75">
      <c r="A74" s="35">
        <v>3114</v>
      </c>
      <c r="B74" s="4">
        <v>321</v>
      </c>
      <c r="C74" s="71" t="s">
        <v>84</v>
      </c>
      <c r="D74" s="41">
        <v>10863.7</v>
      </c>
      <c r="E74" s="41">
        <f>100+893.96</f>
        <v>993.96</v>
      </c>
      <c r="F74" s="41"/>
      <c r="G74" s="45"/>
      <c r="H74" s="41">
        <f t="shared" si="17"/>
        <v>11857.66</v>
      </c>
      <c r="I74" s="41"/>
      <c r="J74" s="51"/>
      <c r="K74" s="41">
        <f>350</f>
        <v>350</v>
      </c>
      <c r="L74" s="41">
        <f t="shared" si="18"/>
        <v>350</v>
      </c>
      <c r="M74" s="41"/>
      <c r="N74" s="41">
        <v>1230.05</v>
      </c>
      <c r="O74" s="41">
        <f>9.26</f>
        <v>9.26</v>
      </c>
      <c r="P74" s="41">
        <f t="shared" si="19"/>
        <v>1239.31</v>
      </c>
      <c r="Q74" s="41"/>
      <c r="R74" s="35">
        <v>3114</v>
      </c>
      <c r="S74" s="4">
        <v>321</v>
      </c>
      <c r="T74" s="71" t="s">
        <v>84</v>
      </c>
      <c r="U74" s="41">
        <v>500</v>
      </c>
      <c r="V74" s="41">
        <f>-500</f>
        <v>-500</v>
      </c>
      <c r="W74" s="41"/>
      <c r="X74" s="41">
        <f t="shared" si="20"/>
        <v>0</v>
      </c>
      <c r="Y74" s="41"/>
      <c r="Z74" s="41"/>
      <c r="AA74" s="41"/>
      <c r="AB74" s="41"/>
      <c r="AC74" s="41">
        <f t="shared" si="21"/>
        <v>0</v>
      </c>
    </row>
    <row r="75" spans="1:29" ht="12.75">
      <c r="A75" s="35">
        <v>3133</v>
      </c>
      <c r="B75" s="4">
        <v>322</v>
      </c>
      <c r="C75" s="71" t="s">
        <v>41</v>
      </c>
      <c r="D75" s="41">
        <v>4894.25</v>
      </c>
      <c r="E75" s="41">
        <f>52.56</f>
        <v>52.56</v>
      </c>
      <c r="F75" s="41"/>
      <c r="G75" s="45"/>
      <c r="H75" s="41">
        <f t="shared" si="17"/>
        <v>4946.81</v>
      </c>
      <c r="I75" s="41"/>
      <c r="J75" s="51"/>
      <c r="K75" s="41"/>
      <c r="L75" s="41">
        <f t="shared" si="18"/>
        <v>0</v>
      </c>
      <c r="M75" s="41"/>
      <c r="N75" s="41">
        <v>232.24</v>
      </c>
      <c r="O75" s="41"/>
      <c r="P75" s="41">
        <f t="shared" si="19"/>
        <v>232.24</v>
      </c>
      <c r="Q75" s="41"/>
      <c r="R75" s="35">
        <v>3133</v>
      </c>
      <c r="S75" s="4">
        <v>322</v>
      </c>
      <c r="T75" s="71" t="s">
        <v>41</v>
      </c>
      <c r="U75" s="41"/>
      <c r="V75" s="45"/>
      <c r="W75" s="41"/>
      <c r="X75" s="41">
        <f t="shared" si="20"/>
        <v>0</v>
      </c>
      <c r="Y75" s="41"/>
      <c r="Z75" s="41"/>
      <c r="AA75" s="41"/>
      <c r="AB75" s="41"/>
      <c r="AC75" s="41">
        <f t="shared" si="21"/>
        <v>0</v>
      </c>
    </row>
    <row r="76" spans="1:29" ht="12.75">
      <c r="A76" s="35">
        <v>3114</v>
      </c>
      <c r="B76" s="4">
        <v>325</v>
      </c>
      <c r="C76" s="71" t="s">
        <v>95</v>
      </c>
      <c r="D76" s="41">
        <v>1380.73</v>
      </c>
      <c r="E76" s="41">
        <f>28+24.4</f>
        <v>52.4</v>
      </c>
      <c r="F76" s="41"/>
      <c r="G76" s="45"/>
      <c r="H76" s="41">
        <f t="shared" si="17"/>
        <v>1433.13</v>
      </c>
      <c r="I76" s="41"/>
      <c r="J76" s="51"/>
      <c r="K76" s="41"/>
      <c r="L76" s="41">
        <f t="shared" si="18"/>
        <v>0</v>
      </c>
      <c r="M76" s="41"/>
      <c r="N76" s="41">
        <v>17.85</v>
      </c>
      <c r="O76" s="41"/>
      <c r="P76" s="41">
        <f t="shared" si="19"/>
        <v>17.85</v>
      </c>
      <c r="Q76" s="41"/>
      <c r="R76" s="35">
        <v>3114</v>
      </c>
      <c r="S76" s="4">
        <v>325</v>
      </c>
      <c r="T76" s="71" t="s">
        <v>95</v>
      </c>
      <c r="U76" s="41"/>
      <c r="V76" s="41"/>
      <c r="W76" s="41"/>
      <c r="X76" s="41">
        <f t="shared" si="20"/>
        <v>0</v>
      </c>
      <c r="Y76" s="41"/>
      <c r="Z76" s="41"/>
      <c r="AA76" s="41"/>
      <c r="AB76" s="41"/>
      <c r="AC76" s="41">
        <f t="shared" si="21"/>
        <v>0</v>
      </c>
    </row>
    <row r="77" spans="1:29" ht="12.75" customHeight="1">
      <c r="A77" s="35">
        <v>3114</v>
      </c>
      <c r="B77" s="4">
        <v>327</v>
      </c>
      <c r="C77" s="71" t="s">
        <v>96</v>
      </c>
      <c r="D77" s="41">
        <v>484.47</v>
      </c>
      <c r="E77" s="41">
        <f>81.22+25</f>
        <v>106.22</v>
      </c>
      <c r="F77" s="41"/>
      <c r="G77" s="45"/>
      <c r="H77" s="41">
        <f t="shared" si="17"/>
        <v>590.69</v>
      </c>
      <c r="I77" s="41"/>
      <c r="J77" s="51"/>
      <c r="K77" s="41"/>
      <c r="L77" s="41">
        <f t="shared" si="18"/>
        <v>0</v>
      </c>
      <c r="M77" s="41"/>
      <c r="N77" s="41">
        <v>0.3</v>
      </c>
      <c r="O77" s="41"/>
      <c r="P77" s="41">
        <f t="shared" si="19"/>
        <v>0.3</v>
      </c>
      <c r="Q77" s="41"/>
      <c r="R77" s="35">
        <v>3114</v>
      </c>
      <c r="S77" s="4">
        <v>327</v>
      </c>
      <c r="T77" s="71" t="s">
        <v>96</v>
      </c>
      <c r="U77" s="41"/>
      <c r="V77" s="41"/>
      <c r="W77" s="41"/>
      <c r="X77" s="41">
        <f t="shared" si="20"/>
        <v>0</v>
      </c>
      <c r="Y77" s="41"/>
      <c r="Z77" s="41"/>
      <c r="AA77" s="41"/>
      <c r="AB77" s="41"/>
      <c r="AC77" s="41">
        <f t="shared" si="21"/>
        <v>0</v>
      </c>
    </row>
    <row r="78" spans="1:29" ht="12.75" customHeight="1">
      <c r="A78" s="35">
        <v>3147</v>
      </c>
      <c r="B78" s="4">
        <v>332</v>
      </c>
      <c r="C78" s="71" t="s">
        <v>42</v>
      </c>
      <c r="D78" s="41">
        <v>6402.37</v>
      </c>
      <c r="E78" s="41">
        <f>75+572.6</f>
        <v>647.6</v>
      </c>
      <c r="F78" s="41"/>
      <c r="G78" s="60"/>
      <c r="H78" s="41">
        <f t="shared" si="17"/>
        <v>7049.97</v>
      </c>
      <c r="I78" s="41"/>
      <c r="J78" s="51"/>
      <c r="K78" s="41">
        <f>220</f>
        <v>220</v>
      </c>
      <c r="L78" s="41">
        <f t="shared" si="18"/>
        <v>220</v>
      </c>
      <c r="M78" s="41"/>
      <c r="N78" s="41">
        <v>1131.01</v>
      </c>
      <c r="O78" s="41"/>
      <c r="P78" s="41">
        <f t="shared" si="19"/>
        <v>1131.01</v>
      </c>
      <c r="Q78" s="41"/>
      <c r="R78" s="35">
        <v>3147</v>
      </c>
      <c r="S78" s="4">
        <v>332</v>
      </c>
      <c r="T78" s="71" t="s">
        <v>42</v>
      </c>
      <c r="U78" s="41"/>
      <c r="V78" s="41"/>
      <c r="W78" s="41"/>
      <c r="X78" s="41">
        <f t="shared" si="20"/>
        <v>0</v>
      </c>
      <c r="Y78" s="41"/>
      <c r="Z78" s="45">
        <v>4000</v>
      </c>
      <c r="AA78" s="45"/>
      <c r="AB78" s="41"/>
      <c r="AC78" s="41">
        <f t="shared" si="21"/>
        <v>4000</v>
      </c>
    </row>
    <row r="79" spans="1:29" ht="12.75">
      <c r="A79" s="35">
        <v>3141</v>
      </c>
      <c r="B79" s="4">
        <v>335</v>
      </c>
      <c r="C79" s="71" t="s">
        <v>40</v>
      </c>
      <c r="D79" s="41">
        <v>3115.06</v>
      </c>
      <c r="E79" s="41"/>
      <c r="F79" s="41"/>
      <c r="G79" s="45"/>
      <c r="H79" s="41">
        <f t="shared" si="17"/>
        <v>3115.06</v>
      </c>
      <c r="I79" s="41"/>
      <c r="J79" s="51"/>
      <c r="K79" s="42"/>
      <c r="L79" s="41">
        <f t="shared" si="18"/>
        <v>0</v>
      </c>
      <c r="M79" s="41"/>
      <c r="N79" s="41">
        <v>749.2199999999999</v>
      </c>
      <c r="O79" s="41"/>
      <c r="P79" s="41">
        <f t="shared" si="19"/>
        <v>749.2199999999999</v>
      </c>
      <c r="Q79" s="41"/>
      <c r="R79" s="35">
        <v>3141</v>
      </c>
      <c r="S79" s="4">
        <v>335</v>
      </c>
      <c r="T79" s="71" t="s">
        <v>40</v>
      </c>
      <c r="U79" s="41"/>
      <c r="V79" s="41"/>
      <c r="W79" s="41"/>
      <c r="X79" s="41">
        <f t="shared" si="20"/>
        <v>0</v>
      </c>
      <c r="Y79" s="41"/>
      <c r="Z79" s="41"/>
      <c r="AA79" s="41"/>
      <c r="AB79" s="41"/>
      <c r="AC79" s="41">
        <f t="shared" si="21"/>
        <v>0</v>
      </c>
    </row>
    <row r="80" spans="1:29" ht="12.75">
      <c r="A80" s="35">
        <v>3121</v>
      </c>
      <c r="B80" s="4">
        <v>338</v>
      </c>
      <c r="C80" s="71" t="s">
        <v>7</v>
      </c>
      <c r="D80" s="41">
        <v>3588.88</v>
      </c>
      <c r="E80" s="41">
        <f>99+459.9</f>
        <v>558.9</v>
      </c>
      <c r="F80" s="41"/>
      <c r="G80" s="45"/>
      <c r="H80" s="41">
        <f t="shared" si="17"/>
        <v>4147.78</v>
      </c>
      <c r="I80" s="41"/>
      <c r="J80" s="51"/>
      <c r="K80" s="41">
        <f>90</f>
        <v>90</v>
      </c>
      <c r="L80" s="41">
        <f t="shared" si="18"/>
        <v>90</v>
      </c>
      <c r="M80" s="41"/>
      <c r="N80" s="41">
        <v>120.46</v>
      </c>
      <c r="O80" s="41"/>
      <c r="P80" s="41">
        <f t="shared" si="19"/>
        <v>120.46</v>
      </c>
      <c r="Q80" s="41"/>
      <c r="R80" s="35">
        <v>3121</v>
      </c>
      <c r="S80" s="4">
        <v>338</v>
      </c>
      <c r="T80" s="71" t="s">
        <v>7</v>
      </c>
      <c r="U80" s="41"/>
      <c r="V80" s="45"/>
      <c r="W80" s="41"/>
      <c r="X80" s="41">
        <f t="shared" si="20"/>
        <v>0</v>
      </c>
      <c r="Y80" s="41"/>
      <c r="Z80" s="41">
        <v>3315</v>
      </c>
      <c r="AA80" s="41">
        <f>300</f>
        <v>300</v>
      </c>
      <c r="AB80" s="41"/>
      <c r="AC80" s="41">
        <f t="shared" si="21"/>
        <v>3615</v>
      </c>
    </row>
    <row r="81" spans="1:29" ht="12.75">
      <c r="A81" s="35">
        <v>3121</v>
      </c>
      <c r="B81" s="4">
        <v>339</v>
      </c>
      <c r="C81" s="71" t="s">
        <v>97</v>
      </c>
      <c r="D81" s="41">
        <v>4033.61</v>
      </c>
      <c r="E81" s="41">
        <f>52.6+566.24</f>
        <v>618.84</v>
      </c>
      <c r="F81" s="41"/>
      <c r="G81" s="45"/>
      <c r="H81" s="41">
        <f t="shared" si="17"/>
        <v>4652.45</v>
      </c>
      <c r="I81" s="41"/>
      <c r="J81" s="51"/>
      <c r="K81" s="41"/>
      <c r="L81" s="41">
        <f t="shared" si="18"/>
        <v>0</v>
      </c>
      <c r="M81" s="41"/>
      <c r="N81" s="41">
        <v>197.69</v>
      </c>
      <c r="O81" s="41"/>
      <c r="P81" s="41">
        <f t="shared" si="19"/>
        <v>197.69</v>
      </c>
      <c r="Q81" s="41"/>
      <c r="R81" s="35">
        <v>3121</v>
      </c>
      <c r="S81" s="4">
        <v>339</v>
      </c>
      <c r="T81" s="71" t="s">
        <v>97</v>
      </c>
      <c r="U81" s="41"/>
      <c r="V81" s="45"/>
      <c r="W81" s="41"/>
      <c r="X81" s="41">
        <f t="shared" si="20"/>
        <v>0</v>
      </c>
      <c r="Y81" s="41"/>
      <c r="Z81" s="41"/>
      <c r="AA81" s="41"/>
      <c r="AB81" s="41"/>
      <c r="AC81" s="41">
        <f t="shared" si="21"/>
        <v>0</v>
      </c>
    </row>
    <row r="82" spans="1:29" ht="12.75">
      <c r="A82" s="35">
        <v>3121</v>
      </c>
      <c r="B82" s="4">
        <v>340</v>
      </c>
      <c r="C82" s="71" t="s">
        <v>8</v>
      </c>
      <c r="D82" s="41">
        <v>6258.61</v>
      </c>
      <c r="E82" s="41">
        <f>148+896.14</f>
        <v>1044.1399999999999</v>
      </c>
      <c r="F82" s="41"/>
      <c r="G82" s="45"/>
      <c r="H82" s="41">
        <f t="shared" si="17"/>
        <v>7302.75</v>
      </c>
      <c r="I82" s="41"/>
      <c r="J82" s="51"/>
      <c r="K82" s="41"/>
      <c r="L82" s="41">
        <f t="shared" si="18"/>
        <v>0</v>
      </c>
      <c r="M82" s="41"/>
      <c r="N82" s="41">
        <v>467.97999999999996</v>
      </c>
      <c r="O82" s="41"/>
      <c r="P82" s="41">
        <f t="shared" si="19"/>
        <v>467.97999999999996</v>
      </c>
      <c r="Q82" s="41"/>
      <c r="R82" s="35">
        <v>3121</v>
      </c>
      <c r="S82" s="4">
        <v>340</v>
      </c>
      <c r="T82" s="71" t="s">
        <v>8</v>
      </c>
      <c r="U82" s="41">
        <v>150</v>
      </c>
      <c r="V82" s="45">
        <f>1000</f>
        <v>1000</v>
      </c>
      <c r="W82" s="41"/>
      <c r="X82" s="41">
        <f t="shared" si="20"/>
        <v>1150</v>
      </c>
      <c r="Y82" s="41"/>
      <c r="Z82" s="41"/>
      <c r="AA82" s="41"/>
      <c r="AB82" s="41"/>
      <c r="AC82" s="41">
        <f t="shared" si="21"/>
        <v>0</v>
      </c>
    </row>
    <row r="83" spans="1:29" ht="12.75">
      <c r="A83" s="35">
        <v>3127</v>
      </c>
      <c r="B83" s="4">
        <v>345</v>
      </c>
      <c r="C83" s="71" t="s">
        <v>121</v>
      </c>
      <c r="D83" s="41">
        <v>30048.89</v>
      </c>
      <c r="E83" s="41">
        <f>67.5+1423.4+12</f>
        <v>1502.9</v>
      </c>
      <c r="F83" s="41"/>
      <c r="G83" s="45"/>
      <c r="H83" s="41">
        <f t="shared" si="17"/>
        <v>31551.79</v>
      </c>
      <c r="I83" s="41"/>
      <c r="J83" s="51">
        <v>48</v>
      </c>
      <c r="K83" s="41">
        <f>90</f>
        <v>90</v>
      </c>
      <c r="L83" s="41">
        <f t="shared" si="18"/>
        <v>138</v>
      </c>
      <c r="M83" s="41"/>
      <c r="N83" s="41">
        <v>2326.1</v>
      </c>
      <c r="O83" s="41"/>
      <c r="P83" s="41">
        <f t="shared" si="19"/>
        <v>2326.1</v>
      </c>
      <c r="Q83" s="41"/>
      <c r="R83" s="35">
        <v>3127</v>
      </c>
      <c r="S83" s="4">
        <v>345</v>
      </c>
      <c r="T83" s="71" t="s">
        <v>121</v>
      </c>
      <c r="U83" s="41"/>
      <c r="V83" s="41"/>
      <c r="W83" s="41"/>
      <c r="X83" s="41">
        <f t="shared" si="20"/>
        <v>0</v>
      </c>
      <c r="Y83" s="41"/>
      <c r="Z83" s="41">
        <v>9769</v>
      </c>
      <c r="AA83" s="41"/>
      <c r="AB83" s="41"/>
      <c r="AC83" s="41">
        <f t="shared" si="21"/>
        <v>9769</v>
      </c>
    </row>
    <row r="84" spans="1:29" ht="12.75">
      <c r="A84" s="35">
        <v>3114</v>
      </c>
      <c r="B84" s="4">
        <v>346</v>
      </c>
      <c r="C84" s="71" t="s">
        <v>98</v>
      </c>
      <c r="D84" s="41">
        <v>4596.12</v>
      </c>
      <c r="E84" s="41">
        <f>54+232.88</f>
        <v>286.88</v>
      </c>
      <c r="F84" s="41"/>
      <c r="G84" s="45"/>
      <c r="H84" s="41">
        <f t="shared" si="17"/>
        <v>4883</v>
      </c>
      <c r="I84" s="41"/>
      <c r="J84" s="51"/>
      <c r="K84" s="41">
        <f>70</f>
        <v>70</v>
      </c>
      <c r="L84" s="41">
        <f t="shared" si="18"/>
        <v>70</v>
      </c>
      <c r="M84" s="41"/>
      <c r="N84" s="41">
        <v>334.19</v>
      </c>
      <c r="O84" s="41"/>
      <c r="P84" s="41">
        <f t="shared" si="19"/>
        <v>334.19</v>
      </c>
      <c r="Q84" s="41"/>
      <c r="R84" s="35">
        <v>3114</v>
      </c>
      <c r="S84" s="4">
        <v>346</v>
      </c>
      <c r="T84" s="71" t="s">
        <v>98</v>
      </c>
      <c r="U84" s="41"/>
      <c r="V84" s="41"/>
      <c r="W84" s="41"/>
      <c r="X84" s="41">
        <f t="shared" si="20"/>
        <v>0</v>
      </c>
      <c r="Y84" s="41"/>
      <c r="Z84" s="41">
        <v>1930</v>
      </c>
      <c r="AA84" s="41"/>
      <c r="AB84" s="41"/>
      <c r="AC84" s="41">
        <f t="shared" si="21"/>
        <v>1930</v>
      </c>
    </row>
    <row r="85" spans="1:29" ht="12.75" customHeight="1">
      <c r="A85" s="35">
        <v>3114</v>
      </c>
      <c r="B85" s="4">
        <v>347</v>
      </c>
      <c r="C85" s="72" t="s">
        <v>99</v>
      </c>
      <c r="D85" s="41">
        <v>2251.02</v>
      </c>
      <c r="E85" s="41">
        <f>16</f>
        <v>16</v>
      </c>
      <c r="F85" s="41"/>
      <c r="G85" s="45"/>
      <c r="H85" s="41">
        <f t="shared" si="17"/>
        <v>2267.02</v>
      </c>
      <c r="I85" s="41"/>
      <c r="J85" s="51"/>
      <c r="K85" s="41"/>
      <c r="L85" s="41">
        <f t="shared" si="18"/>
        <v>0</v>
      </c>
      <c r="M85" s="41"/>
      <c r="N85" s="41">
        <v>166.23999999999998</v>
      </c>
      <c r="O85" s="41"/>
      <c r="P85" s="41">
        <f t="shared" si="19"/>
        <v>166.23999999999998</v>
      </c>
      <c r="Q85" s="41"/>
      <c r="R85" s="35">
        <v>3114</v>
      </c>
      <c r="S85" s="4">
        <v>347</v>
      </c>
      <c r="T85" s="72" t="s">
        <v>99</v>
      </c>
      <c r="U85" s="41"/>
      <c r="V85" s="41"/>
      <c r="W85" s="41"/>
      <c r="X85" s="41">
        <f t="shared" si="20"/>
        <v>0</v>
      </c>
      <c r="Y85" s="41"/>
      <c r="Z85" s="41"/>
      <c r="AA85" s="41"/>
      <c r="AB85" s="41"/>
      <c r="AC85" s="41">
        <f t="shared" si="21"/>
        <v>0</v>
      </c>
    </row>
    <row r="86" spans="1:29" ht="12.75">
      <c r="A86" s="35">
        <v>3133</v>
      </c>
      <c r="B86" s="4">
        <v>349</v>
      </c>
      <c r="C86" s="71" t="s">
        <v>43</v>
      </c>
      <c r="D86" s="41">
        <v>7905.92</v>
      </c>
      <c r="E86" s="41">
        <f>366.8</f>
        <v>366.8</v>
      </c>
      <c r="F86" s="41"/>
      <c r="G86" s="45"/>
      <c r="H86" s="41">
        <f t="shared" si="17"/>
        <v>8272.72</v>
      </c>
      <c r="I86" s="41"/>
      <c r="J86" s="51"/>
      <c r="K86" s="41"/>
      <c r="L86" s="41">
        <f t="shared" si="18"/>
        <v>0</v>
      </c>
      <c r="M86" s="41"/>
      <c r="N86" s="41">
        <v>445.22</v>
      </c>
      <c r="O86" s="41"/>
      <c r="P86" s="41">
        <f t="shared" si="19"/>
        <v>445.22</v>
      </c>
      <c r="Q86" s="41"/>
      <c r="R86" s="35">
        <v>3133</v>
      </c>
      <c r="S86" s="4">
        <v>349</v>
      </c>
      <c r="T86" s="71" t="s">
        <v>43</v>
      </c>
      <c r="U86" s="41"/>
      <c r="V86" s="41"/>
      <c r="W86" s="41"/>
      <c r="X86" s="41">
        <f t="shared" si="20"/>
        <v>0</v>
      </c>
      <c r="Y86" s="41"/>
      <c r="Z86" s="41"/>
      <c r="AA86" s="41">
        <f>250</f>
        <v>250</v>
      </c>
      <c r="AB86" s="41"/>
      <c r="AC86" s="41">
        <f t="shared" si="21"/>
        <v>250</v>
      </c>
    </row>
    <row r="87" spans="1:29" ht="25.5" customHeight="1">
      <c r="A87" s="35">
        <v>3294</v>
      </c>
      <c r="B87" s="1">
        <v>352</v>
      </c>
      <c r="C87" s="85" t="s">
        <v>168</v>
      </c>
      <c r="D87" s="41">
        <v>9474.58</v>
      </c>
      <c r="E87" s="45"/>
      <c r="F87" s="41"/>
      <c r="G87" s="45">
        <f>88.56</f>
        <v>88.56</v>
      </c>
      <c r="H87" s="41">
        <f t="shared" si="17"/>
        <v>9563.14</v>
      </c>
      <c r="I87" s="41"/>
      <c r="J87" s="51"/>
      <c r="K87" s="41"/>
      <c r="L87" s="41">
        <f t="shared" si="18"/>
        <v>0</v>
      </c>
      <c r="M87" s="41"/>
      <c r="N87" s="41">
        <v>11.21</v>
      </c>
      <c r="O87" s="41"/>
      <c r="P87" s="41">
        <f t="shared" si="19"/>
        <v>11.21</v>
      </c>
      <c r="Q87" s="41"/>
      <c r="R87" s="35">
        <v>3294</v>
      </c>
      <c r="S87" s="1">
        <v>352</v>
      </c>
      <c r="T87" s="85" t="s">
        <v>160</v>
      </c>
      <c r="U87" s="41"/>
      <c r="V87" s="41"/>
      <c r="W87" s="41"/>
      <c r="X87" s="41">
        <f t="shared" si="20"/>
        <v>0</v>
      </c>
      <c r="Y87" s="41"/>
      <c r="Z87" s="41"/>
      <c r="AA87" s="41"/>
      <c r="AB87" s="41"/>
      <c r="AC87" s="41">
        <f t="shared" si="21"/>
        <v>0</v>
      </c>
    </row>
    <row r="88" spans="1:29" ht="12.75">
      <c r="A88" s="35">
        <v>3114</v>
      </c>
      <c r="B88" s="4">
        <v>358</v>
      </c>
      <c r="C88" s="71" t="s">
        <v>122</v>
      </c>
      <c r="D88" s="41">
        <v>1705.04</v>
      </c>
      <c r="E88" s="41">
        <f>31.51+189.9</f>
        <v>221.41</v>
      </c>
      <c r="F88" s="41"/>
      <c r="G88" s="45"/>
      <c r="H88" s="41">
        <f t="shared" si="17"/>
        <v>1926.45</v>
      </c>
      <c r="I88" s="41"/>
      <c r="J88" s="51"/>
      <c r="K88" s="41"/>
      <c r="L88" s="41">
        <f t="shared" si="18"/>
        <v>0</v>
      </c>
      <c r="M88" s="41"/>
      <c r="N88" s="41">
        <v>100.35</v>
      </c>
      <c r="O88" s="41"/>
      <c r="P88" s="41">
        <f t="shared" si="19"/>
        <v>100.35</v>
      </c>
      <c r="Q88" s="41"/>
      <c r="R88" s="35">
        <v>3114</v>
      </c>
      <c r="S88" s="4">
        <v>358</v>
      </c>
      <c r="T88" s="71" t="s">
        <v>122</v>
      </c>
      <c r="U88" s="41"/>
      <c r="V88" s="41"/>
      <c r="W88" s="41"/>
      <c r="X88" s="41">
        <f t="shared" si="20"/>
        <v>0</v>
      </c>
      <c r="Y88" s="41"/>
      <c r="Z88" s="41"/>
      <c r="AA88" s="41">
        <f>400</f>
        <v>400</v>
      </c>
      <c r="AB88" s="41"/>
      <c r="AC88" s="41">
        <f t="shared" si="21"/>
        <v>400</v>
      </c>
    </row>
    <row r="89" spans="1:29" ht="12.75">
      <c r="A89" s="35">
        <v>3114</v>
      </c>
      <c r="B89" s="4">
        <v>363</v>
      </c>
      <c r="C89" s="71" t="s">
        <v>154</v>
      </c>
      <c r="D89" s="41">
        <v>4657.1900000000005</v>
      </c>
      <c r="E89" s="41">
        <f>67+298.6</f>
        <v>365.6</v>
      </c>
      <c r="F89" s="41"/>
      <c r="G89" s="45"/>
      <c r="H89" s="41">
        <f t="shared" si="17"/>
        <v>5022.790000000001</v>
      </c>
      <c r="I89" s="41"/>
      <c r="J89" s="51"/>
      <c r="K89" s="41">
        <f>100</f>
        <v>100</v>
      </c>
      <c r="L89" s="41">
        <f t="shared" si="18"/>
        <v>100</v>
      </c>
      <c r="M89" s="41"/>
      <c r="N89" s="41">
        <v>249.14</v>
      </c>
      <c r="O89" s="41"/>
      <c r="P89" s="41">
        <f t="shared" si="19"/>
        <v>249.14</v>
      </c>
      <c r="Q89" s="41"/>
      <c r="R89" s="35">
        <v>3114</v>
      </c>
      <c r="S89" s="4">
        <v>363</v>
      </c>
      <c r="T89" s="71" t="s">
        <v>154</v>
      </c>
      <c r="U89" s="41"/>
      <c r="V89" s="41"/>
      <c r="W89" s="41"/>
      <c r="X89" s="41">
        <f t="shared" si="20"/>
        <v>0</v>
      </c>
      <c r="Y89" s="41"/>
      <c r="Z89" s="41"/>
      <c r="AA89" s="41">
        <f>560</f>
        <v>560</v>
      </c>
      <c r="AB89" s="41"/>
      <c r="AC89" s="41">
        <f t="shared" si="21"/>
        <v>560</v>
      </c>
    </row>
    <row r="90" spans="1:29" ht="12.75">
      <c r="A90" s="35">
        <v>3121</v>
      </c>
      <c r="B90" s="4">
        <v>367</v>
      </c>
      <c r="C90" s="72" t="s">
        <v>126</v>
      </c>
      <c r="D90" s="41">
        <v>5634.89</v>
      </c>
      <c r="E90" s="41">
        <f>77+634</f>
        <v>711</v>
      </c>
      <c r="F90" s="41"/>
      <c r="G90" s="45"/>
      <c r="H90" s="41">
        <f t="shared" si="17"/>
        <v>6345.89</v>
      </c>
      <c r="I90" s="41"/>
      <c r="J90" s="51"/>
      <c r="K90" s="41"/>
      <c r="L90" s="41">
        <f t="shared" si="18"/>
        <v>0</v>
      </c>
      <c r="M90" s="41"/>
      <c r="N90" s="41">
        <v>427.72</v>
      </c>
      <c r="O90" s="41"/>
      <c r="P90" s="41">
        <f t="shared" si="19"/>
        <v>427.72</v>
      </c>
      <c r="Q90" s="41"/>
      <c r="R90" s="35">
        <v>3121</v>
      </c>
      <c r="S90" s="4">
        <v>367</v>
      </c>
      <c r="T90" s="72" t="s">
        <v>126</v>
      </c>
      <c r="U90" s="41"/>
      <c r="V90" s="41"/>
      <c r="W90" s="41"/>
      <c r="X90" s="41">
        <f t="shared" si="20"/>
        <v>0</v>
      </c>
      <c r="Y90" s="41"/>
      <c r="Z90" s="41"/>
      <c r="AA90" s="41"/>
      <c r="AB90" s="41"/>
      <c r="AC90" s="41">
        <f t="shared" si="21"/>
        <v>0</v>
      </c>
    </row>
    <row r="91" spans="1:29" ht="12.75">
      <c r="A91" s="35">
        <v>3121</v>
      </c>
      <c r="B91" s="4">
        <v>368</v>
      </c>
      <c r="C91" s="71" t="s">
        <v>9</v>
      </c>
      <c r="D91" s="41">
        <v>3424.96</v>
      </c>
      <c r="E91" s="46">
        <f>80+473.5</f>
        <v>553.5</v>
      </c>
      <c r="F91" s="46"/>
      <c r="G91" s="54"/>
      <c r="H91" s="41">
        <f t="shared" si="17"/>
        <v>3978.46</v>
      </c>
      <c r="I91" s="46"/>
      <c r="J91" s="51"/>
      <c r="K91" s="46"/>
      <c r="L91" s="41">
        <f t="shared" si="18"/>
        <v>0</v>
      </c>
      <c r="M91" s="46"/>
      <c r="N91" s="41">
        <v>410.70000000000005</v>
      </c>
      <c r="O91" s="46"/>
      <c r="P91" s="41">
        <f t="shared" si="19"/>
        <v>410.70000000000005</v>
      </c>
      <c r="Q91" s="46"/>
      <c r="R91" s="35">
        <v>3121</v>
      </c>
      <c r="S91" s="4">
        <v>368</v>
      </c>
      <c r="T91" s="71" t="s">
        <v>9</v>
      </c>
      <c r="U91" s="46">
        <v>400</v>
      </c>
      <c r="V91" s="46"/>
      <c r="W91" s="46"/>
      <c r="X91" s="41">
        <f t="shared" si="20"/>
        <v>400</v>
      </c>
      <c r="Y91" s="46"/>
      <c r="Z91" s="46"/>
      <c r="AA91" s="46"/>
      <c r="AB91" s="46"/>
      <c r="AC91" s="41">
        <f t="shared" si="21"/>
        <v>0</v>
      </c>
    </row>
    <row r="92" spans="1:29" ht="12.75">
      <c r="A92" s="35">
        <v>3122</v>
      </c>
      <c r="B92" s="5">
        <v>370</v>
      </c>
      <c r="C92" s="72" t="s">
        <v>127</v>
      </c>
      <c r="D92" s="41">
        <v>4276.01</v>
      </c>
      <c r="E92" s="51">
        <f>59+1024.2</f>
        <v>1083.2</v>
      </c>
      <c r="F92" s="41"/>
      <c r="G92" s="45"/>
      <c r="H92" s="41">
        <f t="shared" si="17"/>
        <v>5359.21</v>
      </c>
      <c r="I92" s="41"/>
      <c r="J92" s="51"/>
      <c r="K92" s="41"/>
      <c r="L92" s="41">
        <f t="shared" si="18"/>
        <v>0</v>
      </c>
      <c r="M92" s="41"/>
      <c r="N92" s="41">
        <v>423.61</v>
      </c>
      <c r="O92" s="41"/>
      <c r="P92" s="41">
        <f t="shared" si="19"/>
        <v>423.61</v>
      </c>
      <c r="Q92" s="41"/>
      <c r="R92" s="35">
        <v>3122</v>
      </c>
      <c r="S92" s="5">
        <v>370</v>
      </c>
      <c r="T92" s="72" t="s">
        <v>127</v>
      </c>
      <c r="U92" s="41"/>
      <c r="V92" s="41"/>
      <c r="W92" s="41"/>
      <c r="X92" s="41">
        <f t="shared" si="20"/>
        <v>0</v>
      </c>
      <c r="Y92" s="41"/>
      <c r="Z92" s="41">
        <v>3390</v>
      </c>
      <c r="AA92" s="41">
        <f>100</f>
        <v>100</v>
      </c>
      <c r="AB92" s="41"/>
      <c r="AC92" s="41">
        <f t="shared" si="21"/>
        <v>3490</v>
      </c>
    </row>
    <row r="93" spans="1:29" ht="12.75" customHeight="1">
      <c r="A93" s="35">
        <v>3122</v>
      </c>
      <c r="B93" s="4">
        <v>371</v>
      </c>
      <c r="C93" s="72" t="s">
        <v>100</v>
      </c>
      <c r="D93" s="41">
        <v>4577.5599999999995</v>
      </c>
      <c r="E93" s="41">
        <f>184+690.8</f>
        <v>874.8</v>
      </c>
      <c r="F93" s="41"/>
      <c r="G93" s="45"/>
      <c r="H93" s="41">
        <f t="shared" si="17"/>
        <v>5452.36</v>
      </c>
      <c r="I93" s="41"/>
      <c r="J93" s="51"/>
      <c r="K93" s="41"/>
      <c r="L93" s="41">
        <f t="shared" si="18"/>
        <v>0</v>
      </c>
      <c r="M93" s="41"/>
      <c r="N93" s="41">
        <v>132.06</v>
      </c>
      <c r="O93" s="41"/>
      <c r="P93" s="41">
        <f t="shared" si="19"/>
        <v>132.06</v>
      </c>
      <c r="Q93" s="41"/>
      <c r="R93" s="35">
        <v>3122</v>
      </c>
      <c r="S93" s="4">
        <v>371</v>
      </c>
      <c r="T93" s="72" t="s">
        <v>100</v>
      </c>
      <c r="U93" s="41"/>
      <c r="V93" s="51"/>
      <c r="W93" s="41"/>
      <c r="X93" s="41">
        <f t="shared" si="20"/>
        <v>0</v>
      </c>
      <c r="Y93" s="41"/>
      <c r="Z93" s="41">
        <v>3500</v>
      </c>
      <c r="AA93" s="45"/>
      <c r="AB93" s="45"/>
      <c r="AC93" s="41">
        <f t="shared" si="21"/>
        <v>3500</v>
      </c>
    </row>
    <row r="94" spans="1:29" ht="13.5" customHeight="1">
      <c r="A94" s="35">
        <v>3127</v>
      </c>
      <c r="B94" s="4">
        <v>372</v>
      </c>
      <c r="C94" s="72" t="s">
        <v>123</v>
      </c>
      <c r="D94" s="41">
        <v>10703.310000000001</v>
      </c>
      <c r="E94" s="41">
        <f>84.16+595.56</f>
        <v>679.7199999999999</v>
      </c>
      <c r="F94" s="41"/>
      <c r="G94" s="45"/>
      <c r="H94" s="41">
        <f t="shared" si="17"/>
        <v>11383.03</v>
      </c>
      <c r="I94" s="41"/>
      <c r="J94" s="51">
        <v>295</v>
      </c>
      <c r="K94" s="41">
        <f>180</f>
        <v>180</v>
      </c>
      <c r="L94" s="41">
        <f t="shared" si="18"/>
        <v>475</v>
      </c>
      <c r="M94" s="41"/>
      <c r="N94" s="41">
        <v>1322.0300000000002</v>
      </c>
      <c r="O94" s="41">
        <f>-41.87</f>
        <v>-41.87</v>
      </c>
      <c r="P94" s="41">
        <f t="shared" si="19"/>
        <v>1280.1600000000003</v>
      </c>
      <c r="Q94" s="41"/>
      <c r="R94" s="35">
        <v>3127</v>
      </c>
      <c r="S94" s="4">
        <v>372</v>
      </c>
      <c r="T94" s="72" t="s">
        <v>123</v>
      </c>
      <c r="U94" s="41"/>
      <c r="V94" s="41"/>
      <c r="W94" s="41"/>
      <c r="X94" s="41">
        <f t="shared" si="20"/>
        <v>0</v>
      </c>
      <c r="Y94" s="41"/>
      <c r="Z94" s="41"/>
      <c r="AA94" s="45"/>
      <c r="AB94" s="45"/>
      <c r="AC94" s="41">
        <f t="shared" si="21"/>
        <v>0</v>
      </c>
    </row>
    <row r="95" spans="1:29" ht="12.75">
      <c r="A95" s="35">
        <v>3133</v>
      </c>
      <c r="B95" s="4">
        <v>374</v>
      </c>
      <c r="C95" s="71" t="s">
        <v>59</v>
      </c>
      <c r="D95" s="41">
        <v>2861.33</v>
      </c>
      <c r="E95" s="41">
        <f>70</f>
        <v>70</v>
      </c>
      <c r="F95" s="41"/>
      <c r="G95" s="45"/>
      <c r="H95" s="41">
        <f t="shared" si="17"/>
        <v>2931.33</v>
      </c>
      <c r="I95" s="41"/>
      <c r="J95" s="51"/>
      <c r="K95" s="41"/>
      <c r="L95" s="41">
        <f t="shared" si="18"/>
        <v>0</v>
      </c>
      <c r="M95" s="41"/>
      <c r="N95" s="41">
        <v>167.75</v>
      </c>
      <c r="O95" s="41"/>
      <c r="P95" s="41">
        <f t="shared" si="19"/>
        <v>167.75</v>
      </c>
      <c r="Q95" s="41"/>
      <c r="R95" s="35">
        <v>3133</v>
      </c>
      <c r="S95" s="4">
        <v>374</v>
      </c>
      <c r="T95" s="71" t="s">
        <v>59</v>
      </c>
      <c r="U95" s="41"/>
      <c r="V95" s="41"/>
      <c r="W95" s="41"/>
      <c r="X95" s="41">
        <f t="shared" si="20"/>
        <v>0</v>
      </c>
      <c r="Y95" s="41"/>
      <c r="Z95" s="41"/>
      <c r="AA95" s="41"/>
      <c r="AB95" s="41"/>
      <c r="AC95" s="41">
        <f t="shared" si="21"/>
        <v>0</v>
      </c>
    </row>
    <row r="96" spans="1:29" ht="12.75">
      <c r="A96" s="35">
        <v>3114</v>
      </c>
      <c r="B96" s="4">
        <v>379</v>
      </c>
      <c r="C96" s="71" t="s">
        <v>49</v>
      </c>
      <c r="D96" s="41">
        <v>931.61</v>
      </c>
      <c r="E96" s="41">
        <f>55+44.5</f>
        <v>99.5</v>
      </c>
      <c r="F96" s="41"/>
      <c r="G96" s="45"/>
      <c r="H96" s="41">
        <f t="shared" si="17"/>
        <v>1031.1100000000001</v>
      </c>
      <c r="I96" s="41"/>
      <c r="J96" s="51"/>
      <c r="K96" s="41"/>
      <c r="L96" s="41">
        <f t="shared" si="18"/>
        <v>0</v>
      </c>
      <c r="M96" s="41"/>
      <c r="N96" s="41">
        <v>44.41</v>
      </c>
      <c r="O96" s="41"/>
      <c r="P96" s="41">
        <f t="shared" si="19"/>
        <v>44.41</v>
      </c>
      <c r="Q96" s="41"/>
      <c r="R96" s="35">
        <v>3114</v>
      </c>
      <c r="S96" s="4">
        <v>379</v>
      </c>
      <c r="T96" s="71" t="s">
        <v>49</v>
      </c>
      <c r="U96" s="41"/>
      <c r="V96" s="41"/>
      <c r="W96" s="41"/>
      <c r="X96" s="41">
        <f t="shared" si="20"/>
        <v>0</v>
      </c>
      <c r="Y96" s="41"/>
      <c r="Z96" s="41"/>
      <c r="AA96" s="41">
        <f>600</f>
        <v>600</v>
      </c>
      <c r="AB96" s="41"/>
      <c r="AC96" s="41">
        <f t="shared" si="21"/>
        <v>600</v>
      </c>
    </row>
    <row r="97" spans="1:29" ht="12.75">
      <c r="A97" s="35">
        <v>3133</v>
      </c>
      <c r="B97" s="4">
        <v>380</v>
      </c>
      <c r="C97" s="71" t="s">
        <v>44</v>
      </c>
      <c r="D97" s="41">
        <v>4234.88</v>
      </c>
      <c r="E97" s="41"/>
      <c r="F97" s="41"/>
      <c r="G97" s="45"/>
      <c r="H97" s="41">
        <f t="shared" si="17"/>
        <v>4234.88</v>
      </c>
      <c r="I97" s="41"/>
      <c r="J97" s="51"/>
      <c r="K97" s="41"/>
      <c r="L97" s="41">
        <f t="shared" si="18"/>
        <v>0</v>
      </c>
      <c r="M97" s="41"/>
      <c r="N97" s="41">
        <v>178.23</v>
      </c>
      <c r="O97" s="41"/>
      <c r="P97" s="41">
        <f t="shared" si="19"/>
        <v>178.23</v>
      </c>
      <c r="Q97" s="41"/>
      <c r="R97" s="35">
        <v>3133</v>
      </c>
      <c r="S97" s="4">
        <v>380</v>
      </c>
      <c r="T97" s="71" t="s">
        <v>44</v>
      </c>
      <c r="U97" s="41"/>
      <c r="V97" s="41"/>
      <c r="W97" s="41"/>
      <c r="X97" s="41">
        <f t="shared" si="20"/>
        <v>0</v>
      </c>
      <c r="Y97" s="41"/>
      <c r="Z97" s="41"/>
      <c r="AA97" s="41"/>
      <c r="AB97" s="41"/>
      <c r="AC97" s="41">
        <f t="shared" si="21"/>
        <v>0</v>
      </c>
    </row>
    <row r="98" spans="1:29" ht="12.75" customHeight="1">
      <c r="A98" s="35">
        <v>3114</v>
      </c>
      <c r="B98" s="4">
        <v>381</v>
      </c>
      <c r="C98" s="71" t="s">
        <v>101</v>
      </c>
      <c r="D98" s="41">
        <v>2688.7799999999997</v>
      </c>
      <c r="E98" s="41">
        <f>79.6+189.9</f>
        <v>269.5</v>
      </c>
      <c r="F98" s="41"/>
      <c r="G98" s="45"/>
      <c r="H98" s="41">
        <f t="shared" si="17"/>
        <v>2958.2799999999997</v>
      </c>
      <c r="I98" s="41"/>
      <c r="J98" s="51"/>
      <c r="K98" s="41"/>
      <c r="L98" s="41">
        <f t="shared" si="18"/>
        <v>0</v>
      </c>
      <c r="M98" s="41"/>
      <c r="N98" s="41">
        <v>2.31</v>
      </c>
      <c r="O98" s="41"/>
      <c r="P98" s="41">
        <f t="shared" si="19"/>
        <v>2.31</v>
      </c>
      <c r="Q98" s="41"/>
      <c r="R98" s="35">
        <v>3114</v>
      </c>
      <c r="S98" s="4">
        <v>381</v>
      </c>
      <c r="T98" s="71" t="s">
        <v>101</v>
      </c>
      <c r="U98" s="41"/>
      <c r="V98" s="41"/>
      <c r="W98" s="41"/>
      <c r="X98" s="41">
        <f t="shared" si="20"/>
        <v>0</v>
      </c>
      <c r="Y98" s="41"/>
      <c r="Z98" s="41"/>
      <c r="AA98" s="41"/>
      <c r="AB98" s="41"/>
      <c r="AC98" s="41">
        <f t="shared" si="21"/>
        <v>0</v>
      </c>
    </row>
    <row r="99" spans="1:29" ht="12.75" customHeight="1">
      <c r="A99" s="35">
        <v>3121</v>
      </c>
      <c r="B99" s="4">
        <v>390</v>
      </c>
      <c r="C99" s="71" t="s">
        <v>27</v>
      </c>
      <c r="D99" s="41">
        <v>4514.13</v>
      </c>
      <c r="E99" s="41">
        <f>443</f>
        <v>443</v>
      </c>
      <c r="F99" s="41"/>
      <c r="G99" s="45"/>
      <c r="H99" s="41">
        <f t="shared" si="17"/>
        <v>4957.13</v>
      </c>
      <c r="I99" s="41"/>
      <c r="J99" s="51"/>
      <c r="K99" s="51">
        <f>45</f>
        <v>45</v>
      </c>
      <c r="L99" s="41">
        <f t="shared" si="18"/>
        <v>45</v>
      </c>
      <c r="M99" s="41"/>
      <c r="N99" s="41">
        <v>295.46</v>
      </c>
      <c r="O99" s="41"/>
      <c r="P99" s="41">
        <f t="shared" si="19"/>
        <v>295.46</v>
      </c>
      <c r="Q99" s="41"/>
      <c r="R99" s="35">
        <v>3121</v>
      </c>
      <c r="S99" s="4">
        <v>390</v>
      </c>
      <c r="T99" s="71" t="s">
        <v>27</v>
      </c>
      <c r="U99" s="41"/>
      <c r="V99" s="41">
        <f>700+820</f>
        <v>1520</v>
      </c>
      <c r="W99" s="41"/>
      <c r="X99" s="41">
        <f t="shared" si="20"/>
        <v>1520</v>
      </c>
      <c r="Y99" s="41"/>
      <c r="Z99" s="41">
        <v>600</v>
      </c>
      <c r="AA99" s="41"/>
      <c r="AB99" s="41"/>
      <c r="AC99" s="41">
        <f t="shared" si="21"/>
        <v>600</v>
      </c>
    </row>
    <row r="100" spans="1:29" ht="12.75">
      <c r="A100" s="35">
        <v>3127</v>
      </c>
      <c r="B100" s="4">
        <v>392</v>
      </c>
      <c r="C100" s="72" t="s">
        <v>102</v>
      </c>
      <c r="D100" s="41">
        <v>6858.08</v>
      </c>
      <c r="E100" s="41">
        <f>116+870</f>
        <v>986</v>
      </c>
      <c r="F100" s="41"/>
      <c r="G100" s="45"/>
      <c r="H100" s="41">
        <f t="shared" si="17"/>
        <v>7844.08</v>
      </c>
      <c r="I100" s="41"/>
      <c r="J100" s="51"/>
      <c r="K100" s="41"/>
      <c r="L100" s="41">
        <f t="shared" si="18"/>
        <v>0</v>
      </c>
      <c r="M100" s="41"/>
      <c r="N100" s="41">
        <v>993.61</v>
      </c>
      <c r="O100" s="41"/>
      <c r="P100" s="41">
        <f t="shared" si="19"/>
        <v>993.61</v>
      </c>
      <c r="Q100" s="41"/>
      <c r="R100" s="35">
        <v>3127</v>
      </c>
      <c r="S100" s="4">
        <v>392</v>
      </c>
      <c r="T100" s="72" t="s">
        <v>102</v>
      </c>
      <c r="U100" s="41"/>
      <c r="V100" s="41"/>
      <c r="W100" s="41"/>
      <c r="X100" s="41">
        <f t="shared" si="20"/>
        <v>0</v>
      </c>
      <c r="Y100" s="41"/>
      <c r="Z100" s="41"/>
      <c r="AA100" s="41">
        <f>500</f>
        <v>500</v>
      </c>
      <c r="AB100" s="41"/>
      <c r="AC100" s="41">
        <f t="shared" si="21"/>
        <v>500</v>
      </c>
    </row>
    <row r="101" spans="1:29" ht="12.75" customHeight="1">
      <c r="A101" s="35">
        <v>3122</v>
      </c>
      <c r="B101" s="4">
        <v>393</v>
      </c>
      <c r="C101" s="71" t="s">
        <v>10</v>
      </c>
      <c r="D101" s="41">
        <v>3258.64</v>
      </c>
      <c r="E101" s="41">
        <f>77.5+654.5</f>
        <v>732</v>
      </c>
      <c r="F101" s="41"/>
      <c r="G101" s="45"/>
      <c r="H101" s="41">
        <f t="shared" si="17"/>
        <v>3990.64</v>
      </c>
      <c r="I101" s="41"/>
      <c r="J101" s="51"/>
      <c r="K101" s="41"/>
      <c r="L101" s="41">
        <f t="shared" si="18"/>
        <v>0</v>
      </c>
      <c r="M101" s="41"/>
      <c r="N101" s="41">
        <v>351.99</v>
      </c>
      <c r="O101" s="41"/>
      <c r="P101" s="41">
        <f t="shared" si="19"/>
        <v>351.99</v>
      </c>
      <c r="Q101" s="41"/>
      <c r="R101" s="35">
        <v>3122</v>
      </c>
      <c r="S101" s="4">
        <v>393</v>
      </c>
      <c r="T101" s="71" t="s">
        <v>10</v>
      </c>
      <c r="U101" s="41">
        <v>450</v>
      </c>
      <c r="V101" s="41"/>
      <c r="W101" s="41"/>
      <c r="X101" s="41">
        <f t="shared" si="20"/>
        <v>450</v>
      </c>
      <c r="Y101" s="41"/>
      <c r="Z101" s="41">
        <v>200</v>
      </c>
      <c r="AA101" s="41"/>
      <c r="AB101" s="41"/>
      <c r="AC101" s="41">
        <f t="shared" si="21"/>
        <v>200</v>
      </c>
    </row>
    <row r="102" spans="1:29" ht="12.75">
      <c r="A102" s="35">
        <v>3127</v>
      </c>
      <c r="B102" s="4">
        <v>394</v>
      </c>
      <c r="C102" s="71" t="s">
        <v>128</v>
      </c>
      <c r="D102" s="41">
        <v>10792.4</v>
      </c>
      <c r="E102" s="41">
        <f>109.5+1389.9</f>
        <v>1499.4</v>
      </c>
      <c r="F102" s="41"/>
      <c r="G102" s="45"/>
      <c r="H102" s="41">
        <f t="shared" si="17"/>
        <v>12291.8</v>
      </c>
      <c r="I102" s="41"/>
      <c r="J102" s="51"/>
      <c r="K102" s="41"/>
      <c r="L102" s="41">
        <f t="shared" si="18"/>
        <v>0</v>
      </c>
      <c r="M102" s="41"/>
      <c r="N102" s="41">
        <v>986.88</v>
      </c>
      <c r="O102" s="41"/>
      <c r="P102" s="41">
        <f t="shared" si="19"/>
        <v>986.88</v>
      </c>
      <c r="Q102" s="41"/>
      <c r="R102" s="35">
        <v>3127</v>
      </c>
      <c r="S102" s="4">
        <v>394</v>
      </c>
      <c r="T102" s="71" t="s">
        <v>128</v>
      </c>
      <c r="U102" s="41"/>
      <c r="V102" s="41"/>
      <c r="W102" s="41"/>
      <c r="X102" s="41">
        <f t="shared" si="20"/>
        <v>0</v>
      </c>
      <c r="Y102" s="41"/>
      <c r="Z102" s="41">
        <v>6100</v>
      </c>
      <c r="AA102" s="41">
        <f>420+2000+920</f>
        <v>3340</v>
      </c>
      <c r="AB102" s="41"/>
      <c r="AC102" s="41">
        <f t="shared" si="21"/>
        <v>9440</v>
      </c>
    </row>
    <row r="103" spans="1:29" ht="12.75">
      <c r="A103" s="35">
        <v>3122</v>
      </c>
      <c r="B103" s="4">
        <v>395</v>
      </c>
      <c r="C103" s="71" t="s">
        <v>144</v>
      </c>
      <c r="D103" s="41">
        <v>6465.6</v>
      </c>
      <c r="E103" s="41">
        <f>155+1377.75</f>
        <v>1532.75</v>
      </c>
      <c r="F103" s="41"/>
      <c r="G103" s="45"/>
      <c r="H103" s="41">
        <f t="shared" si="17"/>
        <v>7998.35</v>
      </c>
      <c r="I103" s="41"/>
      <c r="J103" s="51"/>
      <c r="K103" s="41"/>
      <c r="L103" s="41">
        <f t="shared" si="18"/>
        <v>0</v>
      </c>
      <c r="M103" s="41"/>
      <c r="N103" s="41">
        <v>713.04</v>
      </c>
      <c r="O103" s="41">
        <f>33.85</f>
        <v>33.85</v>
      </c>
      <c r="P103" s="41">
        <f t="shared" si="19"/>
        <v>746.89</v>
      </c>
      <c r="Q103" s="41"/>
      <c r="R103" s="35">
        <v>3122</v>
      </c>
      <c r="S103" s="4">
        <v>395</v>
      </c>
      <c r="T103" s="71" t="s">
        <v>144</v>
      </c>
      <c r="U103" s="41"/>
      <c r="V103" s="41"/>
      <c r="W103" s="41"/>
      <c r="X103" s="41">
        <f t="shared" si="20"/>
        <v>0</v>
      </c>
      <c r="Y103" s="41"/>
      <c r="Z103" s="41">
        <v>2800</v>
      </c>
      <c r="AA103" s="41"/>
      <c r="AB103" s="41"/>
      <c r="AC103" s="41">
        <f t="shared" si="21"/>
        <v>2800</v>
      </c>
    </row>
    <row r="104" spans="1:29" ht="12.75">
      <c r="A104" s="35">
        <v>3127</v>
      </c>
      <c r="B104" s="4">
        <v>397</v>
      </c>
      <c r="C104" s="72" t="s">
        <v>103</v>
      </c>
      <c r="D104" s="41">
        <v>10698.89</v>
      </c>
      <c r="E104" s="41">
        <f>59+856.7</f>
        <v>915.7</v>
      </c>
      <c r="F104" s="41"/>
      <c r="G104" s="45"/>
      <c r="H104" s="41">
        <f t="shared" si="17"/>
        <v>11614.59</v>
      </c>
      <c r="I104" s="41"/>
      <c r="J104" s="51">
        <v>80</v>
      </c>
      <c r="K104" s="41"/>
      <c r="L104" s="41">
        <f t="shared" si="18"/>
        <v>80</v>
      </c>
      <c r="M104" s="41"/>
      <c r="N104" s="41">
        <v>1253.98</v>
      </c>
      <c r="O104" s="41"/>
      <c r="P104" s="41">
        <f t="shared" si="19"/>
        <v>1253.98</v>
      </c>
      <c r="Q104" s="41"/>
      <c r="R104" s="35">
        <v>3127</v>
      </c>
      <c r="S104" s="4">
        <v>397</v>
      </c>
      <c r="T104" s="72" t="s">
        <v>103</v>
      </c>
      <c r="U104" s="41"/>
      <c r="V104" s="41"/>
      <c r="W104" s="41"/>
      <c r="X104" s="41">
        <f t="shared" si="20"/>
        <v>0</v>
      </c>
      <c r="Y104" s="41"/>
      <c r="Z104" s="41">
        <v>2000</v>
      </c>
      <c r="AA104" s="41"/>
      <c r="AB104" s="41"/>
      <c r="AC104" s="41">
        <f t="shared" si="21"/>
        <v>2000</v>
      </c>
    </row>
    <row r="105" spans="1:29" ht="12.75">
      <c r="A105" s="35">
        <v>3127</v>
      </c>
      <c r="B105" s="4">
        <v>400</v>
      </c>
      <c r="C105" s="72" t="s">
        <v>104</v>
      </c>
      <c r="D105" s="41">
        <v>8519.41</v>
      </c>
      <c r="E105" s="41">
        <f>116+274.5</f>
        <v>390.5</v>
      </c>
      <c r="F105" s="41"/>
      <c r="G105" s="45"/>
      <c r="H105" s="41">
        <f t="shared" si="17"/>
        <v>8909.91</v>
      </c>
      <c r="I105" s="41"/>
      <c r="J105" s="51"/>
      <c r="K105" s="41">
        <f>700</f>
        <v>700</v>
      </c>
      <c r="L105" s="41">
        <f t="shared" si="18"/>
        <v>700</v>
      </c>
      <c r="M105" s="41"/>
      <c r="N105" s="41">
        <v>739.22</v>
      </c>
      <c r="O105" s="41"/>
      <c r="P105" s="41">
        <f t="shared" si="19"/>
        <v>739.22</v>
      </c>
      <c r="Q105" s="41"/>
      <c r="R105" s="35">
        <v>3127</v>
      </c>
      <c r="S105" s="4">
        <v>400</v>
      </c>
      <c r="T105" s="72" t="s">
        <v>104</v>
      </c>
      <c r="U105" s="41"/>
      <c r="V105" s="41"/>
      <c r="W105" s="41"/>
      <c r="X105" s="41">
        <f t="shared" si="20"/>
        <v>0</v>
      </c>
      <c r="Y105" s="41"/>
      <c r="Z105" s="41">
        <v>10485</v>
      </c>
      <c r="AA105" s="41">
        <f>180</f>
        <v>180</v>
      </c>
      <c r="AB105" s="41"/>
      <c r="AC105" s="41">
        <f t="shared" si="21"/>
        <v>10665</v>
      </c>
    </row>
    <row r="106" spans="1:29" ht="12.75">
      <c r="A106" s="35">
        <v>3124</v>
      </c>
      <c r="B106" s="4">
        <v>401</v>
      </c>
      <c r="C106" s="71" t="s">
        <v>105</v>
      </c>
      <c r="D106" s="41">
        <v>5222.23</v>
      </c>
      <c r="E106" s="41">
        <f>36</f>
        <v>36</v>
      </c>
      <c r="F106" s="41"/>
      <c r="G106" s="45"/>
      <c r="H106" s="41">
        <f t="shared" si="17"/>
        <v>5258.23</v>
      </c>
      <c r="I106" s="41"/>
      <c r="J106" s="51"/>
      <c r="K106" s="41"/>
      <c r="L106" s="41">
        <f t="shared" si="18"/>
        <v>0</v>
      </c>
      <c r="M106" s="41"/>
      <c r="N106" s="41">
        <v>150.95</v>
      </c>
      <c r="O106" s="41"/>
      <c r="P106" s="41">
        <f t="shared" si="19"/>
        <v>150.95</v>
      </c>
      <c r="Q106" s="41"/>
      <c r="R106" s="35">
        <v>3124</v>
      </c>
      <c r="S106" s="4">
        <v>401</v>
      </c>
      <c r="T106" s="71" t="s">
        <v>105</v>
      </c>
      <c r="U106" s="41"/>
      <c r="V106" s="41">
        <f>900</f>
        <v>900</v>
      </c>
      <c r="W106" s="41"/>
      <c r="X106" s="41">
        <f t="shared" si="20"/>
        <v>900</v>
      </c>
      <c r="Y106" s="41"/>
      <c r="Z106" s="41">
        <v>14500</v>
      </c>
      <c r="AA106" s="41">
        <f>-1300</f>
        <v>-1300</v>
      </c>
      <c r="AB106" s="41"/>
      <c r="AC106" s="41">
        <f t="shared" si="21"/>
        <v>13200</v>
      </c>
    </row>
    <row r="107" spans="1:29" ht="12.75" customHeight="1">
      <c r="A107" s="35">
        <v>3121</v>
      </c>
      <c r="B107" s="4">
        <v>409</v>
      </c>
      <c r="C107" s="71" t="s">
        <v>11</v>
      </c>
      <c r="D107" s="41">
        <v>3351.6600000000003</v>
      </c>
      <c r="E107" s="41">
        <f>43.23+598.5</f>
        <v>641.73</v>
      </c>
      <c r="F107" s="41"/>
      <c r="G107" s="45"/>
      <c r="H107" s="41">
        <f t="shared" si="17"/>
        <v>3993.3900000000003</v>
      </c>
      <c r="I107" s="41"/>
      <c r="J107" s="51"/>
      <c r="K107" s="41"/>
      <c r="L107" s="41">
        <f t="shared" si="18"/>
        <v>0</v>
      </c>
      <c r="M107" s="41"/>
      <c r="N107" s="41">
        <v>41.52</v>
      </c>
      <c r="O107" s="41"/>
      <c r="P107" s="41">
        <f t="shared" si="19"/>
        <v>41.52</v>
      </c>
      <c r="Q107" s="41"/>
      <c r="R107" s="35">
        <v>3121</v>
      </c>
      <c r="S107" s="4">
        <v>409</v>
      </c>
      <c r="T107" s="71" t="s">
        <v>11</v>
      </c>
      <c r="U107" s="41"/>
      <c r="V107" s="41"/>
      <c r="W107" s="41"/>
      <c r="X107" s="41">
        <f t="shared" si="20"/>
        <v>0</v>
      </c>
      <c r="Y107" s="41"/>
      <c r="Z107" s="41"/>
      <c r="AA107" s="41"/>
      <c r="AB107" s="41"/>
      <c r="AC107" s="41">
        <f t="shared" si="21"/>
        <v>0</v>
      </c>
    </row>
    <row r="108" spans="1:29" ht="24">
      <c r="A108" s="35">
        <v>3121</v>
      </c>
      <c r="B108" s="4">
        <v>410</v>
      </c>
      <c r="C108" s="85" t="s">
        <v>170</v>
      </c>
      <c r="D108" s="41">
        <v>7616.25</v>
      </c>
      <c r="E108" s="41">
        <f>135.5+614.1</f>
        <v>749.6</v>
      </c>
      <c r="F108" s="41"/>
      <c r="G108" s="45">
        <f>21.78</f>
        <v>21.78</v>
      </c>
      <c r="H108" s="41">
        <f t="shared" si="17"/>
        <v>8387.630000000001</v>
      </c>
      <c r="I108" s="41"/>
      <c r="J108" s="51"/>
      <c r="K108" s="41">
        <f>80+4588.88</f>
        <v>4668.88</v>
      </c>
      <c r="L108" s="41">
        <f t="shared" si="18"/>
        <v>4668.88</v>
      </c>
      <c r="M108" s="41"/>
      <c r="N108" s="41">
        <v>952.81</v>
      </c>
      <c r="O108" s="41"/>
      <c r="P108" s="41">
        <f t="shared" si="19"/>
        <v>952.81</v>
      </c>
      <c r="Q108" s="41"/>
      <c r="R108" s="35">
        <v>3121</v>
      </c>
      <c r="S108" s="4">
        <v>410</v>
      </c>
      <c r="T108" s="71" t="s">
        <v>12</v>
      </c>
      <c r="U108" s="41"/>
      <c r="V108" s="41"/>
      <c r="W108" s="41"/>
      <c r="X108" s="41">
        <f t="shared" si="20"/>
        <v>0</v>
      </c>
      <c r="Y108" s="41"/>
      <c r="Z108" s="41"/>
      <c r="AA108" s="41"/>
      <c r="AB108" s="41"/>
      <c r="AC108" s="41">
        <f t="shared" si="21"/>
        <v>0</v>
      </c>
    </row>
    <row r="109" spans="1:29" ht="12.75">
      <c r="A109" s="35">
        <v>3127</v>
      </c>
      <c r="B109" s="4">
        <v>413</v>
      </c>
      <c r="C109" s="71" t="s">
        <v>129</v>
      </c>
      <c r="D109" s="41">
        <v>10140.380000000001</v>
      </c>
      <c r="E109" s="41">
        <f>237+878.6</f>
        <v>1115.6</v>
      </c>
      <c r="F109" s="41"/>
      <c r="G109" s="45"/>
      <c r="H109" s="41">
        <f t="shared" si="17"/>
        <v>11255.980000000001</v>
      </c>
      <c r="I109" s="41"/>
      <c r="J109" s="51"/>
      <c r="K109" s="41"/>
      <c r="L109" s="41">
        <f t="shared" si="18"/>
        <v>0</v>
      </c>
      <c r="M109" s="41"/>
      <c r="N109" s="41">
        <v>744.95</v>
      </c>
      <c r="O109" s="41"/>
      <c r="P109" s="41">
        <f t="shared" si="19"/>
        <v>744.95</v>
      </c>
      <c r="Q109" s="41"/>
      <c r="R109" s="35">
        <v>3127</v>
      </c>
      <c r="S109" s="4">
        <v>413</v>
      </c>
      <c r="T109" s="71" t="s">
        <v>129</v>
      </c>
      <c r="U109" s="41">
        <v>1639</v>
      </c>
      <c r="V109" s="41">
        <f>230</f>
        <v>230</v>
      </c>
      <c r="W109" s="41"/>
      <c r="X109" s="41">
        <f t="shared" si="20"/>
        <v>1869</v>
      </c>
      <c r="Y109" s="41"/>
      <c r="Z109" s="41"/>
      <c r="AA109" s="41">
        <f>339.5</f>
        <v>339.5</v>
      </c>
      <c r="AB109" s="41"/>
      <c r="AC109" s="41">
        <f t="shared" si="21"/>
        <v>339.5</v>
      </c>
    </row>
    <row r="110" spans="1:29" ht="12.75">
      <c r="A110" s="35">
        <v>3122</v>
      </c>
      <c r="B110" s="4">
        <v>415</v>
      </c>
      <c r="C110" s="72" t="s">
        <v>155</v>
      </c>
      <c r="D110" s="41">
        <v>13349.41</v>
      </c>
      <c r="E110" s="41">
        <f>411.32+1522.7</f>
        <v>1934.02</v>
      </c>
      <c r="F110" s="41"/>
      <c r="G110" s="45"/>
      <c r="H110" s="41">
        <f t="shared" si="17"/>
        <v>15283.43</v>
      </c>
      <c r="I110" s="41"/>
      <c r="J110" s="51">
        <v>110</v>
      </c>
      <c r="K110" s="41">
        <f>80</f>
        <v>80</v>
      </c>
      <c r="L110" s="41">
        <f t="shared" si="18"/>
        <v>190</v>
      </c>
      <c r="M110" s="41"/>
      <c r="N110" s="41">
        <v>2043.8500000000001</v>
      </c>
      <c r="O110" s="41"/>
      <c r="P110" s="41">
        <f t="shared" si="19"/>
        <v>2043.8500000000001</v>
      </c>
      <c r="Q110" s="41"/>
      <c r="R110" s="35">
        <v>3122</v>
      </c>
      <c r="S110" s="4">
        <v>415</v>
      </c>
      <c r="T110" s="72" t="s">
        <v>155</v>
      </c>
      <c r="U110" s="41"/>
      <c r="V110" s="41">
        <f>200</f>
        <v>200</v>
      </c>
      <c r="W110" s="41"/>
      <c r="X110" s="41">
        <f t="shared" si="20"/>
        <v>200</v>
      </c>
      <c r="Y110" s="41"/>
      <c r="Z110" s="41"/>
      <c r="AA110" s="41"/>
      <c r="AB110" s="41"/>
      <c r="AC110" s="41">
        <f t="shared" si="21"/>
        <v>0</v>
      </c>
    </row>
    <row r="111" spans="1:29" ht="12.75" customHeight="1">
      <c r="A111" s="35">
        <v>3127</v>
      </c>
      <c r="B111" s="4">
        <v>416</v>
      </c>
      <c r="C111" s="71" t="s">
        <v>106</v>
      </c>
      <c r="D111" s="41">
        <v>17538.95</v>
      </c>
      <c r="E111" s="41">
        <f>102+982.1</f>
        <v>1084.1</v>
      </c>
      <c r="F111" s="41"/>
      <c r="G111" s="45"/>
      <c r="H111" s="41">
        <f t="shared" si="17"/>
        <v>18623.05</v>
      </c>
      <c r="I111" s="41"/>
      <c r="J111" s="51">
        <v>260</v>
      </c>
      <c r="K111" s="51">
        <f>220</f>
        <v>220</v>
      </c>
      <c r="L111" s="41">
        <f t="shared" si="18"/>
        <v>480</v>
      </c>
      <c r="M111" s="41"/>
      <c r="N111" s="41">
        <v>2511.59</v>
      </c>
      <c r="O111" s="41"/>
      <c r="P111" s="41">
        <f t="shared" si="19"/>
        <v>2511.59</v>
      </c>
      <c r="Q111" s="41"/>
      <c r="R111" s="35">
        <v>3127</v>
      </c>
      <c r="S111" s="4">
        <v>416</v>
      </c>
      <c r="T111" s="71" t="s">
        <v>106</v>
      </c>
      <c r="U111" s="41">
        <v>400</v>
      </c>
      <c r="V111" s="41"/>
      <c r="W111" s="41"/>
      <c r="X111" s="41">
        <f t="shared" si="20"/>
        <v>400</v>
      </c>
      <c r="Y111" s="41"/>
      <c r="Z111" s="41">
        <v>5567</v>
      </c>
      <c r="AA111" s="45">
        <f>455+896</f>
        <v>1351</v>
      </c>
      <c r="AB111" s="45"/>
      <c r="AC111" s="41">
        <f t="shared" si="21"/>
        <v>6918</v>
      </c>
    </row>
    <row r="112" spans="1:29" ht="12.75">
      <c r="A112" s="35">
        <v>3127</v>
      </c>
      <c r="B112" s="4">
        <v>418</v>
      </c>
      <c r="C112" s="72" t="s">
        <v>145</v>
      </c>
      <c r="D112" s="41">
        <v>11175.86</v>
      </c>
      <c r="E112" s="41">
        <f>282+2191.87</f>
        <v>2473.87</v>
      </c>
      <c r="F112" s="41"/>
      <c r="G112" s="45"/>
      <c r="H112" s="41">
        <f t="shared" si="17"/>
        <v>13649.73</v>
      </c>
      <c r="I112" s="41"/>
      <c r="J112" s="51"/>
      <c r="K112" s="51">
        <f>200</f>
        <v>200</v>
      </c>
      <c r="L112" s="41">
        <f t="shared" si="18"/>
        <v>200</v>
      </c>
      <c r="M112" s="41"/>
      <c r="N112" s="41">
        <v>1074.53</v>
      </c>
      <c r="O112" s="41"/>
      <c r="P112" s="41">
        <f t="shared" si="19"/>
        <v>1074.53</v>
      </c>
      <c r="Q112" s="41"/>
      <c r="R112" s="35">
        <v>3127</v>
      </c>
      <c r="S112" s="4">
        <v>418</v>
      </c>
      <c r="T112" s="72" t="s">
        <v>145</v>
      </c>
      <c r="U112" s="41"/>
      <c r="V112" s="45"/>
      <c r="W112" s="45"/>
      <c r="X112" s="41">
        <f t="shared" si="20"/>
        <v>0</v>
      </c>
      <c r="Y112" s="41"/>
      <c r="Z112" s="41">
        <v>7923</v>
      </c>
      <c r="AA112" s="41">
        <f>4000</f>
        <v>4000</v>
      </c>
      <c r="AB112" s="41"/>
      <c r="AC112" s="41">
        <f t="shared" si="21"/>
        <v>11923</v>
      </c>
    </row>
    <row r="113" spans="1:29" ht="12.75">
      <c r="A113" s="35">
        <v>3127</v>
      </c>
      <c r="B113" s="4">
        <v>419</v>
      </c>
      <c r="C113" s="71" t="s">
        <v>45</v>
      </c>
      <c r="D113" s="41">
        <v>10835.5</v>
      </c>
      <c r="E113" s="41">
        <f>62.2+1528.3</f>
        <v>1590.5</v>
      </c>
      <c r="F113" s="41"/>
      <c r="G113" s="45"/>
      <c r="H113" s="41">
        <f t="shared" si="17"/>
        <v>12426</v>
      </c>
      <c r="I113" s="41"/>
      <c r="J113" s="51"/>
      <c r="K113" s="50">
        <f>200</f>
        <v>200</v>
      </c>
      <c r="L113" s="41">
        <f t="shared" si="18"/>
        <v>200</v>
      </c>
      <c r="M113" s="41"/>
      <c r="N113" s="41">
        <v>2094.6499999999996</v>
      </c>
      <c r="O113" s="41"/>
      <c r="P113" s="41">
        <f t="shared" si="19"/>
        <v>2094.6499999999996</v>
      </c>
      <c r="Q113" s="41"/>
      <c r="R113" s="35">
        <v>3127</v>
      </c>
      <c r="S113" s="4">
        <v>419</v>
      </c>
      <c r="T113" s="71" t="s">
        <v>45</v>
      </c>
      <c r="U113" s="41"/>
      <c r="V113" s="41"/>
      <c r="W113" s="41"/>
      <c r="X113" s="41">
        <f t="shared" si="20"/>
        <v>0</v>
      </c>
      <c r="Y113" s="41"/>
      <c r="Z113" s="41">
        <v>5417</v>
      </c>
      <c r="AA113" s="41">
        <f>2000</f>
        <v>2000</v>
      </c>
      <c r="AB113" s="41"/>
      <c r="AC113" s="41">
        <f t="shared" si="21"/>
        <v>7417</v>
      </c>
    </row>
    <row r="114" spans="1:29" ht="12.75">
      <c r="A114" s="35">
        <v>3124</v>
      </c>
      <c r="B114" s="4">
        <v>423</v>
      </c>
      <c r="C114" s="71" t="s">
        <v>107</v>
      </c>
      <c r="D114" s="41">
        <v>5789.1</v>
      </c>
      <c r="E114" s="41">
        <f>126.48+350.8</f>
        <v>477.28000000000003</v>
      </c>
      <c r="F114" s="41"/>
      <c r="G114" s="45"/>
      <c r="H114" s="41">
        <f t="shared" si="17"/>
        <v>6266.38</v>
      </c>
      <c r="I114" s="41"/>
      <c r="J114" s="51"/>
      <c r="K114" s="41"/>
      <c r="L114" s="41">
        <f t="shared" si="18"/>
        <v>0</v>
      </c>
      <c r="M114" s="41"/>
      <c r="N114" s="41">
        <v>371.75</v>
      </c>
      <c r="O114" s="41"/>
      <c r="P114" s="41">
        <f t="shared" si="19"/>
        <v>371.75</v>
      </c>
      <c r="Q114" s="41"/>
      <c r="R114" s="35">
        <v>3124</v>
      </c>
      <c r="S114" s="4">
        <v>423</v>
      </c>
      <c r="T114" s="71" t="s">
        <v>107</v>
      </c>
      <c r="U114" s="41">
        <v>21</v>
      </c>
      <c r="V114" s="41"/>
      <c r="W114" s="41"/>
      <c r="X114" s="41">
        <f t="shared" si="20"/>
        <v>21</v>
      </c>
      <c r="Y114" s="41"/>
      <c r="Z114" s="41"/>
      <c r="AA114" s="41"/>
      <c r="AB114" s="41"/>
      <c r="AC114" s="41">
        <f t="shared" si="21"/>
        <v>0</v>
      </c>
    </row>
    <row r="115" spans="1:29" ht="12.75">
      <c r="A115" s="35">
        <v>3112</v>
      </c>
      <c r="B115" s="4">
        <v>425</v>
      </c>
      <c r="C115" s="71" t="s">
        <v>108</v>
      </c>
      <c r="D115" s="41">
        <v>1705.47</v>
      </c>
      <c r="E115" s="41">
        <f>7+89.7</f>
        <v>96.7</v>
      </c>
      <c r="F115" s="41"/>
      <c r="G115" s="45"/>
      <c r="H115" s="41">
        <f t="shared" si="17"/>
        <v>1802.17</v>
      </c>
      <c r="I115" s="41"/>
      <c r="J115" s="51"/>
      <c r="K115" s="41"/>
      <c r="L115" s="41">
        <f t="shared" si="18"/>
        <v>0</v>
      </c>
      <c r="M115" s="41"/>
      <c r="N115" s="41">
        <v>22.369999999999997</v>
      </c>
      <c r="O115" s="41"/>
      <c r="P115" s="41">
        <f t="shared" si="19"/>
        <v>22.369999999999997</v>
      </c>
      <c r="Q115" s="41"/>
      <c r="R115" s="35">
        <v>3112</v>
      </c>
      <c r="S115" s="4">
        <v>425</v>
      </c>
      <c r="T115" s="71" t="s">
        <v>108</v>
      </c>
      <c r="U115" s="41"/>
      <c r="V115" s="41"/>
      <c r="W115" s="41"/>
      <c r="X115" s="41">
        <f t="shared" si="20"/>
        <v>0</v>
      </c>
      <c r="Y115" s="41"/>
      <c r="Z115" s="41"/>
      <c r="AA115" s="41"/>
      <c r="AB115" s="41"/>
      <c r="AC115" s="41">
        <f t="shared" si="21"/>
        <v>0</v>
      </c>
    </row>
    <row r="116" spans="1:29" ht="12.75">
      <c r="A116" s="35">
        <v>3114</v>
      </c>
      <c r="B116" s="4">
        <v>426</v>
      </c>
      <c r="C116" s="71" t="s">
        <v>46</v>
      </c>
      <c r="D116" s="41">
        <v>1360.44</v>
      </c>
      <c r="E116" s="41">
        <f>43.8+98.8</f>
        <v>142.6</v>
      </c>
      <c r="F116" s="41"/>
      <c r="G116" s="45"/>
      <c r="H116" s="41">
        <f t="shared" si="17"/>
        <v>1503.04</v>
      </c>
      <c r="I116" s="41"/>
      <c r="J116" s="51"/>
      <c r="K116" s="41"/>
      <c r="L116" s="41">
        <f t="shared" si="18"/>
        <v>0</v>
      </c>
      <c r="M116" s="41"/>
      <c r="N116" s="41">
        <v>0.03</v>
      </c>
      <c r="O116" s="41"/>
      <c r="P116" s="41">
        <f t="shared" si="19"/>
        <v>0.03</v>
      </c>
      <c r="Q116" s="41"/>
      <c r="R116" s="35">
        <v>3114</v>
      </c>
      <c r="S116" s="4">
        <v>426</v>
      </c>
      <c r="T116" s="71" t="s">
        <v>46</v>
      </c>
      <c r="U116" s="41"/>
      <c r="V116" s="41"/>
      <c r="W116" s="41"/>
      <c r="X116" s="41">
        <f t="shared" si="20"/>
        <v>0</v>
      </c>
      <c r="Y116" s="41"/>
      <c r="Z116" s="41"/>
      <c r="AA116" s="41"/>
      <c r="AB116" s="41"/>
      <c r="AC116" s="41">
        <f t="shared" si="21"/>
        <v>0</v>
      </c>
    </row>
    <row r="117" spans="1:29" ht="12.75" customHeight="1">
      <c r="A117" s="35">
        <v>3133</v>
      </c>
      <c r="B117" s="4">
        <v>427</v>
      </c>
      <c r="C117" s="71" t="s">
        <v>47</v>
      </c>
      <c r="D117" s="41">
        <v>3557.37</v>
      </c>
      <c r="E117" s="41">
        <f>98+190</f>
        <v>288</v>
      </c>
      <c r="F117" s="41"/>
      <c r="G117" s="45"/>
      <c r="H117" s="41">
        <f t="shared" si="17"/>
        <v>3845.37</v>
      </c>
      <c r="I117" s="41"/>
      <c r="J117" s="51"/>
      <c r="K117" s="41"/>
      <c r="L117" s="41">
        <f t="shared" si="18"/>
        <v>0</v>
      </c>
      <c r="M117" s="41"/>
      <c r="N117" s="41">
        <v>69.36</v>
      </c>
      <c r="O117" s="41"/>
      <c r="P117" s="41">
        <f t="shared" si="19"/>
        <v>69.36</v>
      </c>
      <c r="Q117" s="41"/>
      <c r="R117" s="35">
        <v>3133</v>
      </c>
      <c r="S117" s="4">
        <v>427</v>
      </c>
      <c r="T117" s="71" t="s">
        <v>47</v>
      </c>
      <c r="U117" s="41"/>
      <c r="V117" s="41"/>
      <c r="W117" s="41"/>
      <c r="X117" s="41">
        <f t="shared" si="20"/>
        <v>0</v>
      </c>
      <c r="Y117" s="41"/>
      <c r="Z117" s="41"/>
      <c r="AA117" s="41"/>
      <c r="AB117" s="41"/>
      <c r="AC117" s="41">
        <f t="shared" si="21"/>
        <v>0</v>
      </c>
    </row>
    <row r="118" spans="1:29" ht="12.75">
      <c r="A118" s="35">
        <v>3133</v>
      </c>
      <c r="B118" s="4">
        <v>428</v>
      </c>
      <c r="C118" s="71" t="s">
        <v>109</v>
      </c>
      <c r="D118" s="41">
        <v>4346.71</v>
      </c>
      <c r="E118" s="41">
        <f>66+52.01</f>
        <v>118.00999999999999</v>
      </c>
      <c r="F118" s="41"/>
      <c r="G118" s="45"/>
      <c r="H118" s="41">
        <f t="shared" si="17"/>
        <v>4464.72</v>
      </c>
      <c r="I118" s="41"/>
      <c r="J118" s="51"/>
      <c r="K118" s="41"/>
      <c r="L118" s="41">
        <f t="shared" si="18"/>
        <v>0</v>
      </c>
      <c r="M118" s="41"/>
      <c r="N118" s="41">
        <v>262.01</v>
      </c>
      <c r="O118" s="41">
        <f>2.01</f>
        <v>2.01</v>
      </c>
      <c r="P118" s="41">
        <f t="shared" si="19"/>
        <v>264.02</v>
      </c>
      <c r="Q118" s="41"/>
      <c r="R118" s="35">
        <v>3133</v>
      </c>
      <c r="S118" s="4">
        <v>428</v>
      </c>
      <c r="T118" s="71" t="s">
        <v>109</v>
      </c>
      <c r="U118" s="41"/>
      <c r="V118" s="41"/>
      <c r="W118" s="41"/>
      <c r="X118" s="41">
        <f t="shared" si="20"/>
        <v>0</v>
      </c>
      <c r="Y118" s="41"/>
      <c r="Z118" s="41">
        <v>1850</v>
      </c>
      <c r="AA118" s="41">
        <f>1500</f>
        <v>1500</v>
      </c>
      <c r="AB118" s="41"/>
      <c r="AC118" s="41">
        <f t="shared" si="21"/>
        <v>3350</v>
      </c>
    </row>
    <row r="119" spans="1:29" ht="12.75">
      <c r="A119" s="35">
        <v>3114</v>
      </c>
      <c r="B119" s="4">
        <v>431</v>
      </c>
      <c r="C119" s="71" t="s">
        <v>110</v>
      </c>
      <c r="D119" s="41">
        <v>2309.83</v>
      </c>
      <c r="E119" s="41">
        <f>17+115.1</f>
        <v>132.1</v>
      </c>
      <c r="F119" s="41"/>
      <c r="G119" s="45"/>
      <c r="H119" s="41">
        <f t="shared" si="17"/>
        <v>2441.93</v>
      </c>
      <c r="I119" s="41"/>
      <c r="J119" s="51"/>
      <c r="K119" s="41">
        <f>40</f>
        <v>40</v>
      </c>
      <c r="L119" s="41">
        <f t="shared" si="18"/>
        <v>40</v>
      </c>
      <c r="M119" s="41"/>
      <c r="N119" s="41">
        <v>231.58</v>
      </c>
      <c r="O119" s="41"/>
      <c r="P119" s="41">
        <f t="shared" si="19"/>
        <v>231.58</v>
      </c>
      <c r="Q119" s="41"/>
      <c r="R119" s="35">
        <v>3114</v>
      </c>
      <c r="S119" s="4">
        <v>431</v>
      </c>
      <c r="T119" s="71" t="s">
        <v>110</v>
      </c>
      <c r="U119" s="41"/>
      <c r="V119" s="41"/>
      <c r="W119" s="41"/>
      <c r="X119" s="41">
        <f t="shared" si="20"/>
        <v>0</v>
      </c>
      <c r="Y119" s="41"/>
      <c r="Z119" s="41">
        <v>3170</v>
      </c>
      <c r="AA119" s="41"/>
      <c r="AB119" s="41"/>
      <c r="AC119" s="41">
        <f t="shared" si="21"/>
        <v>3170</v>
      </c>
    </row>
    <row r="120" spans="1:29" ht="12.75">
      <c r="A120" s="35">
        <v>3114</v>
      </c>
      <c r="B120" s="4">
        <v>432</v>
      </c>
      <c r="C120" s="81" t="s">
        <v>111</v>
      </c>
      <c r="D120" s="41">
        <v>2917.77</v>
      </c>
      <c r="E120" s="41">
        <f>6+161.4</f>
        <v>167.4</v>
      </c>
      <c r="F120" s="41"/>
      <c r="G120" s="45"/>
      <c r="H120" s="41">
        <f t="shared" si="17"/>
        <v>3085.17</v>
      </c>
      <c r="I120" s="41"/>
      <c r="J120" s="51"/>
      <c r="K120" s="41"/>
      <c r="L120" s="41">
        <f t="shared" si="18"/>
        <v>0</v>
      </c>
      <c r="M120" s="41"/>
      <c r="N120" s="41">
        <v>6.78</v>
      </c>
      <c r="O120" s="41"/>
      <c r="P120" s="41">
        <f t="shared" si="19"/>
        <v>6.78</v>
      </c>
      <c r="Q120" s="41"/>
      <c r="R120" s="35">
        <v>3114</v>
      </c>
      <c r="S120" s="4">
        <v>432</v>
      </c>
      <c r="T120" s="81" t="s">
        <v>111</v>
      </c>
      <c r="U120" s="41"/>
      <c r="V120" s="41"/>
      <c r="W120" s="41"/>
      <c r="X120" s="41">
        <f t="shared" si="20"/>
        <v>0</v>
      </c>
      <c r="Y120" s="41"/>
      <c r="Z120" s="41"/>
      <c r="AA120" s="41"/>
      <c r="AB120" s="41"/>
      <c r="AC120" s="41">
        <f t="shared" si="21"/>
        <v>0</v>
      </c>
    </row>
    <row r="121" spans="1:29" ht="12.75">
      <c r="A121" s="35">
        <v>3114</v>
      </c>
      <c r="B121" s="4">
        <v>433</v>
      </c>
      <c r="C121" s="71" t="s">
        <v>156</v>
      </c>
      <c r="D121" s="41">
        <v>871.2</v>
      </c>
      <c r="E121" s="41">
        <f>51.8+126.3</f>
        <v>178.1</v>
      </c>
      <c r="F121" s="41"/>
      <c r="G121" s="45"/>
      <c r="H121" s="41">
        <f t="shared" si="17"/>
        <v>1049.3</v>
      </c>
      <c r="I121" s="41"/>
      <c r="J121" s="51"/>
      <c r="K121" s="41"/>
      <c r="L121" s="41">
        <f t="shared" si="18"/>
        <v>0</v>
      </c>
      <c r="M121" s="41"/>
      <c r="N121" s="41">
        <v>0</v>
      </c>
      <c r="O121" s="41"/>
      <c r="P121" s="41">
        <f t="shared" si="19"/>
        <v>0</v>
      </c>
      <c r="Q121" s="41"/>
      <c r="R121" s="35">
        <v>3114</v>
      </c>
      <c r="S121" s="4">
        <v>433</v>
      </c>
      <c r="T121" s="71" t="s">
        <v>156</v>
      </c>
      <c r="U121" s="41"/>
      <c r="V121" s="41"/>
      <c r="W121" s="41"/>
      <c r="X121" s="41">
        <f t="shared" si="20"/>
        <v>0</v>
      </c>
      <c r="Y121" s="41"/>
      <c r="Z121" s="41"/>
      <c r="AA121" s="41"/>
      <c r="AB121" s="41"/>
      <c r="AC121" s="41">
        <f t="shared" si="21"/>
        <v>0</v>
      </c>
    </row>
    <row r="122" spans="1:29" ht="12.75">
      <c r="A122" s="35">
        <v>3114</v>
      </c>
      <c r="B122" s="4">
        <v>436</v>
      </c>
      <c r="C122" s="72" t="s">
        <v>112</v>
      </c>
      <c r="D122" s="41">
        <v>3301.8</v>
      </c>
      <c r="E122" s="41">
        <f>160</f>
        <v>160</v>
      </c>
      <c r="F122" s="41"/>
      <c r="G122" s="45"/>
      <c r="H122" s="41">
        <f t="shared" si="17"/>
        <v>3461.8</v>
      </c>
      <c r="I122" s="41"/>
      <c r="J122" s="51"/>
      <c r="K122" s="41"/>
      <c r="L122" s="41">
        <f t="shared" si="18"/>
        <v>0</v>
      </c>
      <c r="M122" s="41"/>
      <c r="N122" s="41">
        <v>0</v>
      </c>
      <c r="O122" s="41"/>
      <c r="P122" s="41">
        <f t="shared" si="19"/>
        <v>0</v>
      </c>
      <c r="Q122" s="41"/>
      <c r="R122" s="35">
        <v>3114</v>
      </c>
      <c r="S122" s="4">
        <v>436</v>
      </c>
      <c r="T122" s="72" t="s">
        <v>112</v>
      </c>
      <c r="U122" s="41"/>
      <c r="V122" s="41"/>
      <c r="W122" s="41"/>
      <c r="X122" s="41">
        <f t="shared" si="20"/>
        <v>0</v>
      </c>
      <c r="Y122" s="41"/>
      <c r="Z122" s="41"/>
      <c r="AA122" s="41"/>
      <c r="AB122" s="41"/>
      <c r="AC122" s="41">
        <f t="shared" si="21"/>
        <v>0</v>
      </c>
    </row>
    <row r="123" spans="1:29" ht="12.75" customHeight="1">
      <c r="A123" s="35">
        <v>3127</v>
      </c>
      <c r="B123" s="4">
        <v>445</v>
      </c>
      <c r="C123" s="72" t="s">
        <v>113</v>
      </c>
      <c r="D123" s="41">
        <v>13388.5</v>
      </c>
      <c r="E123" s="41">
        <f>189+1097.9</f>
        <v>1286.9</v>
      </c>
      <c r="F123" s="41"/>
      <c r="G123" s="45"/>
      <c r="H123" s="41">
        <f t="shared" si="17"/>
        <v>14675.4</v>
      </c>
      <c r="I123" s="41"/>
      <c r="J123" s="51">
        <v>58</v>
      </c>
      <c r="K123" s="41">
        <f>375</f>
        <v>375</v>
      </c>
      <c r="L123" s="41">
        <f t="shared" si="18"/>
        <v>433</v>
      </c>
      <c r="M123" s="41"/>
      <c r="N123" s="41">
        <v>1255.08</v>
      </c>
      <c r="O123" s="41"/>
      <c r="P123" s="41">
        <f t="shared" si="19"/>
        <v>1255.08</v>
      </c>
      <c r="Q123" s="41"/>
      <c r="R123" s="35">
        <v>3127</v>
      </c>
      <c r="S123" s="4">
        <v>445</v>
      </c>
      <c r="T123" s="72" t="s">
        <v>113</v>
      </c>
      <c r="U123" s="41"/>
      <c r="V123" s="41"/>
      <c r="W123" s="41"/>
      <c r="X123" s="41">
        <f t="shared" si="20"/>
        <v>0</v>
      </c>
      <c r="Y123" s="41"/>
      <c r="Z123" s="41">
        <v>5017</v>
      </c>
      <c r="AA123" s="41"/>
      <c r="AB123" s="41"/>
      <c r="AC123" s="41">
        <f t="shared" si="21"/>
        <v>5017</v>
      </c>
    </row>
    <row r="124" spans="1:29" ht="12.75">
      <c r="A124" s="35">
        <v>3127</v>
      </c>
      <c r="B124" s="4">
        <v>447</v>
      </c>
      <c r="C124" s="71" t="s">
        <v>48</v>
      </c>
      <c r="D124" s="41">
        <v>8744.96</v>
      </c>
      <c r="E124" s="55">
        <f>130+1793.4</f>
        <v>1923.4</v>
      </c>
      <c r="F124" s="55"/>
      <c r="G124" s="55"/>
      <c r="H124" s="41">
        <f t="shared" si="17"/>
        <v>10668.359999999999</v>
      </c>
      <c r="I124" s="55"/>
      <c r="J124" s="51">
        <v>75</v>
      </c>
      <c r="K124" s="55">
        <f>95</f>
        <v>95</v>
      </c>
      <c r="L124" s="41">
        <f t="shared" si="18"/>
        <v>170</v>
      </c>
      <c r="M124" s="55"/>
      <c r="N124" s="41">
        <v>489.62</v>
      </c>
      <c r="O124" s="55"/>
      <c r="P124" s="41">
        <f t="shared" si="19"/>
        <v>489.62</v>
      </c>
      <c r="Q124" s="55"/>
      <c r="R124" s="35">
        <v>3127</v>
      </c>
      <c r="S124" s="4">
        <v>447</v>
      </c>
      <c r="T124" s="71" t="s">
        <v>48</v>
      </c>
      <c r="U124" s="55">
        <v>236</v>
      </c>
      <c r="V124" s="55"/>
      <c r="W124" s="55"/>
      <c r="X124" s="41">
        <f t="shared" si="20"/>
        <v>236</v>
      </c>
      <c r="Y124" s="55"/>
      <c r="Z124" s="55">
        <v>300</v>
      </c>
      <c r="AA124" s="55"/>
      <c r="AB124" s="55"/>
      <c r="AC124" s="41">
        <f t="shared" si="21"/>
        <v>300</v>
      </c>
    </row>
    <row r="125" spans="1:29" ht="12.75">
      <c r="A125" s="35">
        <v>3114</v>
      </c>
      <c r="B125" s="4">
        <v>452</v>
      </c>
      <c r="C125" s="81" t="s">
        <v>114</v>
      </c>
      <c r="D125" s="41">
        <v>2354.38</v>
      </c>
      <c r="E125" s="41">
        <f>32+261.39</f>
        <v>293.39</v>
      </c>
      <c r="F125" s="41"/>
      <c r="G125" s="41"/>
      <c r="H125" s="41">
        <f aca="true" t="shared" si="22" ref="H125:H132">D125+E125+F125+G125</f>
        <v>2647.77</v>
      </c>
      <c r="I125" s="41"/>
      <c r="J125" s="51"/>
      <c r="K125" s="41"/>
      <c r="L125" s="41">
        <f aca="true" t="shared" si="23" ref="L125:L131">J125+K125</f>
        <v>0</v>
      </c>
      <c r="M125" s="41"/>
      <c r="N125" s="41">
        <v>2.62</v>
      </c>
      <c r="O125" s="41"/>
      <c r="P125" s="41">
        <f aca="true" t="shared" si="24" ref="P125:P132">N125+O125</f>
        <v>2.62</v>
      </c>
      <c r="Q125" s="41"/>
      <c r="R125" s="35">
        <v>3114</v>
      </c>
      <c r="S125" s="4">
        <v>452</v>
      </c>
      <c r="T125" s="81" t="s">
        <v>114</v>
      </c>
      <c r="U125" s="41"/>
      <c r="V125" s="41"/>
      <c r="W125" s="41"/>
      <c r="X125" s="41">
        <f aca="true" t="shared" si="25" ref="X125:X131">SUM(U125:W125)</f>
        <v>0</v>
      </c>
      <c r="Y125" s="41"/>
      <c r="Z125" s="41"/>
      <c r="AA125" s="41"/>
      <c r="AB125" s="41"/>
      <c r="AC125" s="41">
        <f aca="true" t="shared" si="26" ref="AC125:AC131">SUM(Z125:AB125)</f>
        <v>0</v>
      </c>
    </row>
    <row r="126" spans="1:29" ht="12.75">
      <c r="A126" s="35">
        <v>3127</v>
      </c>
      <c r="B126" s="4">
        <v>454</v>
      </c>
      <c r="C126" s="71" t="s">
        <v>115</v>
      </c>
      <c r="D126" s="41">
        <v>19702.41</v>
      </c>
      <c r="E126" s="41">
        <f>92+841.3</f>
        <v>933.3</v>
      </c>
      <c r="F126" s="41"/>
      <c r="G126" s="41"/>
      <c r="H126" s="41">
        <f t="shared" si="22"/>
        <v>20635.71</v>
      </c>
      <c r="I126" s="41"/>
      <c r="J126" s="51"/>
      <c r="K126" s="51">
        <f>150</f>
        <v>150</v>
      </c>
      <c r="L126" s="41">
        <f t="shared" si="23"/>
        <v>150</v>
      </c>
      <c r="M126" s="41"/>
      <c r="N126" s="41">
        <v>4873.969999999999</v>
      </c>
      <c r="O126" s="41">
        <f>51.13</f>
        <v>51.13</v>
      </c>
      <c r="P126" s="41">
        <f t="shared" si="24"/>
        <v>4925.099999999999</v>
      </c>
      <c r="Q126" s="41"/>
      <c r="R126" s="35">
        <v>3127</v>
      </c>
      <c r="S126" s="4">
        <v>454</v>
      </c>
      <c r="T126" s="71" t="s">
        <v>115</v>
      </c>
      <c r="U126" s="41"/>
      <c r="V126" s="41"/>
      <c r="W126" s="41"/>
      <c r="X126" s="41">
        <f t="shared" si="25"/>
        <v>0</v>
      </c>
      <c r="Y126" s="41"/>
      <c r="Z126" s="41">
        <v>4092</v>
      </c>
      <c r="AA126" s="41">
        <f>1600</f>
        <v>1600</v>
      </c>
      <c r="AB126" s="41"/>
      <c r="AC126" s="41">
        <f t="shared" si="26"/>
        <v>5692</v>
      </c>
    </row>
    <row r="127" spans="1:29" ht="12.75">
      <c r="A127" s="35">
        <v>3146</v>
      </c>
      <c r="B127" s="4">
        <v>455</v>
      </c>
      <c r="C127" s="71" t="s">
        <v>116</v>
      </c>
      <c r="D127" s="41">
        <v>8285.43</v>
      </c>
      <c r="E127" s="63">
        <f>250</f>
        <v>250</v>
      </c>
      <c r="F127" s="63"/>
      <c r="G127" s="63"/>
      <c r="H127" s="41">
        <f t="shared" si="22"/>
        <v>8535.43</v>
      </c>
      <c r="I127" s="63"/>
      <c r="J127" s="51"/>
      <c r="K127" s="63"/>
      <c r="L127" s="63">
        <f t="shared" si="23"/>
        <v>0</v>
      </c>
      <c r="M127" s="63"/>
      <c r="N127" s="41">
        <v>570</v>
      </c>
      <c r="O127" s="63"/>
      <c r="P127" s="41">
        <f t="shared" si="24"/>
        <v>570</v>
      </c>
      <c r="Q127" s="63"/>
      <c r="R127" s="35">
        <v>3146</v>
      </c>
      <c r="S127" s="4">
        <v>455</v>
      </c>
      <c r="T127" s="71" t="s">
        <v>116</v>
      </c>
      <c r="U127" s="63"/>
      <c r="V127" s="63"/>
      <c r="W127" s="63"/>
      <c r="X127" s="55">
        <f t="shared" si="25"/>
        <v>0</v>
      </c>
      <c r="Y127" s="55"/>
      <c r="Z127" s="55">
        <v>172</v>
      </c>
      <c r="AA127" s="55"/>
      <c r="AB127" s="55"/>
      <c r="AC127" s="55">
        <f t="shared" si="26"/>
        <v>172</v>
      </c>
    </row>
    <row r="128" spans="1:29" ht="12.75">
      <c r="A128" s="69">
        <v>3127</v>
      </c>
      <c r="B128" s="70">
        <v>456</v>
      </c>
      <c r="C128" s="73" t="s">
        <v>130</v>
      </c>
      <c r="D128" s="41">
        <v>19070.25</v>
      </c>
      <c r="E128" s="41">
        <f>278+1330.3</f>
        <v>1608.3</v>
      </c>
      <c r="F128" s="41"/>
      <c r="G128" s="41"/>
      <c r="H128" s="41">
        <f t="shared" si="22"/>
        <v>20678.55</v>
      </c>
      <c r="I128" s="41"/>
      <c r="J128" s="86">
        <v>185</v>
      </c>
      <c r="K128" s="41">
        <f>270</f>
        <v>270</v>
      </c>
      <c r="L128" s="41">
        <f t="shared" si="23"/>
        <v>455</v>
      </c>
      <c r="M128" s="41"/>
      <c r="N128" s="41">
        <v>2632.07</v>
      </c>
      <c r="O128" s="41"/>
      <c r="P128" s="41">
        <f t="shared" si="24"/>
        <v>2632.07</v>
      </c>
      <c r="Q128" s="41"/>
      <c r="R128" s="69">
        <v>3127</v>
      </c>
      <c r="S128" s="70">
        <v>456</v>
      </c>
      <c r="T128" s="73" t="s">
        <v>130</v>
      </c>
      <c r="U128" s="41">
        <v>824</v>
      </c>
      <c r="V128" s="41">
        <f>-108.6</f>
        <v>-108.6</v>
      </c>
      <c r="W128" s="41"/>
      <c r="X128" s="41">
        <f t="shared" si="25"/>
        <v>715.4</v>
      </c>
      <c r="Y128" s="41"/>
      <c r="Z128" s="41">
        <v>8976</v>
      </c>
      <c r="AA128" s="41">
        <f>-1262.3</f>
        <v>-1262.3</v>
      </c>
      <c r="AB128" s="41"/>
      <c r="AC128" s="41">
        <f t="shared" si="26"/>
        <v>7713.7</v>
      </c>
    </row>
    <row r="129" spans="1:29" ht="12.75">
      <c r="A129" s="34">
        <v>3127</v>
      </c>
      <c r="B129" s="2">
        <v>457</v>
      </c>
      <c r="C129" s="74" t="s">
        <v>131</v>
      </c>
      <c r="D129" s="41">
        <v>9125.099999999999</v>
      </c>
      <c r="E129" s="41">
        <f>610.9</f>
        <v>610.9</v>
      </c>
      <c r="F129" s="41"/>
      <c r="G129" s="41"/>
      <c r="H129" s="41">
        <f t="shared" si="22"/>
        <v>9735.999999999998</v>
      </c>
      <c r="I129" s="41"/>
      <c r="J129" s="87"/>
      <c r="K129" s="41">
        <f>228</f>
        <v>228</v>
      </c>
      <c r="L129" s="41">
        <f t="shared" si="23"/>
        <v>228</v>
      </c>
      <c r="M129" s="41"/>
      <c r="N129" s="41">
        <v>401.02</v>
      </c>
      <c r="O129" s="41"/>
      <c r="P129" s="41">
        <f t="shared" si="24"/>
        <v>401.02</v>
      </c>
      <c r="Q129" s="41"/>
      <c r="R129" s="34">
        <v>3127</v>
      </c>
      <c r="S129" s="2">
        <v>457</v>
      </c>
      <c r="T129" s="74" t="s">
        <v>131</v>
      </c>
      <c r="U129" s="41"/>
      <c r="V129" s="41"/>
      <c r="W129" s="41"/>
      <c r="X129" s="41">
        <f t="shared" si="25"/>
        <v>0</v>
      </c>
      <c r="Y129" s="41"/>
      <c r="Z129" s="41"/>
      <c r="AA129" s="41"/>
      <c r="AB129" s="41"/>
      <c r="AC129" s="41">
        <f t="shared" si="26"/>
        <v>0</v>
      </c>
    </row>
    <row r="130" spans="1:29" ht="12.75">
      <c r="A130" s="34">
        <v>3127</v>
      </c>
      <c r="B130" s="2">
        <v>458</v>
      </c>
      <c r="C130" s="74" t="s">
        <v>147</v>
      </c>
      <c r="D130" s="41">
        <v>15756.96</v>
      </c>
      <c r="E130" s="41">
        <f>1295.1</f>
        <v>1295.1</v>
      </c>
      <c r="F130" s="41"/>
      <c r="G130" s="41"/>
      <c r="H130" s="41">
        <f t="shared" si="22"/>
        <v>17052.059999999998</v>
      </c>
      <c r="I130" s="41"/>
      <c r="J130" s="87"/>
      <c r="K130" s="41">
        <f>300</f>
        <v>300</v>
      </c>
      <c r="L130" s="41">
        <f t="shared" si="23"/>
        <v>300</v>
      </c>
      <c r="M130" s="41"/>
      <c r="N130" s="41">
        <v>1959.8</v>
      </c>
      <c r="O130" s="41"/>
      <c r="P130" s="41">
        <f t="shared" si="24"/>
        <v>1959.8</v>
      </c>
      <c r="Q130" s="41"/>
      <c r="R130" s="34">
        <v>3127</v>
      </c>
      <c r="S130" s="2">
        <v>458</v>
      </c>
      <c r="T130" s="74" t="s">
        <v>147</v>
      </c>
      <c r="U130" s="41"/>
      <c r="V130" s="41"/>
      <c r="W130" s="41"/>
      <c r="X130" s="41">
        <f t="shared" si="25"/>
        <v>0</v>
      </c>
      <c r="Y130" s="41"/>
      <c r="Z130" s="41">
        <v>6727</v>
      </c>
      <c r="AA130" s="41"/>
      <c r="AB130" s="41"/>
      <c r="AC130" s="41">
        <f t="shared" si="26"/>
        <v>6727</v>
      </c>
    </row>
    <row r="131" spans="1:29" ht="12.75">
      <c r="A131" s="34">
        <v>3127</v>
      </c>
      <c r="B131" s="2">
        <v>459</v>
      </c>
      <c r="C131" s="74" t="s">
        <v>132</v>
      </c>
      <c r="D131" s="41">
        <v>16310.02</v>
      </c>
      <c r="E131" s="41">
        <f>76+2322.6</f>
        <v>2398.6</v>
      </c>
      <c r="F131" s="41"/>
      <c r="G131" s="41"/>
      <c r="H131" s="41">
        <f t="shared" si="22"/>
        <v>18708.62</v>
      </c>
      <c r="I131" s="41"/>
      <c r="J131" s="87"/>
      <c r="K131" s="41"/>
      <c r="L131" s="41">
        <f t="shared" si="23"/>
        <v>0</v>
      </c>
      <c r="M131" s="41"/>
      <c r="N131" s="41">
        <v>1776.2</v>
      </c>
      <c r="O131" s="41"/>
      <c r="P131" s="41">
        <f t="shared" si="24"/>
        <v>1776.2</v>
      </c>
      <c r="Q131" s="41"/>
      <c r="R131" s="34">
        <v>3127</v>
      </c>
      <c r="S131" s="2">
        <v>459</v>
      </c>
      <c r="T131" s="74" t="s">
        <v>132</v>
      </c>
      <c r="U131" s="41"/>
      <c r="V131" s="41"/>
      <c r="W131" s="41"/>
      <c r="X131" s="41">
        <f t="shared" si="25"/>
        <v>0</v>
      </c>
      <c r="Y131" s="41"/>
      <c r="Z131" s="41"/>
      <c r="AA131" s="41"/>
      <c r="AB131" s="41"/>
      <c r="AC131" s="41">
        <f t="shared" si="26"/>
        <v>0</v>
      </c>
    </row>
    <row r="132" spans="1:29" ht="13.5" thickBot="1">
      <c r="A132" s="64">
        <v>3127</v>
      </c>
      <c r="B132" s="65">
        <v>460</v>
      </c>
      <c r="C132" s="75" t="s">
        <v>146</v>
      </c>
      <c r="D132" s="66">
        <v>12157.48</v>
      </c>
      <c r="E132" s="66">
        <f>187.5+710.6</f>
        <v>898.1</v>
      </c>
      <c r="F132" s="66"/>
      <c r="G132" s="66"/>
      <c r="H132" s="66">
        <f t="shared" si="22"/>
        <v>13055.58</v>
      </c>
      <c r="I132" s="66"/>
      <c r="J132" s="88">
        <v>300</v>
      </c>
      <c r="K132" s="66"/>
      <c r="L132" s="66">
        <f>J132+K132</f>
        <v>300</v>
      </c>
      <c r="M132" s="66"/>
      <c r="N132" s="66">
        <v>857.42</v>
      </c>
      <c r="O132" s="66"/>
      <c r="P132" s="41">
        <f t="shared" si="24"/>
        <v>857.42</v>
      </c>
      <c r="Q132" s="66"/>
      <c r="R132" s="64">
        <v>3127</v>
      </c>
      <c r="S132" s="65">
        <v>460</v>
      </c>
      <c r="T132" s="75" t="s">
        <v>146</v>
      </c>
      <c r="U132" s="66"/>
      <c r="V132" s="66"/>
      <c r="W132" s="66"/>
      <c r="X132" s="66">
        <f>SUM(U132:W132)</f>
        <v>0</v>
      </c>
      <c r="Y132" s="66"/>
      <c r="Z132" s="66"/>
      <c r="AA132" s="66"/>
      <c r="AB132" s="66"/>
      <c r="AC132" s="66">
        <f>SUM(Z132:AB132)</f>
        <v>0</v>
      </c>
    </row>
    <row r="133" spans="4:15" ht="12.75">
      <c r="D133" s="67"/>
      <c r="E133" s="67"/>
      <c r="F133" s="67"/>
      <c r="G133" s="67"/>
      <c r="N133" s="84"/>
      <c r="O133" s="67"/>
    </row>
    <row r="134" spans="4:15" ht="12.75">
      <c r="D134" s="67"/>
      <c r="E134" s="67"/>
      <c r="F134" s="67"/>
      <c r="G134" s="67"/>
      <c r="N134" s="67"/>
      <c r="O134" s="67"/>
    </row>
    <row r="135" spans="4:15" ht="12.75">
      <c r="D135" s="67"/>
      <c r="E135" s="67"/>
      <c r="F135" s="67"/>
      <c r="G135" s="67"/>
      <c r="N135" s="67"/>
      <c r="O135" s="67"/>
    </row>
    <row r="136" spans="4:15" ht="12.75">
      <c r="D136" s="67"/>
      <c r="E136" s="67"/>
      <c r="F136" s="67"/>
      <c r="G136" s="67"/>
      <c r="N136" s="67"/>
      <c r="O136" s="67"/>
    </row>
    <row r="137" spans="4:15" ht="12.75">
      <c r="D137" s="67"/>
      <c r="E137" s="67"/>
      <c r="F137" s="67"/>
      <c r="G137" s="67"/>
      <c r="N137" s="67"/>
      <c r="O137" s="67"/>
    </row>
    <row r="138" spans="4:15" ht="12.75">
      <c r="D138" s="67"/>
      <c r="E138" s="67"/>
      <c r="F138" s="67"/>
      <c r="G138" s="67"/>
      <c r="N138" s="67"/>
      <c r="O138" s="67"/>
    </row>
    <row r="139" spans="4:15" ht="12.75">
      <c r="D139" s="67"/>
      <c r="E139" s="67"/>
      <c r="F139" s="67"/>
      <c r="G139" s="67"/>
      <c r="N139" s="67"/>
      <c r="O139" s="67"/>
    </row>
    <row r="140" spans="14:15" ht="12.75">
      <c r="N140" s="67"/>
      <c r="O140" s="67"/>
    </row>
    <row r="141" spans="14:15" ht="12.75">
      <c r="N141" s="67"/>
      <c r="O141" s="67"/>
    </row>
    <row r="142" spans="14:15" ht="12.75">
      <c r="N142" s="67"/>
      <c r="O142" s="67"/>
    </row>
    <row r="143" spans="14:15" ht="12.75">
      <c r="N143" s="67"/>
      <c r="O143" s="67"/>
    </row>
    <row r="144" spans="14:15" ht="12.75">
      <c r="N144" s="67"/>
      <c r="O144" s="67"/>
    </row>
    <row r="145" spans="14:15" ht="12.75">
      <c r="N145" s="67"/>
      <c r="O145" s="67"/>
    </row>
    <row r="146" spans="14:15" ht="12.75">
      <c r="N146" s="67"/>
      <c r="O146" s="67"/>
    </row>
    <row r="147" spans="14:15" ht="12.75">
      <c r="N147" s="67"/>
      <c r="O147" s="67"/>
    </row>
    <row r="148" spans="14:15" ht="12.75">
      <c r="N148" s="67"/>
      <c r="O148" s="67"/>
    </row>
    <row r="149" spans="14:15" ht="12.75">
      <c r="N149" s="67"/>
      <c r="O149" s="67"/>
    </row>
    <row r="150" spans="14:15" ht="12.75">
      <c r="N150" s="67"/>
      <c r="O150" s="67"/>
    </row>
    <row r="151" spans="14:15" ht="12.75">
      <c r="N151" s="67"/>
      <c r="O151" s="67"/>
    </row>
    <row r="152" spans="14:15" ht="12.75">
      <c r="N152" s="67"/>
      <c r="O152" s="67"/>
    </row>
    <row r="153" spans="14:15" ht="12.75">
      <c r="N153" s="67"/>
      <c r="O153" s="67"/>
    </row>
    <row r="154" spans="14:15" ht="12.75">
      <c r="N154" s="67"/>
      <c r="O154" s="67"/>
    </row>
    <row r="155" spans="14:15" ht="12.75">
      <c r="N155" s="67"/>
      <c r="O155" s="67"/>
    </row>
    <row r="156" spans="14:15" ht="12.75">
      <c r="N156" s="67"/>
      <c r="O156" s="67"/>
    </row>
    <row r="157" spans="14:15" ht="12.75">
      <c r="N157" s="67"/>
      <c r="O157" s="67"/>
    </row>
    <row r="158" spans="14:15" ht="12.75">
      <c r="N158" s="67"/>
      <c r="O158" s="67"/>
    </row>
  </sheetData>
  <sheetProtection/>
  <mergeCells count="11">
    <mergeCell ref="J4:L4"/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2023-07-10T06:21:47Z</cp:lastPrinted>
  <dcterms:created xsi:type="dcterms:W3CDTF">2002-08-26T10:16:33Z</dcterms:created>
  <dcterms:modified xsi:type="dcterms:W3CDTF">2023-07-10T06:21:51Z</dcterms:modified>
  <cp:category/>
  <cp:version/>
  <cp:contentType/>
  <cp:contentStatus/>
</cp:coreProperties>
</file>