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1. ZR" sheetId="1" r:id="rId1"/>
    <sheet name="1. ZR vč. PN" sheetId="2" r:id="rId2"/>
    <sheet name="List3" sheetId="3" r:id="rId3"/>
  </sheets>
  <definedNames>
    <definedName name="_xlnm.Print_Titles" localSheetId="0">'1. ZR'!$4:$6</definedName>
    <definedName name="_xlnm.Print_Titles" localSheetId="1">'1. ZR vč. PN'!$4:$6</definedName>
    <definedName name="_xlnm.Print_Area" localSheetId="0">'1. ZR'!$A$1:$AC$132</definedName>
    <definedName name="_xlnm.Print_Area" localSheetId="1">'1. ZR vč. PN'!$A$1:$AC$132</definedName>
  </definedNames>
  <calcPr fullCalcOnLoad="1"/>
</workbook>
</file>

<file path=xl/sharedStrings.xml><?xml version="1.0" encoding="utf-8"?>
<sst xmlns="http://schemas.openxmlformats.org/spreadsheetml/2006/main" count="568" uniqueCount="244">
  <si>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</si>
  <si>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</si>
  <si>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</si>
  <si>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</si>
  <si>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</si>
  <si>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</si>
  <si>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</si>
  <si>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</si>
  <si>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</si>
  <si>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</si>
  <si>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</si>
  <si>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</si>
  <si>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</si>
  <si>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</si>
  <si>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</si>
  <si>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</si>
  <si>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</si>
  <si>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</si>
  <si>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</si>
  <si>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</si>
  <si>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</si>
  <si>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</si>
  <si>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</si>
  <si>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</si>
  <si>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</si>
  <si>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</si>
  <si>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</si>
  <si>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</si>
  <si>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</si>
  <si>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</si>
  <si>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</si>
  <si>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</si>
  <si>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</si>
  <si>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</si>
  <si>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</si>
  <si>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</si>
  <si>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</si>
  <si>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</si>
  <si>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</si>
  <si>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</si>
  <si>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</si>
  <si>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</si>
  <si>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</si>
  <si>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</si>
  <si>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</si>
  <si>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</si>
  <si>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</si>
  <si>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</si>
  <si>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</si>
  <si>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</si>
  <si>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</si>
  <si>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</si>
  <si>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</si>
  <si>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</si>
  <si>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</si>
  <si>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</si>
  <si>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</si>
  <si>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</si>
  <si>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</si>
  <si>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</si>
  <si>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</si>
  <si>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</si>
  <si>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</si>
  <si>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</si>
  <si>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</si>
  <si>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</si>
  <si>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</si>
  <si>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</si>
  <si>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</si>
  <si>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</si>
  <si>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</si>
  <si>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</si>
  <si>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</si>
  <si>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</si>
  <si>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</si>
  <si>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</si>
  <si>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</si>
  <si>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</si>
  <si>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</si>
  <si>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</si>
  <si>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</si>
  <si>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</si>
  <si>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</si>
  <si>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</si>
  <si>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</si>
  <si>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</si>
  <si>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</si>
  <si>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</si>
  <si>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</si>
  <si>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</si>
  <si>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</si>
  <si>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</si>
  <si>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</si>
  <si>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</si>
  <si>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</si>
  <si>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</si>
  <si>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</si>
  <si>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</si>
  <si>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</si>
  <si>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</si>
  <si>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</si>
  <si>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</si>
  <si>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</si>
  <si>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</si>
  <si>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</si>
  <si>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</si>
  <si>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</si>
  <si>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</si>
  <si>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</si>
  <si>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</si>
  <si>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</si>
  <si>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</si>
  <si>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</si>
  <si>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</si>
  <si>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</si>
  <si>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</si>
  <si>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</si>
  <si>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</si>
  <si>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</si>
  <si>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</si>
  <si>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</si>
  <si>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</si>
  <si>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</si>
  <si>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</si>
  <si>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</si>
  <si>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</si>
  <si>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</si>
  <si>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</si>
  <si>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</si>
  <si>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</si>
  <si>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</si>
  <si>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</si>
  <si>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</si>
  <si>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</si>
  <si>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</si>
  <si>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</si>
  <si>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</si>
  <si>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</si>
  <si>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</si>
  <si>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</si>
  <si>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Domovy na Orlici</t>
  </si>
  <si>
    <t xml:space="preserve">Domov důchodců Dvůr Králové nad Labem     </t>
  </si>
  <si>
    <t xml:space="preserve">DOMOV NA STŘÍBRNÉM VRCHU  Rokytnice v O.h.   </t>
  </si>
  <si>
    <t>SUPŠ sochařská a kamenická, Hořice,Husova 675</t>
  </si>
  <si>
    <t>SPŠ a SOŠ, Dvůr Králové n.L., E.Krásnohorské 2069</t>
  </si>
  <si>
    <t>SŠ hotelnictví, řemesel a gastronomie, Trutnov</t>
  </si>
  <si>
    <t>SPŠ Otty Wichterleho, PO, Hronov</t>
  </si>
  <si>
    <t>Domečky Rychnov nad Kněžnou</t>
  </si>
  <si>
    <t>Královéhradecká krajská centrála cestovního ruchu, p.o.</t>
  </si>
  <si>
    <t xml:space="preserve">Sdružení ozdr.a léčeben okr.Trutnov     </t>
  </si>
  <si>
    <t>PrŠ, ZŠ a MŠ Josefa  Zemana,Náchod,Raisova 677</t>
  </si>
  <si>
    <t>VOŠ zdr.,Stř.zdr. škola a OA,Trutnov</t>
  </si>
  <si>
    <t>ZŠ Vrchlabí, Krkonošská 230, přísp.organizace</t>
  </si>
  <si>
    <t>Domov sociální péče Tmavý Důl</t>
  </si>
  <si>
    <t>Královéhradecký krajský institut pro vzdělávání a inovace-školské zařízení pro DVPP a středisko služeb školám</t>
  </si>
  <si>
    <t>Rýchorské domovy sociální péče, příspěvková organizace</t>
  </si>
  <si>
    <t>Centrum uměleckých aktivit, příspěvková organizace</t>
  </si>
  <si>
    <t>Závazné ukazatele rozpočtu příspěvkových organizací na rok 2024 z vlastních prostředků kraje</t>
  </si>
  <si>
    <t>schválený rozpočet</t>
  </si>
  <si>
    <t xml:space="preserve">Po 1. změně rozpočtu </t>
  </si>
  <si>
    <t>Po 1.zm. rozpočtu investiční  transfery</t>
  </si>
  <si>
    <t>Po 1. změně rozpočtu neinv. transfery</t>
  </si>
  <si>
    <t>Střední průmyslová škola stavební,HK,Pospíšilova tř. 787</t>
  </si>
  <si>
    <t xml:space="preserve">SOŠ a SOU, HK, Vocelova 1338   </t>
  </si>
  <si>
    <t xml:space="preserve">Stř.uměleckoprům.šk.HNN, HK, 17.listopadu 1202 </t>
  </si>
  <si>
    <t xml:space="preserve">VOŠ, SŠ, ZŠ a MŠ,HK,Štefánikova 549   </t>
  </si>
  <si>
    <t xml:space="preserve">Gymnázium,Trutnov,Jiráskovo náměstí 325      </t>
  </si>
  <si>
    <t xml:space="preserve">Česká les.akademie Trutnov - SŠ a VOŠ, Lesnická 9  </t>
  </si>
  <si>
    <t xml:space="preserve">SPŠ,Trutnov,Školní 101  </t>
  </si>
  <si>
    <t xml:space="preserve">SPŠ staveb.a OA arch.J.Letzela, PO, Náchod </t>
  </si>
  <si>
    <t>Královéhradecký krajský institut pro vzdělávání a inovace-školské zařízení pro DVPP a středisko služeb školám (1843 tis.z kap.9)  500tis.z kap.9</t>
  </si>
  <si>
    <t>v tom: (v 1. sl. 1 843tis.z kap.9)</t>
  </si>
  <si>
    <t>Galerie moderního umění v Hradci Králové   68,9tis.BV z kap. 49</t>
  </si>
  <si>
    <t>Muzeum východních Čech v Hradci Králové    400,54tis.z kap. 49</t>
  </si>
  <si>
    <t>Studijní a vědecká knihovna v HK      kofi BV 80,90 tis. Kč</t>
  </si>
  <si>
    <t>CIRI  Hradec Králové      z kap. 16 BV 300tis. Kč</t>
  </si>
  <si>
    <t>CIRI  Hradec Králové - kofi a předfi    400tis.BV z kap.39</t>
  </si>
  <si>
    <t>CIRI  Hradec Králové z kap. 16 BV 300tis.Kč; z kap.2 BV 200tis.Kč</t>
  </si>
  <si>
    <t>Česká les.akademie Trutnov - SŠ a VOŠ, Lesnická 9   MUP 102tis.</t>
  </si>
  <si>
    <t>Dětský domov a ŠJ, Nechanice,Hrádecká 267     MUP 35tis.</t>
  </si>
  <si>
    <t>Dětský domov a ŠJ,Sedloňov 153        MUP 31tis.</t>
  </si>
  <si>
    <t>Dětský domov a ŠJ,Vrchlabí,Žižkova 497         MUP 89tis.</t>
  </si>
  <si>
    <t>Dětský domov, ZŠ a ŠJ,Dolní Lánov 240           MUP 66tis.</t>
  </si>
  <si>
    <t>Dětský domov,ZŠ spec. a PrŠ,Jaroměř,Palackého 142    MUP 65tis.</t>
  </si>
  <si>
    <t>Domov mládeže,internát a ŠJ, HK,  Vocelova 1469/5  MUP 112tis.</t>
  </si>
  <si>
    <t>G a SOŠ pedagogická,Nová Paka,Kumburská 740  MUP 132tis.</t>
  </si>
  <si>
    <t>Gymnázium B.Němcové, HK, Pospíšilova tř.324     MUP 149tis.</t>
  </si>
  <si>
    <t>Gymnázium J.K.Tyla,HK,Tylovo nábřeží 682             MUP 235tis.</t>
  </si>
  <si>
    <t>Gymnázium, SOŠ a VOŠ Nový Bydžov                      MUP 118,5tis.</t>
  </si>
  <si>
    <t>Gymnázium Jaroslava Žáka,Jaroměř,Lužická 423      MUP 53,5tis.</t>
  </si>
  <si>
    <t>Gymnázium,Broumov,Hradební 218                 MUP 84tis.</t>
  </si>
  <si>
    <t>Gymnázium F.M.Pelcla,RK,Hrdinů odboje 36        MUP 85,5tis.</t>
  </si>
  <si>
    <t>Gymnázium,Dobruška,Pulická 779        MUP 58,5tis.</t>
  </si>
  <si>
    <t>Gymnázium,Dvůr Králové nad Labem,nám.Odboje 304    MUP 40,7tis.</t>
  </si>
  <si>
    <t>Gymnázium,Trutnov,Jiráskovo náměstí 325         MUP 98,9tis.</t>
  </si>
  <si>
    <t>Jiráskovo gymnázium,Náchod,Řezníčkova 451    MUP 200tis.</t>
  </si>
  <si>
    <t>Krkonošské G a SOŠ,Vrchlabí,Komenského 586    MUP 252,5tis.</t>
  </si>
  <si>
    <t>Lepařovo gymnázium,Jičín,Jiráskova 30     MUP 44tis.</t>
  </si>
  <si>
    <t>Masarykova obch.akademie,Jičín,17.listopadu 220   MUP 46,5tis.</t>
  </si>
  <si>
    <t>MŠ, Speciální ZŠ a Praktická škola,HK,Hradecká 1231   MUP 30tis.</t>
  </si>
  <si>
    <t>Mateřská škola,Trutnov,Na Struze 124     MUP 10,5tis.</t>
  </si>
  <si>
    <t>MŠ, ZŠ a Praktická škola, Trutnov       MUP 11tis.</t>
  </si>
  <si>
    <t>OA T.G.Masaryka,Kostelec n.O.,Komenského 522    MUP 198tis.</t>
  </si>
  <si>
    <t>OA,SOŠ a JŠ s právem st.jaz.zk.,HK,Pospíšilova 365  MUP 201tis.</t>
  </si>
  <si>
    <t>Pedagogicko-psychologická poradna a SPC KHK, HK  MUP 24tis.</t>
  </si>
  <si>
    <t>PrŠ, ZŠ a MŠ Josefa  Zemana,Náchod,Raisova 677  MUP 58tis.</t>
  </si>
  <si>
    <t>Spec.ZŠ Augustina Bartoše,Úpice,Nábř.pplk.A.B.660   MUP 17tis.</t>
  </si>
  <si>
    <t>SOŠ a SOU, HK, Vocelova 1338    kofi BV 36,3tis.a KV 14095,77tis.z kap.21; MUP 118tis.</t>
  </si>
  <si>
    <t>SOŠ veterinární,HK-Kukleny,Pražská 68   MUP 118,5tis.</t>
  </si>
  <si>
    <t>SPŠ a SOŠ, Dvůr Králové n.L., E.Krásnohorské 2069  MUP 295,5tis.</t>
  </si>
  <si>
    <t>SPŠ elektrotech.a inf.techn.,Dobruška     MUP 51,5tis.</t>
  </si>
  <si>
    <t>SPŠ Otty Wichterleho, PO, Hronov    MUP 77,8tis.</t>
  </si>
  <si>
    <t>SPŠ staveb.a OA arch.J.Letzela, PO, Náchod    MUP 64tis.</t>
  </si>
  <si>
    <t>Střední průmyslová škola stav.,HK,Pospíšilova tř. 787  MUP 114,85tis.</t>
  </si>
  <si>
    <t>SPŠ, OŠ a ZŠ, Nové Město n.Met., Čs. armády 376    MUP 53tis.</t>
  </si>
  <si>
    <t>SPŠ, SOŠ a SOU, HK, Hradební 1029       MUP 160tis.</t>
  </si>
  <si>
    <t>SPŠ,Trutnov,Školní 101     MUP 66,2tis.</t>
  </si>
  <si>
    <t>Střední škola a Základní škola Sluneční, Hostinné    MUP 102tis.</t>
  </si>
  <si>
    <t>SŠ gastronomie a sl.,Nová Paka,Masarykovo nám.2   MUP 123,2tis.</t>
  </si>
  <si>
    <t>SŠ hotelnictví, řemesel a gastronomie, Trutnov   MUP 219tis.</t>
  </si>
  <si>
    <t>SŠ profesní přípravy,Hradec Králové,17.listopadu 1212  MUP 159,5tis.</t>
  </si>
  <si>
    <t>Střední škola řemesel a Základní škola, Hořice   MUP 22tis.</t>
  </si>
  <si>
    <t>SŠ řemeslná,Jaroměř,Studničkova 260    MUP 95,25tis.</t>
  </si>
  <si>
    <t>SŠ služeb,obchodu a gastronomie, HK, Velká 3     MUP 183tis.</t>
  </si>
  <si>
    <t>SŠ technická a řemeslná,Nový Bydžov, M.Tyrše 112   MUP 146tis.</t>
  </si>
  <si>
    <t>Střední škola zahradnická,Kopidlno, nám.Hilmarovo 1  MUP 62tis.</t>
  </si>
  <si>
    <t>Stř.uměleckoprům.šk.HNN, HK, 17.listopadu 1202   MUP 70,5tis.</t>
  </si>
  <si>
    <t>SUPŠ sochařská a kamenická, Hořice,Husova 675  MUP 65,3tis.</t>
  </si>
  <si>
    <t>SZŠ a SOU chlad.a klim.tech.,Kostelec n/O  MUP 78tis.</t>
  </si>
  <si>
    <t>VOŠ a SPŠ,Jičín,Pod Koželuhy 100    MUP 171tis.</t>
  </si>
  <si>
    <t>VOŠ a SPŠ, Rychnov nad Kněžnou, U Stadionu 1166   MUP 85tis.</t>
  </si>
  <si>
    <t>VOŠ zdravotnická a SZŠ, HK , Komenského 234   MUP 185,5tis.</t>
  </si>
  <si>
    <t>VOŠ zdr.,Stř.zdr. škola a OA,Trutnov   MUP 313tis.</t>
  </si>
  <si>
    <t>VOŠ, SŠ, ZŠ a MŠ,HK,Štefánikova 549      MUP 108tis.</t>
  </si>
  <si>
    <t>ZŠ a MŠ při Fakultní nemocnici, HK,Sokolská tř. 581  MUP 54tis.</t>
  </si>
  <si>
    <t>ZŠ a PrŠ,Broumov,Kladská 164    MUP 49tis.</t>
  </si>
  <si>
    <t>ZŠ a PrŠ,Dvůr Králové nad Labem,Přemyslova 479  MUP 25,5tis.</t>
  </si>
  <si>
    <t>ZŠ a PrŠ, Rychnov nad Kněžnou,Kolowratská 485   MUP 73,5tis.</t>
  </si>
  <si>
    <t>ZŠ logoped.a MŠ logop.,Choustníkovo Hradiště   MUP 25,8tis.</t>
  </si>
  <si>
    <t>ZŠ Vrchlabí, Krkonošská 230, přísp.organizace   MUP 19tis.</t>
  </si>
  <si>
    <t>Základní škola,Dobruška,Opočenská 115    MUP 52tis.</t>
  </si>
  <si>
    <t>ZŠ, Nový Bydžov, F. Palackého 1240   MUP 19tis.</t>
  </si>
  <si>
    <t>Zemědělská akademie a Gymn. Hořice-SŠ a VOŠ  MUP 226,5tis.</t>
  </si>
  <si>
    <t>CIRI Hradec Králové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</si>
</sst>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6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 wrapText="1"/>
    </xf>
    <xf numFmtId="166" fontId="5" fillId="0" borderId="16" xfId="37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9" xfId="37" applyFont="1" applyBorder="1" applyAlignment="1">
      <alignment/>
    </xf>
    <xf numFmtId="44" fontId="2" fillId="0" borderId="11" xfId="37" applyFont="1" applyFill="1" applyBorder="1" applyAlignment="1">
      <alignment vertical="center" wrapText="1"/>
    </xf>
    <xf numFmtId="166" fontId="0" fillId="0" borderId="11" xfId="37" applyNumberFormat="1" applyFont="1" applyFill="1" applyBorder="1" applyAlignment="1">
      <alignment/>
    </xf>
    <xf numFmtId="166" fontId="5" fillId="0" borderId="12" xfId="37" applyNumberFormat="1" applyFont="1" applyBorder="1" applyAlignment="1">
      <alignment/>
    </xf>
    <xf numFmtId="4" fontId="11" fillId="0" borderId="11" xfId="37" applyNumberFormat="1" applyFont="1" applyBorder="1" applyAlignment="1">
      <alignment/>
    </xf>
    <xf numFmtId="4" fontId="11" fillId="0" borderId="12" xfId="37" applyNumberFormat="1" applyFont="1" applyBorder="1" applyAlignment="1">
      <alignment/>
    </xf>
    <xf numFmtId="44" fontId="0" fillId="0" borderId="12" xfId="37" applyFont="1" applyBorder="1" applyAlignment="1">
      <alignment/>
    </xf>
    <xf numFmtId="4" fontId="0" fillId="0" borderId="11" xfId="37" applyNumberFormat="1" applyFill="1" applyBorder="1" applyAlignment="1">
      <alignment/>
    </xf>
    <xf numFmtId="44" fontId="6" fillId="0" borderId="11" xfId="37" applyFont="1" applyFill="1" applyBorder="1" applyAlignment="1">
      <alignment horizontal="left" vertical="top" wrapText="1"/>
    </xf>
    <xf numFmtId="4" fontId="0" fillId="0" borderId="0" xfId="37" applyNumberFormat="1" applyBorder="1" applyAlignment="1">
      <alignment/>
    </xf>
    <xf numFmtId="44" fontId="10" fillId="0" borderId="11" xfId="37" applyFont="1" applyBorder="1" applyAlignment="1">
      <alignment horizontal="left" wrapText="1"/>
    </xf>
    <xf numFmtId="4" fontId="0" fillId="0" borderId="10" xfId="37" applyNumberFormat="1" applyFont="1" applyFill="1" applyBorder="1" applyAlignment="1">
      <alignment/>
    </xf>
    <xf numFmtId="0" fontId="0" fillId="0" borderId="10" xfId="37" applyNumberFormat="1" applyFont="1" applyBorder="1" applyAlignment="1">
      <alignment wrapText="1"/>
    </xf>
    <xf numFmtId="44" fontId="6" fillId="0" borderId="11" xfId="37" applyFont="1" applyFill="1" applyBorder="1" applyAlignment="1">
      <alignment/>
    </xf>
    <xf numFmtId="4" fontId="5" fillId="0" borderId="11" xfId="37" applyNumberFormat="1" applyFont="1" applyFill="1" applyBorder="1" applyAlignment="1">
      <alignment/>
    </xf>
    <xf numFmtId="44" fontId="0" fillId="0" borderId="11" xfId="37" applyFont="1" applyBorder="1" applyAlignment="1">
      <alignment horizontal="left" wrapText="1"/>
    </xf>
    <xf numFmtId="4" fontId="7" fillId="0" borderId="12" xfId="37" applyNumberFormat="1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pane xSplit="3" ySplit="6" topLeftCell="L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62" sqref="V6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0" customWidth="1"/>
    <col min="6" max="6" width="9.7109375" style="0" hidden="1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10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hidden="1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54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53</v>
      </c>
    </row>
    <row r="2" spans="1:29" ht="21" customHeight="1">
      <c r="A2" s="100" t="s">
        <v>157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1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34</v>
      </c>
      <c r="Q3" s="13"/>
      <c r="R3" s="13"/>
      <c r="S3" s="13"/>
      <c r="T3" s="13"/>
      <c r="U3" s="60"/>
      <c r="V3" s="26"/>
      <c r="W3" s="26"/>
      <c r="X3" s="26"/>
      <c r="Y3" s="13"/>
      <c r="Z3" s="26"/>
      <c r="AA3" s="26"/>
      <c r="AB3" s="26"/>
      <c r="AC3" s="26" t="s">
        <v>34</v>
      </c>
    </row>
    <row r="4" spans="1:29" ht="13.5" customHeight="1" thickBot="1">
      <c r="A4" s="91" t="s">
        <v>13</v>
      </c>
      <c r="B4" s="93" t="s">
        <v>30</v>
      </c>
      <c r="C4" s="95" t="s">
        <v>0</v>
      </c>
      <c r="D4" s="104" t="s">
        <v>49</v>
      </c>
      <c r="E4" s="98"/>
      <c r="F4" s="98"/>
      <c r="G4" s="98"/>
      <c r="H4" s="99"/>
      <c r="I4" s="14"/>
      <c r="J4" s="104" t="s">
        <v>123</v>
      </c>
      <c r="K4" s="98"/>
      <c r="L4" s="99"/>
      <c r="M4" s="15"/>
      <c r="N4" s="97" t="s">
        <v>81</v>
      </c>
      <c r="O4" s="105"/>
      <c r="P4" s="106"/>
      <c r="Q4" s="29"/>
      <c r="R4" s="91" t="s">
        <v>13</v>
      </c>
      <c r="S4" s="93" t="s">
        <v>30</v>
      </c>
      <c r="T4" s="95" t="s">
        <v>0</v>
      </c>
      <c r="U4" s="97" t="s">
        <v>69</v>
      </c>
      <c r="V4" s="98"/>
      <c r="W4" s="98"/>
      <c r="X4" s="98"/>
      <c r="Y4" s="98"/>
      <c r="Z4" s="98"/>
      <c r="AA4" s="98"/>
      <c r="AB4" s="98"/>
      <c r="AC4" s="99"/>
    </row>
    <row r="5" spans="1:29" ht="75.75" customHeight="1" thickBot="1">
      <c r="A5" s="102"/>
      <c r="B5" s="102"/>
      <c r="C5" s="103"/>
      <c r="D5" s="16" t="s">
        <v>158</v>
      </c>
      <c r="E5" s="16" t="s">
        <v>52</v>
      </c>
      <c r="F5" s="16" t="s">
        <v>55</v>
      </c>
      <c r="G5" s="17" t="s">
        <v>50</v>
      </c>
      <c r="H5" s="16" t="s">
        <v>159</v>
      </c>
      <c r="I5" s="16"/>
      <c r="J5" s="16" t="s">
        <v>158</v>
      </c>
      <c r="K5" s="18" t="s">
        <v>56</v>
      </c>
      <c r="L5" s="16" t="s">
        <v>159</v>
      </c>
      <c r="M5" s="18"/>
      <c r="N5" s="16" t="s">
        <v>158</v>
      </c>
      <c r="O5" s="16" t="s">
        <v>52</v>
      </c>
      <c r="P5" s="16" t="s">
        <v>159</v>
      </c>
      <c r="Q5" s="19"/>
      <c r="R5" s="92"/>
      <c r="S5" s="94"/>
      <c r="T5" s="96"/>
      <c r="U5" s="16" t="s">
        <v>158</v>
      </c>
      <c r="V5" s="27" t="s">
        <v>51</v>
      </c>
      <c r="W5" s="27" t="s">
        <v>55</v>
      </c>
      <c r="X5" s="16" t="s">
        <v>161</v>
      </c>
      <c r="Y5" s="18"/>
      <c r="Z5" s="16" t="s">
        <v>158</v>
      </c>
      <c r="AA5" s="16" t="s">
        <v>51</v>
      </c>
      <c r="AB5" s="27" t="s">
        <v>55</v>
      </c>
      <c r="AC5" s="27" t="s">
        <v>160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16</v>
      </c>
      <c r="D7" s="39">
        <f>D9</f>
        <v>30840</v>
      </c>
      <c r="E7" s="39">
        <f aca="true" t="shared" si="0" ref="E7:P7">E9</f>
        <v>0</v>
      </c>
      <c r="F7" s="39">
        <f t="shared" si="0"/>
        <v>0</v>
      </c>
      <c r="G7" s="39">
        <f t="shared" si="0"/>
        <v>0</v>
      </c>
      <c r="H7" s="39">
        <f t="shared" si="0"/>
        <v>30840</v>
      </c>
      <c r="I7" s="39">
        <f t="shared" si="0"/>
        <v>0</v>
      </c>
      <c r="J7" s="39">
        <f t="shared" si="0"/>
        <v>10000</v>
      </c>
      <c r="K7" s="39">
        <f t="shared" si="0"/>
        <v>0</v>
      </c>
      <c r="L7" s="39">
        <f t="shared" si="0"/>
        <v>10000</v>
      </c>
      <c r="M7" s="39">
        <f t="shared" si="0"/>
        <v>0</v>
      </c>
      <c r="N7" s="39">
        <f t="shared" si="0"/>
        <v>299.57</v>
      </c>
      <c r="O7" s="39">
        <f t="shared" si="0"/>
        <v>0</v>
      </c>
      <c r="P7" s="39">
        <f t="shared" si="0"/>
        <v>299.57</v>
      </c>
      <c r="Q7" s="39"/>
      <c r="R7" s="55"/>
      <c r="S7" s="56"/>
      <c r="T7" s="39" t="s">
        <v>64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35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7"/>
      <c r="S8" s="58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79</v>
      </c>
      <c r="D9" s="41">
        <v>30840</v>
      </c>
      <c r="E9" s="41"/>
      <c r="F9" s="42"/>
      <c r="G9" s="41"/>
      <c r="H9" s="41">
        <f>D9+E9+F9+G9</f>
        <v>30840</v>
      </c>
      <c r="I9" s="41"/>
      <c r="J9" s="41">
        <v>10000</v>
      </c>
      <c r="K9" s="41"/>
      <c r="L9" s="41">
        <f>J9+K9</f>
        <v>10000</v>
      </c>
      <c r="M9" s="41"/>
      <c r="N9" s="41">
        <v>299.57</v>
      </c>
      <c r="O9" s="41"/>
      <c r="P9" s="41">
        <f>N9+O9</f>
        <v>299.57</v>
      </c>
      <c r="Q9" s="41"/>
      <c r="R9" s="57">
        <v>2212</v>
      </c>
      <c r="S9" s="58">
        <v>901</v>
      </c>
      <c r="T9" s="44" t="s">
        <v>79</v>
      </c>
      <c r="U9" s="41"/>
      <c r="V9" s="41"/>
      <c r="W9" s="41"/>
      <c r="X9" s="41">
        <f>SUM(U9:W9)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74</v>
      </c>
      <c r="D10" s="39">
        <f>D13+D12</f>
        <v>65356.35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700</v>
      </c>
      <c r="H10" s="39">
        <f t="shared" si="1"/>
        <v>66056.35</v>
      </c>
      <c r="I10" s="39">
        <f t="shared" si="1"/>
        <v>0</v>
      </c>
      <c r="J10" s="39">
        <f t="shared" si="1"/>
        <v>400</v>
      </c>
      <c r="K10" s="39">
        <f t="shared" si="1"/>
        <v>0</v>
      </c>
      <c r="L10" s="39">
        <f t="shared" si="1"/>
        <v>400</v>
      </c>
      <c r="M10" s="39">
        <f t="shared" si="1"/>
        <v>0</v>
      </c>
      <c r="N10" s="39">
        <f t="shared" si="1"/>
        <v>244.8</v>
      </c>
      <c r="O10" s="39">
        <f t="shared" si="1"/>
        <v>0</v>
      </c>
      <c r="P10" s="39">
        <f t="shared" si="1"/>
        <v>244.8</v>
      </c>
      <c r="Q10" s="46"/>
      <c r="R10" s="57"/>
      <c r="S10" s="56"/>
      <c r="T10" s="47"/>
      <c r="U10" s="90">
        <f>U12+U13</f>
        <v>0</v>
      </c>
      <c r="V10" s="90">
        <f aca="true" t="shared" si="2" ref="V10:AC10">V12+V13</f>
        <v>0</v>
      </c>
      <c r="W10" s="90">
        <f t="shared" si="2"/>
        <v>0</v>
      </c>
      <c r="X10" s="90">
        <f t="shared" si="2"/>
        <v>0</v>
      </c>
      <c r="Y10" s="90">
        <f t="shared" si="2"/>
        <v>0</v>
      </c>
      <c r="Z10" s="90">
        <f t="shared" si="2"/>
        <v>0</v>
      </c>
      <c r="AA10" s="90">
        <f t="shared" si="2"/>
        <v>0</v>
      </c>
      <c r="AB10" s="90">
        <f t="shared" si="2"/>
        <v>0</v>
      </c>
      <c r="AC10" s="90">
        <f t="shared" si="2"/>
        <v>0</v>
      </c>
    </row>
    <row r="11" spans="1:29" ht="14.25" customHeight="1">
      <c r="A11" s="35"/>
      <c r="B11" s="4"/>
      <c r="C11" s="36" t="s">
        <v>35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7"/>
      <c r="S11" s="56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2" t="s">
        <v>175</v>
      </c>
      <c r="D12" s="41">
        <v>57856.35</v>
      </c>
      <c r="E12" s="41"/>
      <c r="F12" s="41"/>
      <c r="G12" s="41">
        <f>300</f>
        <v>300</v>
      </c>
      <c r="H12" s="41">
        <f>D12+E12+F12+G12</f>
        <v>58156.35</v>
      </c>
      <c r="I12" s="41"/>
      <c r="J12" s="41"/>
      <c r="K12" s="41"/>
      <c r="L12" s="41">
        <f>J12+K12</f>
        <v>0</v>
      </c>
      <c r="M12" s="41"/>
      <c r="N12" s="41">
        <v>244.8</v>
      </c>
      <c r="O12" s="41"/>
      <c r="P12" s="41">
        <f>N12+O12</f>
        <v>244.8</v>
      </c>
      <c r="Q12" s="46"/>
      <c r="R12" s="57"/>
      <c r="S12" s="56"/>
      <c r="T12" s="47" t="s">
        <v>243</v>
      </c>
      <c r="U12" s="46"/>
      <c r="V12" s="46"/>
      <c r="W12" s="46"/>
      <c r="X12" s="41">
        <f>SUM(U12:W12)</f>
        <v>0</v>
      </c>
      <c r="Y12" s="46"/>
      <c r="Z12" s="46"/>
      <c r="AA12" s="46"/>
      <c r="AB12" s="46"/>
      <c r="AC12" s="41">
        <f>SUM(Z12:AB12)</f>
        <v>0</v>
      </c>
    </row>
    <row r="13" spans="1:29" ht="12.75" customHeight="1">
      <c r="A13" s="35">
        <v>3639</v>
      </c>
      <c r="B13" s="4">
        <v>902</v>
      </c>
      <c r="C13" s="71" t="s">
        <v>176</v>
      </c>
      <c r="D13" s="50">
        <v>7500</v>
      </c>
      <c r="E13" s="45"/>
      <c r="F13" s="41"/>
      <c r="G13" s="45">
        <f>400</f>
        <v>400</v>
      </c>
      <c r="H13" s="41">
        <f>D13+E13+F13+G13</f>
        <v>7900</v>
      </c>
      <c r="I13" s="41"/>
      <c r="J13" s="41">
        <v>400</v>
      </c>
      <c r="K13" s="41"/>
      <c r="L13" s="41">
        <f>J13+K13</f>
        <v>400</v>
      </c>
      <c r="M13" s="41"/>
      <c r="N13" s="41"/>
      <c r="O13" s="41"/>
      <c r="P13" s="41">
        <f>N13+O13</f>
        <v>0</v>
      </c>
      <c r="Q13" s="46"/>
      <c r="R13" s="57"/>
      <c r="S13" s="56">
        <v>902</v>
      </c>
      <c r="T13" s="47" t="s">
        <v>243</v>
      </c>
      <c r="U13" s="46"/>
      <c r="V13" s="46"/>
      <c r="W13" s="46"/>
      <c r="X13" s="41">
        <f>SUM(U13:W13)</f>
        <v>0</v>
      </c>
      <c r="Y13" s="46"/>
      <c r="Z13" s="46"/>
      <c r="AA13" s="46"/>
      <c r="AB13" s="46"/>
      <c r="AC13" s="41">
        <f>SUM(Z13:AB13)</f>
        <v>0</v>
      </c>
    </row>
    <row r="14" spans="1:29" ht="12.75">
      <c r="A14" s="35"/>
      <c r="B14" s="2"/>
      <c r="C14" s="9" t="s">
        <v>17</v>
      </c>
      <c r="D14" s="48">
        <f>SUM(D16:D20)</f>
        <v>335075</v>
      </c>
      <c r="E14" s="48">
        <f aca="true" t="shared" si="3" ref="E14:P14">SUM(E16:E20)</f>
        <v>747</v>
      </c>
      <c r="F14" s="79">
        <f t="shared" si="3"/>
        <v>0</v>
      </c>
      <c r="G14" s="48">
        <f t="shared" si="3"/>
        <v>0</v>
      </c>
      <c r="H14" s="48">
        <f t="shared" si="3"/>
        <v>335822</v>
      </c>
      <c r="I14" s="48">
        <f t="shared" si="3"/>
        <v>0</v>
      </c>
      <c r="J14" s="48">
        <f t="shared" si="3"/>
        <v>0</v>
      </c>
      <c r="K14" s="77">
        <f t="shared" si="3"/>
        <v>0</v>
      </c>
      <c r="L14" s="48">
        <f t="shared" si="3"/>
        <v>0</v>
      </c>
      <c r="M14" s="48">
        <f t="shared" si="3"/>
        <v>12500</v>
      </c>
      <c r="N14" s="48">
        <f t="shared" si="3"/>
        <v>32673</v>
      </c>
      <c r="O14" s="79">
        <f t="shared" si="3"/>
        <v>0</v>
      </c>
      <c r="P14" s="48">
        <f t="shared" si="3"/>
        <v>32673</v>
      </c>
      <c r="Q14" s="48"/>
      <c r="R14" s="57"/>
      <c r="S14" s="56"/>
      <c r="T14" s="48" t="s">
        <v>65</v>
      </c>
      <c r="U14" s="48">
        <f>SUM(U16:U20)</f>
        <v>0</v>
      </c>
      <c r="V14" s="48">
        <f>SUM(V16:V20)</f>
        <v>2150.5</v>
      </c>
      <c r="W14" s="48">
        <f>SUM(W16:W20)</f>
        <v>0</v>
      </c>
      <c r="X14" s="48">
        <f>SUM(X16:X20)</f>
        <v>2150.5</v>
      </c>
      <c r="Y14" s="48"/>
      <c r="Z14" s="48">
        <f>SUM(Z16:Z20)</f>
        <v>16750</v>
      </c>
      <c r="AA14" s="48">
        <f>SUM(AA16:AA20)</f>
        <v>34064.17</v>
      </c>
      <c r="AB14" s="48">
        <f>SUM(AB16:AB20)</f>
        <v>0</v>
      </c>
      <c r="AC14" s="48">
        <f>SUM(AC16:AC20)</f>
        <v>50814.17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7"/>
      <c r="S15" s="58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1" t="s">
        <v>149</v>
      </c>
      <c r="D16" s="41">
        <v>36221</v>
      </c>
      <c r="E16" s="41"/>
      <c r="F16" s="42"/>
      <c r="G16" s="41"/>
      <c r="H16" s="41">
        <f>D16+E16+F16+G16</f>
        <v>36221</v>
      </c>
      <c r="I16" s="41"/>
      <c r="J16" s="41"/>
      <c r="K16" s="76"/>
      <c r="L16" s="41">
        <f>J16+K16</f>
        <v>0</v>
      </c>
      <c r="M16" s="41"/>
      <c r="N16" s="41">
        <v>11297</v>
      </c>
      <c r="O16" s="41"/>
      <c r="P16" s="41">
        <f>N16+O16</f>
        <v>11297</v>
      </c>
      <c r="Q16" s="41"/>
      <c r="R16" s="57">
        <v>3526</v>
      </c>
      <c r="S16" s="4">
        <v>507</v>
      </c>
      <c r="T16" s="49" t="s">
        <v>22</v>
      </c>
      <c r="U16" s="41"/>
      <c r="V16" s="41"/>
      <c r="W16" s="41"/>
      <c r="X16" s="41">
        <f>SUM(U16:W16)</f>
        <v>0</v>
      </c>
      <c r="Y16" s="41"/>
      <c r="Z16" s="41">
        <v>6200</v>
      </c>
      <c r="AA16" s="45">
        <f>5600</f>
        <v>5600</v>
      </c>
      <c r="AB16" s="41"/>
      <c r="AC16" s="41">
        <f>SUM(Z16:AB16)</f>
        <v>11800</v>
      </c>
    </row>
    <row r="17" spans="1:29" ht="12.75">
      <c r="A17" s="35">
        <v>3524</v>
      </c>
      <c r="B17" s="4">
        <v>508</v>
      </c>
      <c r="C17" s="7" t="s">
        <v>23</v>
      </c>
      <c r="D17" s="41">
        <v>9416</v>
      </c>
      <c r="E17" s="41"/>
      <c r="F17" s="42"/>
      <c r="G17" s="41"/>
      <c r="H17" s="41">
        <f>D17+E17+F17+G17</f>
        <v>9416</v>
      </c>
      <c r="I17" s="41"/>
      <c r="J17" s="50"/>
      <c r="K17" s="50"/>
      <c r="L17" s="50">
        <f>J17+K17</f>
        <v>0</v>
      </c>
      <c r="M17" s="41"/>
      <c r="N17" s="41">
        <v>395</v>
      </c>
      <c r="O17" s="42"/>
      <c r="P17" s="41">
        <f>N17+O17</f>
        <v>395</v>
      </c>
      <c r="Q17" s="41"/>
      <c r="R17" s="57">
        <v>3524</v>
      </c>
      <c r="S17" s="4">
        <v>508</v>
      </c>
      <c r="T17" s="49" t="s">
        <v>23</v>
      </c>
      <c r="U17" s="41"/>
      <c r="V17" s="41"/>
      <c r="W17" s="41"/>
      <c r="X17" s="41">
        <f>SUM(U17:W17)</f>
        <v>0</v>
      </c>
      <c r="Y17" s="41"/>
      <c r="Z17" s="41"/>
      <c r="AA17" s="41"/>
      <c r="AB17" s="41"/>
      <c r="AC17" s="41">
        <f>SUM(Z17:AB17)</f>
        <v>0</v>
      </c>
    </row>
    <row r="18" spans="1:29" ht="12.75" customHeight="1">
      <c r="A18" s="35">
        <v>3524</v>
      </c>
      <c r="B18" s="4">
        <v>509</v>
      </c>
      <c r="C18" s="7" t="s">
        <v>21</v>
      </c>
      <c r="D18" s="41">
        <v>3500</v>
      </c>
      <c r="E18" s="41"/>
      <c r="F18" s="42"/>
      <c r="G18" s="41"/>
      <c r="H18" s="41">
        <f>D18+E18+F18+G18</f>
        <v>3500</v>
      </c>
      <c r="I18" s="41"/>
      <c r="J18" s="41"/>
      <c r="K18" s="50"/>
      <c r="L18" s="41">
        <f>J18+K18</f>
        <v>0</v>
      </c>
      <c r="M18" s="41"/>
      <c r="N18" s="41">
        <v>162</v>
      </c>
      <c r="O18" s="41"/>
      <c r="P18" s="41">
        <f>N18+O18</f>
        <v>162</v>
      </c>
      <c r="Q18" s="41"/>
      <c r="R18" s="57">
        <v>3524</v>
      </c>
      <c r="S18" s="4">
        <v>509</v>
      </c>
      <c r="T18" s="49" t="s">
        <v>21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82</v>
      </c>
      <c r="D19" s="41">
        <v>274038</v>
      </c>
      <c r="E19" s="41">
        <f>747</f>
        <v>747</v>
      </c>
      <c r="F19" s="42"/>
      <c r="G19" s="41"/>
      <c r="H19" s="41">
        <f>D19+E19+F19+G19</f>
        <v>274785</v>
      </c>
      <c r="I19" s="41"/>
      <c r="J19" s="41"/>
      <c r="K19" s="41"/>
      <c r="L19" s="41">
        <f>J19+K19</f>
        <v>0</v>
      </c>
      <c r="M19" s="41">
        <v>12500</v>
      </c>
      <c r="N19" s="41">
        <v>20819</v>
      </c>
      <c r="O19" s="41"/>
      <c r="P19" s="41">
        <f>N19+O19</f>
        <v>20819</v>
      </c>
      <c r="Q19" s="41"/>
      <c r="R19" s="57">
        <v>3533</v>
      </c>
      <c r="S19" s="4">
        <v>511</v>
      </c>
      <c r="T19" s="49" t="s">
        <v>33</v>
      </c>
      <c r="U19" s="41"/>
      <c r="V19" s="41">
        <f>2150.5</f>
        <v>2150.5</v>
      </c>
      <c r="W19" s="41"/>
      <c r="X19" s="41">
        <f>SUM(U19:W19)</f>
        <v>2150.5</v>
      </c>
      <c r="Y19" s="41"/>
      <c r="Z19" s="41">
        <v>10550</v>
      </c>
      <c r="AA19" s="41">
        <f>28464.17</f>
        <v>28464.17</v>
      </c>
      <c r="AB19" s="41"/>
      <c r="AC19" s="41">
        <f>SUM(Z19:AB19)</f>
        <v>39014.17</v>
      </c>
    </row>
    <row r="20" spans="1:29" ht="12.75">
      <c r="A20" s="35">
        <v>3539</v>
      </c>
      <c r="B20" s="4">
        <v>514</v>
      </c>
      <c r="C20" s="8" t="s">
        <v>2</v>
      </c>
      <c r="D20" s="41">
        <v>11900</v>
      </c>
      <c r="E20" s="41"/>
      <c r="F20" s="41"/>
      <c r="G20" s="41"/>
      <c r="H20" s="41">
        <f>D20+E20+F20+G20</f>
        <v>11900</v>
      </c>
      <c r="I20" s="41"/>
      <c r="J20" s="41"/>
      <c r="K20" s="41"/>
      <c r="L20" s="41">
        <f>J20+K20</f>
        <v>0</v>
      </c>
      <c r="M20" s="41"/>
      <c r="N20" s="41"/>
      <c r="O20" s="41"/>
      <c r="P20" s="41">
        <f>N20+O20</f>
        <v>0</v>
      </c>
      <c r="Q20" s="41"/>
      <c r="R20" s="57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18</v>
      </c>
      <c r="D21" s="39">
        <f>SUM(D23:D33)</f>
        <v>240438.88</v>
      </c>
      <c r="E21" s="39">
        <f aca="true" t="shared" si="4" ref="E21:P21">SUM(E23:E33)</f>
        <v>12687.4</v>
      </c>
      <c r="F21" s="39">
        <f t="shared" si="4"/>
        <v>0</v>
      </c>
      <c r="G21" s="39">
        <f t="shared" si="4"/>
        <v>469.44000000000005</v>
      </c>
      <c r="H21" s="39">
        <f t="shared" si="4"/>
        <v>253595.71999999997</v>
      </c>
      <c r="I21" s="39">
        <f t="shared" si="4"/>
        <v>0</v>
      </c>
      <c r="J21" s="39">
        <f t="shared" si="4"/>
        <v>2850</v>
      </c>
      <c r="K21" s="39">
        <f t="shared" si="4"/>
        <v>0</v>
      </c>
      <c r="L21" s="39">
        <f t="shared" si="4"/>
        <v>2850</v>
      </c>
      <c r="M21" s="39">
        <f t="shared" si="4"/>
        <v>0</v>
      </c>
      <c r="N21" s="39">
        <f t="shared" si="4"/>
        <v>12628.800000000001</v>
      </c>
      <c r="O21" s="39">
        <f t="shared" si="4"/>
        <v>0</v>
      </c>
      <c r="P21" s="39">
        <f t="shared" si="4"/>
        <v>12628.800000000001</v>
      </c>
      <c r="Q21" s="39"/>
      <c r="R21" s="55"/>
      <c r="S21" s="56"/>
      <c r="T21" s="39" t="s">
        <v>66</v>
      </c>
      <c r="U21" s="39">
        <f>SUM(U23:U32)</f>
        <v>0</v>
      </c>
      <c r="V21" s="39">
        <f>SUM(V23:V32)</f>
        <v>15750</v>
      </c>
      <c r="W21" s="39">
        <f>SUM(W23:W32)</f>
        <v>0</v>
      </c>
      <c r="X21" s="39">
        <f>SUM(X23:X32)</f>
        <v>15750</v>
      </c>
      <c r="Y21" s="39"/>
      <c r="Z21" s="39">
        <f>SUM(Z23:Z32)</f>
        <v>5000</v>
      </c>
      <c r="AA21" s="67">
        <f>SUM(AA23:AA32)</f>
        <v>2076.7200000000003</v>
      </c>
      <c r="AB21" s="39">
        <f>SUM(AB23:AB32)</f>
        <v>0</v>
      </c>
      <c r="AC21" s="39">
        <f>SUM(AC23:AC32)</f>
        <v>7076.72</v>
      </c>
    </row>
    <row r="22" spans="1:29" ht="12.75">
      <c r="A22" s="34"/>
      <c r="B22" s="2"/>
      <c r="C22" s="6" t="s">
        <v>35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5"/>
      <c r="S22" s="56"/>
      <c r="T22" s="43" t="s">
        <v>35</v>
      </c>
      <c r="U22" s="39"/>
      <c r="V22" s="39"/>
      <c r="W22" s="39"/>
      <c r="X22" s="39"/>
      <c r="Y22" s="39"/>
      <c r="Z22" s="39"/>
      <c r="AA22" s="67"/>
      <c r="AB22" s="39"/>
      <c r="AC22" s="39"/>
    </row>
    <row r="23" spans="1:29" ht="12.75">
      <c r="A23" s="35">
        <v>3315</v>
      </c>
      <c r="B23" s="4">
        <v>601</v>
      </c>
      <c r="C23" s="8" t="s">
        <v>172</v>
      </c>
      <c r="D23" s="41">
        <v>18452.56</v>
      </c>
      <c r="E23" s="41">
        <f>1050+850</f>
        <v>1900</v>
      </c>
      <c r="F23" s="41"/>
      <c r="G23" s="41">
        <f>68.9</f>
        <v>68.9</v>
      </c>
      <c r="H23" s="41">
        <f>D23+E23+F23+G23</f>
        <v>20421.460000000003</v>
      </c>
      <c r="I23" s="41"/>
      <c r="J23" s="41">
        <v>1500</v>
      </c>
      <c r="K23" s="41"/>
      <c r="L23" s="41">
        <f aca="true" t="shared" si="5" ref="L23:L32">J23+K23</f>
        <v>1500</v>
      </c>
      <c r="M23" s="41"/>
      <c r="N23" s="41">
        <v>858.6</v>
      </c>
      <c r="O23" s="41"/>
      <c r="P23" s="41">
        <f>N23+O23</f>
        <v>858.6</v>
      </c>
      <c r="Q23" s="41"/>
      <c r="R23" s="57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6" ref="X23:X32">SUM(U23:W23)</f>
        <v>0</v>
      </c>
      <c r="Y23" s="41"/>
      <c r="Z23" s="41"/>
      <c r="AA23" s="45"/>
      <c r="AB23" s="41"/>
      <c r="AC23" s="41">
        <f aca="true" t="shared" si="7" ref="AC23:AC32">SUM(Z23:AB23)</f>
        <v>0</v>
      </c>
    </row>
    <row r="24" spans="1:29" ht="12.75">
      <c r="A24" s="35">
        <v>3315</v>
      </c>
      <c r="B24" s="4">
        <v>602</v>
      </c>
      <c r="C24" s="8" t="s">
        <v>59</v>
      </c>
      <c r="D24" s="41">
        <v>8509.06</v>
      </c>
      <c r="E24" s="41">
        <f>136.7+580</f>
        <v>716.7</v>
      </c>
      <c r="F24" s="41"/>
      <c r="G24" s="41"/>
      <c r="H24" s="41">
        <f aca="true" t="shared" si="8" ref="H24:H33">D24+E24+F24+G24</f>
        <v>9225.76</v>
      </c>
      <c r="I24" s="41"/>
      <c r="J24" s="41">
        <v>500</v>
      </c>
      <c r="K24" s="41"/>
      <c r="L24" s="41">
        <f t="shared" si="5"/>
        <v>500</v>
      </c>
      <c r="M24" s="41"/>
      <c r="N24" s="41">
        <v>125.4</v>
      </c>
      <c r="O24" s="41"/>
      <c r="P24" s="41">
        <f aca="true" t="shared" si="9" ref="P24:P33">N24+O24</f>
        <v>125.4</v>
      </c>
      <c r="Q24" s="41"/>
      <c r="R24" s="57">
        <v>3315</v>
      </c>
      <c r="S24" s="4">
        <v>602</v>
      </c>
      <c r="T24" s="44" t="s">
        <v>5</v>
      </c>
      <c r="U24" s="41"/>
      <c r="V24" s="41"/>
      <c r="W24" s="41"/>
      <c r="X24" s="41">
        <f t="shared" si="6"/>
        <v>0</v>
      </c>
      <c r="Y24" s="41"/>
      <c r="Z24" s="41">
        <v>650</v>
      </c>
      <c r="AA24" s="45"/>
      <c r="AB24" s="41"/>
      <c r="AC24" s="41">
        <f t="shared" si="7"/>
        <v>650</v>
      </c>
    </row>
    <row r="25" spans="1:29" ht="12.75">
      <c r="A25" s="35">
        <v>3315</v>
      </c>
      <c r="B25" s="4">
        <v>603</v>
      </c>
      <c r="C25" s="37" t="s">
        <v>173</v>
      </c>
      <c r="D25" s="41">
        <v>55765.58</v>
      </c>
      <c r="E25" s="41"/>
      <c r="F25" s="41"/>
      <c r="G25" s="41">
        <f>400.54</f>
        <v>400.54</v>
      </c>
      <c r="H25" s="41">
        <f t="shared" si="8"/>
        <v>56166.12</v>
      </c>
      <c r="I25" s="41"/>
      <c r="J25" s="41">
        <v>300</v>
      </c>
      <c r="K25" s="41"/>
      <c r="L25" s="41">
        <f t="shared" si="5"/>
        <v>300</v>
      </c>
      <c r="M25" s="41"/>
      <c r="N25" s="41">
        <v>2906.6</v>
      </c>
      <c r="O25" s="41"/>
      <c r="P25" s="41">
        <f t="shared" si="9"/>
        <v>2906.6</v>
      </c>
      <c r="Q25" s="41"/>
      <c r="R25" s="57">
        <v>3315</v>
      </c>
      <c r="S25" s="4">
        <v>603</v>
      </c>
      <c r="T25" s="44" t="s">
        <v>3</v>
      </c>
      <c r="U25" s="41"/>
      <c r="V25" s="41"/>
      <c r="W25" s="41"/>
      <c r="X25" s="41">
        <f t="shared" si="6"/>
        <v>0</v>
      </c>
      <c r="Y25" s="41"/>
      <c r="Z25" s="41">
        <v>1000</v>
      </c>
      <c r="AA25" s="45">
        <f>1650.92</f>
        <v>1650.92</v>
      </c>
      <c r="AB25" s="41"/>
      <c r="AC25" s="41">
        <f t="shared" si="7"/>
        <v>2650.92</v>
      </c>
    </row>
    <row r="26" spans="1:29" ht="12.75">
      <c r="A26" s="35">
        <v>3314</v>
      </c>
      <c r="B26" s="4">
        <v>604</v>
      </c>
      <c r="C26" s="8" t="s">
        <v>174</v>
      </c>
      <c r="D26" s="41">
        <v>70189.16</v>
      </c>
      <c r="E26" s="41">
        <f>3100+100+80.9</f>
        <v>3280.9</v>
      </c>
      <c r="F26" s="41"/>
      <c r="G26" s="41"/>
      <c r="H26" s="41">
        <f t="shared" si="8"/>
        <v>73470.06</v>
      </c>
      <c r="I26" s="41"/>
      <c r="J26" s="41"/>
      <c r="K26" s="41"/>
      <c r="L26" s="41">
        <f t="shared" si="5"/>
        <v>0</v>
      </c>
      <c r="M26" s="41"/>
      <c r="N26" s="41">
        <v>4406.6</v>
      </c>
      <c r="O26" s="41"/>
      <c r="P26" s="41">
        <f t="shared" si="9"/>
        <v>4406.6</v>
      </c>
      <c r="Q26" s="41"/>
      <c r="R26" s="57">
        <v>3314</v>
      </c>
      <c r="S26" s="4">
        <v>604</v>
      </c>
      <c r="T26" s="44" t="s">
        <v>36</v>
      </c>
      <c r="U26" s="41"/>
      <c r="V26" s="41"/>
      <c r="W26" s="41"/>
      <c r="X26" s="41">
        <f t="shared" si="6"/>
        <v>0</v>
      </c>
      <c r="Y26" s="41"/>
      <c r="Z26" s="41">
        <v>1400</v>
      </c>
      <c r="AA26" s="45"/>
      <c r="AB26" s="41"/>
      <c r="AC26" s="41">
        <f t="shared" si="7"/>
        <v>1400</v>
      </c>
    </row>
    <row r="27" spans="1:29" ht="12.75">
      <c r="A27" s="35">
        <v>3319</v>
      </c>
      <c r="B27" s="4">
        <v>605</v>
      </c>
      <c r="C27" s="8" t="s">
        <v>156</v>
      </c>
      <c r="D27" s="41">
        <v>6806.56</v>
      </c>
      <c r="E27" s="41">
        <f>100</f>
        <v>100</v>
      </c>
      <c r="F27" s="41"/>
      <c r="G27" s="41"/>
      <c r="H27" s="41">
        <f t="shared" si="8"/>
        <v>6906.56</v>
      </c>
      <c r="I27" s="41"/>
      <c r="J27" s="41"/>
      <c r="K27" s="41"/>
      <c r="L27" s="41">
        <f t="shared" si="5"/>
        <v>0</v>
      </c>
      <c r="M27" s="41"/>
      <c r="N27" s="41">
        <v>97.8</v>
      </c>
      <c r="O27" s="41"/>
      <c r="P27" s="41">
        <f t="shared" si="9"/>
        <v>97.8</v>
      </c>
      <c r="Q27" s="41"/>
      <c r="R27" s="57">
        <v>3319</v>
      </c>
      <c r="S27" s="4">
        <v>605</v>
      </c>
      <c r="T27" s="8" t="s">
        <v>156</v>
      </c>
      <c r="U27" s="41"/>
      <c r="V27" s="41"/>
      <c r="W27" s="41"/>
      <c r="X27" s="41">
        <f t="shared" si="6"/>
        <v>0</v>
      </c>
      <c r="Y27" s="41"/>
      <c r="Z27" s="41">
        <v>150</v>
      </c>
      <c r="AA27" s="45"/>
      <c r="AB27" s="41"/>
      <c r="AC27" s="41">
        <f t="shared" si="7"/>
        <v>150</v>
      </c>
    </row>
    <row r="28" spans="1:29" ht="12.75">
      <c r="A28" s="35">
        <v>3319</v>
      </c>
      <c r="B28" s="4">
        <v>606</v>
      </c>
      <c r="C28" s="8" t="s">
        <v>14</v>
      </c>
      <c r="D28" s="41">
        <v>15620.56</v>
      </c>
      <c r="E28" s="41">
        <f>1508</f>
        <v>1508</v>
      </c>
      <c r="F28" s="41"/>
      <c r="G28" s="41"/>
      <c r="H28" s="41">
        <f t="shared" si="8"/>
        <v>17128.559999999998</v>
      </c>
      <c r="I28" s="41"/>
      <c r="J28" s="41"/>
      <c r="K28" s="41"/>
      <c r="L28" s="41">
        <f t="shared" si="5"/>
        <v>0</v>
      </c>
      <c r="M28" s="41"/>
      <c r="N28" s="41">
        <v>982.1</v>
      </c>
      <c r="O28" s="41"/>
      <c r="P28" s="41">
        <f t="shared" si="9"/>
        <v>982.1</v>
      </c>
      <c r="Q28" s="41"/>
      <c r="R28" s="57">
        <v>3319</v>
      </c>
      <c r="S28" s="4">
        <v>606</v>
      </c>
      <c r="T28" s="44" t="s">
        <v>14</v>
      </c>
      <c r="U28" s="41"/>
      <c r="V28" s="41">
        <f>15000</f>
        <v>15000</v>
      </c>
      <c r="W28" s="41"/>
      <c r="X28" s="41">
        <f t="shared" si="6"/>
        <v>15000</v>
      </c>
      <c r="Y28" s="41"/>
      <c r="Z28" s="41">
        <v>600</v>
      </c>
      <c r="AA28" s="45"/>
      <c r="AB28" s="41"/>
      <c r="AC28" s="41">
        <f t="shared" si="7"/>
        <v>600</v>
      </c>
    </row>
    <row r="29" spans="1:29" ht="12.75">
      <c r="A29" s="35">
        <v>3319</v>
      </c>
      <c r="B29" s="4">
        <v>607</v>
      </c>
      <c r="C29" s="8" t="s">
        <v>73</v>
      </c>
      <c r="D29" s="41">
        <v>7048.86</v>
      </c>
      <c r="E29" s="41">
        <f>173.5</f>
        <v>173.5</v>
      </c>
      <c r="F29" s="41"/>
      <c r="G29" s="41"/>
      <c r="H29" s="41">
        <f t="shared" si="8"/>
        <v>7222.36</v>
      </c>
      <c r="I29" s="41"/>
      <c r="J29" s="41"/>
      <c r="K29" s="41"/>
      <c r="L29" s="41">
        <f t="shared" si="5"/>
        <v>0</v>
      </c>
      <c r="M29" s="41"/>
      <c r="N29" s="41">
        <v>144.5</v>
      </c>
      <c r="O29" s="41"/>
      <c r="P29" s="41">
        <f t="shared" si="9"/>
        <v>144.5</v>
      </c>
      <c r="Q29" s="41"/>
      <c r="R29" s="57">
        <v>3319</v>
      </c>
      <c r="S29" s="4">
        <v>607</v>
      </c>
      <c r="T29" s="44" t="s">
        <v>15</v>
      </c>
      <c r="U29" s="41"/>
      <c r="V29" s="41"/>
      <c r="W29" s="41"/>
      <c r="X29" s="41">
        <f t="shared" si="6"/>
        <v>0</v>
      </c>
      <c r="Y29" s="41"/>
      <c r="Z29" s="41">
        <v>250</v>
      </c>
      <c r="AA29" s="41">
        <f>175.8</f>
        <v>175.8</v>
      </c>
      <c r="AB29" s="41"/>
      <c r="AC29" s="41">
        <f t="shared" si="7"/>
        <v>425.8</v>
      </c>
    </row>
    <row r="30" spans="1:29" ht="12.75">
      <c r="A30" s="35">
        <v>3315</v>
      </c>
      <c r="B30" s="4">
        <v>608</v>
      </c>
      <c r="C30" s="8" t="s">
        <v>37</v>
      </c>
      <c r="D30" s="41">
        <v>13702.26</v>
      </c>
      <c r="E30" s="41">
        <f>700</f>
        <v>700</v>
      </c>
      <c r="F30" s="41"/>
      <c r="G30" s="41"/>
      <c r="H30" s="41">
        <f t="shared" si="8"/>
        <v>14402.26</v>
      </c>
      <c r="I30" s="41"/>
      <c r="J30" s="41">
        <v>100</v>
      </c>
      <c r="K30" s="41"/>
      <c r="L30" s="41">
        <f t="shared" si="5"/>
        <v>100</v>
      </c>
      <c r="M30" s="41"/>
      <c r="N30" s="41">
        <v>602.2</v>
      </c>
      <c r="O30" s="41"/>
      <c r="P30" s="41">
        <f t="shared" si="9"/>
        <v>602.2</v>
      </c>
      <c r="Q30" s="41"/>
      <c r="R30" s="57">
        <v>3315</v>
      </c>
      <c r="S30" s="4">
        <v>608</v>
      </c>
      <c r="T30" s="44" t="s">
        <v>37</v>
      </c>
      <c r="U30" s="41"/>
      <c r="V30" s="41"/>
      <c r="W30" s="41"/>
      <c r="X30" s="41">
        <f t="shared" si="6"/>
        <v>0</v>
      </c>
      <c r="Y30" s="41"/>
      <c r="Z30" s="41"/>
      <c r="AA30" s="41"/>
      <c r="AB30" s="41"/>
      <c r="AC30" s="41">
        <f t="shared" si="7"/>
        <v>0</v>
      </c>
    </row>
    <row r="31" spans="1:29" ht="12.75">
      <c r="A31" s="35">
        <v>3315</v>
      </c>
      <c r="B31" s="4">
        <v>609</v>
      </c>
      <c r="C31" s="8" t="s">
        <v>119</v>
      </c>
      <c r="D31" s="41">
        <v>13517.06</v>
      </c>
      <c r="E31" s="41">
        <f>4236.9</f>
        <v>4236.9</v>
      </c>
      <c r="F31" s="41"/>
      <c r="G31" s="41"/>
      <c r="H31" s="41">
        <f t="shared" si="8"/>
        <v>17753.96</v>
      </c>
      <c r="I31" s="41"/>
      <c r="J31" s="41">
        <v>100</v>
      </c>
      <c r="K31" s="41"/>
      <c r="L31" s="41">
        <f t="shared" si="5"/>
        <v>100</v>
      </c>
      <c r="M31" s="41"/>
      <c r="N31" s="41">
        <v>2095.5</v>
      </c>
      <c r="O31" s="41"/>
      <c r="P31" s="41">
        <f t="shared" si="9"/>
        <v>2095.5</v>
      </c>
      <c r="Q31" s="41"/>
      <c r="R31" s="57">
        <v>3315</v>
      </c>
      <c r="S31" s="4">
        <v>609</v>
      </c>
      <c r="T31" s="44" t="s">
        <v>119</v>
      </c>
      <c r="U31" s="41"/>
      <c r="V31" s="41"/>
      <c r="W31" s="41"/>
      <c r="X31" s="41">
        <f t="shared" si="6"/>
        <v>0</v>
      </c>
      <c r="Y31" s="41"/>
      <c r="Z31" s="41">
        <v>650</v>
      </c>
      <c r="AA31" s="41"/>
      <c r="AB31" s="41"/>
      <c r="AC31" s="41">
        <f t="shared" si="7"/>
        <v>650</v>
      </c>
    </row>
    <row r="32" spans="1:29" ht="12.75">
      <c r="A32" s="35">
        <v>3315</v>
      </c>
      <c r="B32" s="4">
        <v>610</v>
      </c>
      <c r="C32" s="37" t="s">
        <v>80</v>
      </c>
      <c r="D32" s="41">
        <v>16969.16</v>
      </c>
      <c r="E32" s="41">
        <f>71.4</f>
        <v>71.4</v>
      </c>
      <c r="F32" s="41"/>
      <c r="G32" s="41"/>
      <c r="H32" s="41">
        <f t="shared" si="8"/>
        <v>17040.56</v>
      </c>
      <c r="I32" s="41"/>
      <c r="J32" s="41">
        <v>350</v>
      </c>
      <c r="K32" s="41"/>
      <c r="L32" s="41">
        <f t="shared" si="5"/>
        <v>350</v>
      </c>
      <c r="M32" s="41"/>
      <c r="N32" s="41">
        <v>355.1</v>
      </c>
      <c r="O32" s="41"/>
      <c r="P32" s="41">
        <f t="shared" si="9"/>
        <v>355.1</v>
      </c>
      <c r="Q32" s="41"/>
      <c r="R32" s="57">
        <v>3315</v>
      </c>
      <c r="S32" s="4">
        <v>610</v>
      </c>
      <c r="T32" s="44" t="s">
        <v>27</v>
      </c>
      <c r="U32" s="41"/>
      <c r="V32" s="41">
        <f>750</f>
        <v>750</v>
      </c>
      <c r="W32" s="41"/>
      <c r="X32" s="41">
        <f t="shared" si="6"/>
        <v>750</v>
      </c>
      <c r="Y32" s="41"/>
      <c r="Z32" s="41">
        <v>300</v>
      </c>
      <c r="AA32" s="41">
        <f>250</f>
        <v>250</v>
      </c>
      <c r="AB32" s="41"/>
      <c r="AC32" s="41">
        <f t="shared" si="7"/>
        <v>550</v>
      </c>
    </row>
    <row r="33" spans="1:29" ht="12.75">
      <c r="A33" s="35">
        <v>2143</v>
      </c>
      <c r="B33" s="4">
        <v>611</v>
      </c>
      <c r="C33" s="37" t="s">
        <v>148</v>
      </c>
      <c r="D33" s="41">
        <v>13858.06</v>
      </c>
      <c r="E33" s="41"/>
      <c r="F33" s="41"/>
      <c r="G33" s="41"/>
      <c r="H33" s="41">
        <f t="shared" si="8"/>
        <v>13858.06</v>
      </c>
      <c r="I33" s="41"/>
      <c r="J33" s="41"/>
      <c r="K33" s="41"/>
      <c r="L33" s="41"/>
      <c r="M33" s="41"/>
      <c r="N33" s="41">
        <v>54.4</v>
      </c>
      <c r="O33" s="41"/>
      <c r="P33" s="41">
        <f t="shared" si="9"/>
        <v>54.4</v>
      </c>
      <c r="Q33" s="41"/>
      <c r="R33" s="57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19</v>
      </c>
      <c r="D34" s="51">
        <f aca="true" t="shared" si="10" ref="D34:P34">SUM(D36:D58)</f>
        <v>315370</v>
      </c>
      <c r="E34" s="88">
        <f t="shared" si="10"/>
        <v>12500</v>
      </c>
      <c r="F34" s="88">
        <f t="shared" si="10"/>
        <v>0</v>
      </c>
      <c r="G34" s="88">
        <f t="shared" si="10"/>
        <v>0</v>
      </c>
      <c r="H34" s="88">
        <f t="shared" si="10"/>
        <v>327870</v>
      </c>
      <c r="I34" s="51">
        <f t="shared" si="10"/>
        <v>0</v>
      </c>
      <c r="J34" s="51">
        <f t="shared" si="10"/>
        <v>0</v>
      </c>
      <c r="K34" s="51">
        <f t="shared" si="10"/>
        <v>0</v>
      </c>
      <c r="L34" s="51">
        <f t="shared" si="10"/>
        <v>0</v>
      </c>
      <c r="M34" s="51">
        <f t="shared" si="10"/>
        <v>0</v>
      </c>
      <c r="N34" s="51">
        <f t="shared" si="10"/>
        <v>29938.999999999993</v>
      </c>
      <c r="O34" s="51">
        <f t="shared" si="10"/>
        <v>0</v>
      </c>
      <c r="P34" s="51">
        <f t="shared" si="10"/>
        <v>29938.999999999993</v>
      </c>
      <c r="Q34" s="51"/>
      <c r="R34" s="57"/>
      <c r="S34" s="58"/>
      <c r="T34" s="51" t="s">
        <v>67</v>
      </c>
      <c r="U34" s="51">
        <f>SUM(U36:U58)</f>
        <v>3700</v>
      </c>
      <c r="V34" s="51">
        <f>SUM(V36:V58)</f>
        <v>1000</v>
      </c>
      <c r="W34" s="51">
        <f>SUM(W36:W58)</f>
        <v>0</v>
      </c>
      <c r="X34" s="51">
        <f>SUM(X36:X58)</f>
        <v>4700</v>
      </c>
      <c r="Y34" s="51"/>
      <c r="Z34" s="51">
        <f>SUM(Z36:Z58)</f>
        <v>18300</v>
      </c>
      <c r="AA34" s="51">
        <f>SUM(AA36:AA58)</f>
        <v>27770</v>
      </c>
      <c r="AB34" s="51">
        <f>SUM(AB36:AB58)</f>
        <v>0</v>
      </c>
      <c r="AC34" s="51">
        <f>SUM(AC36:AC58)</f>
        <v>46070</v>
      </c>
    </row>
    <row r="35" spans="1:29" ht="12.75">
      <c r="A35" s="35"/>
      <c r="B35" s="4"/>
      <c r="C35" s="6" t="s">
        <v>35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7"/>
      <c r="S35" s="58"/>
      <c r="T35" s="43" t="s">
        <v>1</v>
      </c>
      <c r="U35" s="41"/>
      <c r="V35" s="41"/>
      <c r="W35" s="41"/>
      <c r="X35" s="41"/>
      <c r="Y35" s="41"/>
      <c r="Z35" s="50" t="s">
        <v>62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140</v>
      </c>
      <c r="D36" s="41">
        <v>21633</v>
      </c>
      <c r="E36" s="41"/>
      <c r="F36" s="41"/>
      <c r="G36" s="41"/>
      <c r="H36" s="41">
        <f aca="true" t="shared" si="11" ref="H36:H58">D36+E36+F36+G36</f>
        <v>21633</v>
      </c>
      <c r="I36" s="41"/>
      <c r="J36" s="41"/>
      <c r="K36" s="41"/>
      <c r="L36" s="41">
        <f aca="true" t="shared" si="12" ref="L36:L58">J36+K36</f>
        <v>0</v>
      </c>
      <c r="M36" s="41"/>
      <c r="N36" s="81">
        <v>2527.31</v>
      </c>
      <c r="O36" s="41"/>
      <c r="P36" s="41">
        <f aca="true" t="shared" si="13" ref="P36:P58">N36+O36</f>
        <v>2527.31</v>
      </c>
      <c r="Q36" s="41"/>
      <c r="R36" s="35">
        <v>4357</v>
      </c>
      <c r="S36" s="4">
        <v>801</v>
      </c>
      <c r="T36" s="7" t="s">
        <v>24</v>
      </c>
      <c r="U36" s="41"/>
      <c r="V36" s="41"/>
      <c r="W36" s="41"/>
      <c r="X36" s="41">
        <f aca="true" t="shared" si="14" ref="X36:X58">SUM(U36:W36)</f>
        <v>0</v>
      </c>
      <c r="Y36" s="41"/>
      <c r="Z36" s="41">
        <v>1500</v>
      </c>
      <c r="AA36" s="41">
        <f>2000</f>
        <v>2000</v>
      </c>
      <c r="AB36" s="41"/>
      <c r="AC36" s="41">
        <f aca="true" t="shared" si="15" ref="AC36:AC58">SUM(Z36:AB36)</f>
        <v>3500</v>
      </c>
    </row>
    <row r="37" spans="1:29" ht="12.75">
      <c r="A37" s="35">
        <v>4357</v>
      </c>
      <c r="B37" s="4">
        <v>803</v>
      </c>
      <c r="C37" s="7" t="s">
        <v>132</v>
      </c>
      <c r="D37" s="41">
        <v>13201</v>
      </c>
      <c r="E37" s="41">
        <f>800</f>
        <v>800</v>
      </c>
      <c r="F37" s="41"/>
      <c r="G37" s="41"/>
      <c r="H37" s="41">
        <f t="shared" si="11"/>
        <v>14001</v>
      </c>
      <c r="I37" s="41"/>
      <c r="J37" s="41"/>
      <c r="K37" s="41"/>
      <c r="L37" s="41">
        <f t="shared" si="12"/>
        <v>0</v>
      </c>
      <c r="M37" s="41"/>
      <c r="N37" s="81">
        <v>1032.67</v>
      </c>
      <c r="O37" s="41"/>
      <c r="P37" s="41">
        <f t="shared" si="13"/>
        <v>1032.67</v>
      </c>
      <c r="Q37" s="41"/>
      <c r="R37" s="35">
        <v>4357</v>
      </c>
      <c r="S37" s="4">
        <v>803</v>
      </c>
      <c r="T37" s="7" t="s">
        <v>28</v>
      </c>
      <c r="U37" s="41"/>
      <c r="V37" s="41"/>
      <c r="W37" s="41"/>
      <c r="X37" s="41">
        <f t="shared" si="14"/>
        <v>0</v>
      </c>
      <c r="Y37" s="41"/>
      <c r="Z37" s="41">
        <v>500</v>
      </c>
      <c r="AA37" s="41"/>
      <c r="AB37" s="41"/>
      <c r="AC37" s="41">
        <f t="shared" si="15"/>
        <v>500</v>
      </c>
    </row>
    <row r="38" spans="1:29" ht="12.75">
      <c r="A38" s="35">
        <v>4350</v>
      </c>
      <c r="B38" s="4">
        <v>804</v>
      </c>
      <c r="C38" s="7" t="s">
        <v>141</v>
      </c>
      <c r="D38" s="41">
        <v>8361</v>
      </c>
      <c r="E38" s="41">
        <f>500</f>
        <v>500</v>
      </c>
      <c r="F38" s="41"/>
      <c r="G38" s="41"/>
      <c r="H38" s="41">
        <f t="shared" si="11"/>
        <v>8861</v>
      </c>
      <c r="I38" s="41"/>
      <c r="J38" s="41"/>
      <c r="K38" s="41"/>
      <c r="L38" s="41">
        <f t="shared" si="12"/>
        <v>0</v>
      </c>
      <c r="M38" s="41"/>
      <c r="N38" s="81">
        <v>1092.94</v>
      </c>
      <c r="O38" s="41"/>
      <c r="P38" s="41">
        <f t="shared" si="13"/>
        <v>1092.94</v>
      </c>
      <c r="Q38" s="41"/>
      <c r="R38" s="35">
        <v>4350</v>
      </c>
      <c r="S38" s="4">
        <v>804</v>
      </c>
      <c r="T38" s="7" t="s">
        <v>60</v>
      </c>
      <c r="U38" s="41">
        <v>1000</v>
      </c>
      <c r="V38" s="41"/>
      <c r="W38" s="41"/>
      <c r="X38" s="41">
        <f t="shared" si="14"/>
        <v>1000</v>
      </c>
      <c r="Y38" s="41"/>
      <c r="Z38" s="41">
        <v>400</v>
      </c>
      <c r="AA38" s="41"/>
      <c r="AB38" s="41"/>
      <c r="AC38" s="41">
        <f t="shared" si="15"/>
        <v>400</v>
      </c>
    </row>
    <row r="39" spans="1:29" ht="12.75">
      <c r="A39" s="35">
        <v>4350</v>
      </c>
      <c r="B39" s="4">
        <v>805</v>
      </c>
      <c r="C39" s="7" t="s">
        <v>133</v>
      </c>
      <c r="D39" s="41">
        <v>35014</v>
      </c>
      <c r="E39" s="41"/>
      <c r="F39" s="41"/>
      <c r="G39" s="41"/>
      <c r="H39" s="41">
        <f t="shared" si="11"/>
        <v>35014</v>
      </c>
      <c r="I39" s="41"/>
      <c r="J39" s="41"/>
      <c r="K39" s="41"/>
      <c r="L39" s="41">
        <f t="shared" si="12"/>
        <v>0</v>
      </c>
      <c r="M39" s="41"/>
      <c r="N39" s="81">
        <v>2804.5</v>
      </c>
      <c r="O39" s="41"/>
      <c r="P39" s="41">
        <f t="shared" si="13"/>
        <v>2804.5</v>
      </c>
      <c r="Q39" s="41"/>
      <c r="R39" s="35">
        <v>4350</v>
      </c>
      <c r="S39" s="4">
        <v>805</v>
      </c>
      <c r="T39" s="7" t="s">
        <v>116</v>
      </c>
      <c r="U39" s="41"/>
      <c r="V39" s="41"/>
      <c r="W39" s="41"/>
      <c r="X39" s="41">
        <f t="shared" si="14"/>
        <v>0</v>
      </c>
      <c r="Y39" s="41"/>
      <c r="Z39" s="41"/>
      <c r="AA39" s="41">
        <f>300.93</f>
        <v>300.93</v>
      </c>
      <c r="AB39" s="41"/>
      <c r="AC39" s="41">
        <f t="shared" si="15"/>
        <v>300.93</v>
      </c>
    </row>
    <row r="40" spans="1:29" ht="12.75">
      <c r="A40" s="35">
        <v>4350</v>
      </c>
      <c r="B40" s="4">
        <v>806</v>
      </c>
      <c r="C40" s="7" t="s">
        <v>29</v>
      </c>
      <c r="D40" s="41">
        <v>4876</v>
      </c>
      <c r="E40" s="41"/>
      <c r="F40" s="41"/>
      <c r="G40" s="41"/>
      <c r="H40" s="41">
        <f t="shared" si="11"/>
        <v>4876</v>
      </c>
      <c r="I40" s="41"/>
      <c r="J40" s="41"/>
      <c r="K40" s="41"/>
      <c r="L40" s="41">
        <f t="shared" si="12"/>
        <v>0</v>
      </c>
      <c r="M40" s="41"/>
      <c r="N40" s="81">
        <v>392.23</v>
      </c>
      <c r="O40" s="41"/>
      <c r="P40" s="41">
        <f t="shared" si="13"/>
        <v>392.23</v>
      </c>
      <c r="Q40" s="41"/>
      <c r="R40" s="35">
        <v>4350</v>
      </c>
      <c r="S40" s="4">
        <v>806</v>
      </c>
      <c r="T40" s="7" t="s">
        <v>29</v>
      </c>
      <c r="U40" s="41"/>
      <c r="V40" s="41"/>
      <c r="W40" s="41"/>
      <c r="X40" s="41">
        <f t="shared" si="14"/>
        <v>0</v>
      </c>
      <c r="Y40" s="41"/>
      <c r="Z40" s="41">
        <v>2000</v>
      </c>
      <c r="AA40" s="41"/>
      <c r="AB40" s="41"/>
      <c r="AC40" s="41">
        <f t="shared" si="15"/>
        <v>2000</v>
      </c>
    </row>
    <row r="41" spans="1:29" ht="12.75">
      <c r="A41" s="35">
        <v>4357</v>
      </c>
      <c r="B41" s="4">
        <v>807</v>
      </c>
      <c r="C41" s="7" t="s">
        <v>134</v>
      </c>
      <c r="D41" s="41">
        <v>11770</v>
      </c>
      <c r="E41" s="41">
        <f>1500</f>
        <v>1500</v>
      </c>
      <c r="F41" s="41"/>
      <c r="G41" s="45"/>
      <c r="H41" s="41">
        <f t="shared" si="11"/>
        <v>13270</v>
      </c>
      <c r="I41" s="41"/>
      <c r="J41" s="41"/>
      <c r="K41" s="41"/>
      <c r="L41" s="41">
        <f t="shared" si="12"/>
        <v>0</v>
      </c>
      <c r="M41" s="41"/>
      <c r="N41" s="81">
        <v>1341.64</v>
      </c>
      <c r="O41" s="41"/>
      <c r="P41" s="41">
        <f t="shared" si="13"/>
        <v>1341.64</v>
      </c>
      <c r="Q41" s="41"/>
      <c r="R41" s="35">
        <v>4357</v>
      </c>
      <c r="S41" s="4">
        <v>807</v>
      </c>
      <c r="T41" s="7" t="s">
        <v>77</v>
      </c>
      <c r="U41" s="41"/>
      <c r="V41" s="41"/>
      <c r="W41" s="41"/>
      <c r="X41" s="41">
        <f t="shared" si="14"/>
        <v>0</v>
      </c>
      <c r="Y41" s="41"/>
      <c r="Z41" s="41">
        <v>500</v>
      </c>
      <c r="AA41" s="41"/>
      <c r="AB41" s="41"/>
      <c r="AC41" s="41">
        <f t="shared" si="15"/>
        <v>500</v>
      </c>
    </row>
    <row r="42" spans="1:29" ht="12.75">
      <c r="A42" s="35">
        <v>4350</v>
      </c>
      <c r="B42" s="4">
        <v>808</v>
      </c>
      <c r="C42" s="87" t="s">
        <v>155</v>
      </c>
      <c r="D42" s="41">
        <v>10310</v>
      </c>
      <c r="E42" s="41"/>
      <c r="F42" s="41"/>
      <c r="G42" s="45"/>
      <c r="H42" s="41">
        <f t="shared" si="11"/>
        <v>10310</v>
      </c>
      <c r="I42" s="41"/>
      <c r="J42" s="41"/>
      <c r="K42" s="41"/>
      <c r="L42" s="41">
        <f t="shared" si="12"/>
        <v>0</v>
      </c>
      <c r="M42" s="41"/>
      <c r="N42" s="81">
        <v>1331.04</v>
      </c>
      <c r="O42" s="41"/>
      <c r="P42" s="41">
        <f t="shared" si="13"/>
        <v>1331.04</v>
      </c>
      <c r="Q42" s="41"/>
      <c r="R42" s="35">
        <v>4350</v>
      </c>
      <c r="S42" s="4">
        <v>808</v>
      </c>
      <c r="T42" s="87" t="s">
        <v>155</v>
      </c>
      <c r="U42" s="41"/>
      <c r="V42" s="41"/>
      <c r="W42" s="41"/>
      <c r="X42" s="41">
        <f t="shared" si="14"/>
        <v>0</v>
      </c>
      <c r="Y42" s="41"/>
      <c r="Z42" s="41">
        <v>1800</v>
      </c>
      <c r="AA42" s="41">
        <f>10200</f>
        <v>10200</v>
      </c>
      <c r="AB42" s="41"/>
      <c r="AC42" s="41">
        <f t="shared" si="15"/>
        <v>12000</v>
      </c>
    </row>
    <row r="43" spans="1:29" ht="12.75">
      <c r="A43" s="35">
        <v>4350</v>
      </c>
      <c r="B43" s="4">
        <v>809</v>
      </c>
      <c r="C43" s="7" t="s">
        <v>153</v>
      </c>
      <c r="D43" s="41">
        <v>13860</v>
      </c>
      <c r="E43" s="41"/>
      <c r="F43" s="41"/>
      <c r="G43" s="45"/>
      <c r="H43" s="41">
        <f t="shared" si="11"/>
        <v>13860</v>
      </c>
      <c r="I43" s="41"/>
      <c r="J43" s="41"/>
      <c r="K43" s="41"/>
      <c r="L43" s="41">
        <f t="shared" si="12"/>
        <v>0</v>
      </c>
      <c r="M43" s="41"/>
      <c r="N43" s="81">
        <v>1368.1</v>
      </c>
      <c r="O43" s="41"/>
      <c r="P43" s="41">
        <f t="shared" si="13"/>
        <v>1368.1</v>
      </c>
      <c r="Q43" s="41"/>
      <c r="R43" s="35">
        <v>4350</v>
      </c>
      <c r="S43" s="4">
        <v>809</v>
      </c>
      <c r="T43" s="7" t="s">
        <v>153</v>
      </c>
      <c r="U43" s="41"/>
      <c r="V43" s="41"/>
      <c r="W43" s="41"/>
      <c r="X43" s="41">
        <f t="shared" si="14"/>
        <v>0</v>
      </c>
      <c r="Y43" s="41"/>
      <c r="Z43" s="41"/>
      <c r="AA43" s="41">
        <f>8300</f>
        <v>8300</v>
      </c>
      <c r="AB43" s="41"/>
      <c r="AC43" s="41">
        <f t="shared" si="15"/>
        <v>8300</v>
      </c>
    </row>
    <row r="44" spans="1:29" ht="12.75">
      <c r="A44" s="35">
        <v>4350</v>
      </c>
      <c r="B44" s="4">
        <v>810</v>
      </c>
      <c r="C44" s="7" t="s">
        <v>75</v>
      </c>
      <c r="D44" s="41">
        <v>4198</v>
      </c>
      <c r="E44" s="41"/>
      <c r="F44" s="41"/>
      <c r="G44" s="45"/>
      <c r="H44" s="41">
        <f t="shared" si="11"/>
        <v>4198</v>
      </c>
      <c r="I44" s="41"/>
      <c r="J44" s="41"/>
      <c r="K44" s="41"/>
      <c r="L44" s="41">
        <f t="shared" si="12"/>
        <v>0</v>
      </c>
      <c r="M44" s="41"/>
      <c r="N44" s="81">
        <v>291.18</v>
      </c>
      <c r="O44" s="41"/>
      <c r="P44" s="41">
        <f t="shared" si="13"/>
        <v>291.18</v>
      </c>
      <c r="Q44" s="41"/>
      <c r="R44" s="35">
        <v>4350</v>
      </c>
      <c r="S44" s="4">
        <v>810</v>
      </c>
      <c r="T44" s="7" t="s">
        <v>75</v>
      </c>
      <c r="U44" s="41"/>
      <c r="V44" s="41"/>
      <c r="W44" s="41"/>
      <c r="X44" s="41">
        <f t="shared" si="14"/>
        <v>0</v>
      </c>
      <c r="Y44" s="41"/>
      <c r="Z44" s="41">
        <v>400</v>
      </c>
      <c r="AA44" s="41"/>
      <c r="AB44" s="41"/>
      <c r="AC44" s="41">
        <f t="shared" si="15"/>
        <v>400</v>
      </c>
    </row>
    <row r="45" spans="1:29" ht="12.75">
      <c r="A45" s="35">
        <v>4350</v>
      </c>
      <c r="B45" s="4">
        <v>811</v>
      </c>
      <c r="C45" s="7" t="s">
        <v>72</v>
      </c>
      <c r="D45" s="41">
        <v>6845</v>
      </c>
      <c r="E45" s="41"/>
      <c r="F45" s="41"/>
      <c r="G45" s="45"/>
      <c r="H45" s="41">
        <f t="shared" si="11"/>
        <v>6845</v>
      </c>
      <c r="I45" s="41"/>
      <c r="J45" s="41"/>
      <c r="K45" s="41"/>
      <c r="L45" s="41">
        <f t="shared" si="12"/>
        <v>0</v>
      </c>
      <c r="M45" s="41"/>
      <c r="N45" s="81">
        <v>750.43</v>
      </c>
      <c r="O45" s="41"/>
      <c r="P45" s="41">
        <f t="shared" si="13"/>
        <v>750.43</v>
      </c>
      <c r="Q45" s="41"/>
      <c r="R45" s="35">
        <v>4350</v>
      </c>
      <c r="S45" s="4">
        <v>811</v>
      </c>
      <c r="T45" s="7" t="s">
        <v>72</v>
      </c>
      <c r="U45" s="41"/>
      <c r="V45" s="41"/>
      <c r="W45" s="41"/>
      <c r="X45" s="41">
        <f t="shared" si="14"/>
        <v>0</v>
      </c>
      <c r="Y45" s="41"/>
      <c r="Z45" s="41">
        <v>1100</v>
      </c>
      <c r="AA45" s="41"/>
      <c r="AB45" s="41"/>
      <c r="AC45" s="41">
        <f t="shared" si="15"/>
        <v>1100</v>
      </c>
    </row>
    <row r="46" spans="1:29" ht="12.75">
      <c r="A46" s="35">
        <v>4357</v>
      </c>
      <c r="B46" s="4">
        <v>813</v>
      </c>
      <c r="C46" s="7" t="s">
        <v>70</v>
      </c>
      <c r="D46" s="41">
        <v>33008</v>
      </c>
      <c r="E46" s="41">
        <f>1500</f>
        <v>1500</v>
      </c>
      <c r="F46" s="41"/>
      <c r="G46" s="45"/>
      <c r="H46" s="41">
        <f t="shared" si="11"/>
        <v>34508</v>
      </c>
      <c r="I46" s="41"/>
      <c r="J46" s="41"/>
      <c r="K46" s="41"/>
      <c r="L46" s="41">
        <f t="shared" si="12"/>
        <v>0</v>
      </c>
      <c r="M46" s="41"/>
      <c r="N46" s="81">
        <v>910.8</v>
      </c>
      <c r="O46" s="41"/>
      <c r="P46" s="41">
        <f t="shared" si="13"/>
        <v>910.8</v>
      </c>
      <c r="Q46" s="41"/>
      <c r="R46" s="35">
        <v>4357</v>
      </c>
      <c r="S46" s="4">
        <v>813</v>
      </c>
      <c r="T46" s="7" t="s">
        <v>70</v>
      </c>
      <c r="U46" s="41"/>
      <c r="V46" s="41"/>
      <c r="W46" s="41"/>
      <c r="X46" s="41">
        <f t="shared" si="14"/>
        <v>0</v>
      </c>
      <c r="Y46" s="41"/>
      <c r="Z46" s="41">
        <v>1950</v>
      </c>
      <c r="AA46" s="41">
        <f>1504.75</f>
        <v>1504.75</v>
      </c>
      <c r="AB46" s="41"/>
      <c r="AC46" s="41">
        <f t="shared" si="15"/>
        <v>3454.75</v>
      </c>
    </row>
    <row r="47" spans="1:29" ht="12.75">
      <c r="A47" s="35">
        <v>4357</v>
      </c>
      <c r="B47" s="4">
        <v>814</v>
      </c>
      <c r="C47" s="8" t="s">
        <v>118</v>
      </c>
      <c r="D47" s="41">
        <v>12767</v>
      </c>
      <c r="E47" s="41">
        <f>1000</f>
        <v>1000</v>
      </c>
      <c r="F47" s="41"/>
      <c r="G47" s="45"/>
      <c r="H47" s="41">
        <f t="shared" si="11"/>
        <v>13767</v>
      </c>
      <c r="I47" s="41"/>
      <c r="J47" s="41"/>
      <c r="K47" s="41"/>
      <c r="L47" s="41">
        <f t="shared" si="12"/>
        <v>0</v>
      </c>
      <c r="M47" s="41"/>
      <c r="N47" s="81">
        <v>628.03</v>
      </c>
      <c r="O47" s="41"/>
      <c r="P47" s="41">
        <f t="shared" si="13"/>
        <v>628.03</v>
      </c>
      <c r="Q47" s="41"/>
      <c r="R47" s="35">
        <v>4357</v>
      </c>
      <c r="S47" s="4">
        <v>814</v>
      </c>
      <c r="T47" s="37" t="s">
        <v>118</v>
      </c>
      <c r="U47" s="41">
        <v>2000</v>
      </c>
      <c r="V47" s="41"/>
      <c r="W47" s="41"/>
      <c r="X47" s="41">
        <f t="shared" si="14"/>
        <v>2000</v>
      </c>
      <c r="Y47" s="41"/>
      <c r="Z47" s="41"/>
      <c r="AA47" s="41">
        <f>1947.97</f>
        <v>1947.97</v>
      </c>
      <c r="AB47" s="41"/>
      <c r="AC47" s="41">
        <f t="shared" si="15"/>
        <v>1947.97</v>
      </c>
    </row>
    <row r="48" spans="1:29" ht="12.75" customHeight="1">
      <c r="A48" s="35">
        <v>4357</v>
      </c>
      <c r="B48" s="4">
        <v>815</v>
      </c>
      <c r="C48" s="8" t="s">
        <v>135</v>
      </c>
      <c r="D48" s="41">
        <v>9752</v>
      </c>
      <c r="E48" s="45">
        <f>1400</f>
        <v>1400</v>
      </c>
      <c r="F48" s="41"/>
      <c r="G48" s="45"/>
      <c r="H48" s="41">
        <f t="shared" si="11"/>
        <v>11152</v>
      </c>
      <c r="I48" s="41"/>
      <c r="J48" s="41"/>
      <c r="K48" s="41"/>
      <c r="L48" s="41">
        <f t="shared" si="12"/>
        <v>0</v>
      </c>
      <c r="M48" s="41"/>
      <c r="N48" s="81">
        <v>1822.4</v>
      </c>
      <c r="O48" s="41"/>
      <c r="P48" s="41">
        <f t="shared" si="13"/>
        <v>1822.4</v>
      </c>
      <c r="Q48" s="41"/>
      <c r="R48" s="35">
        <v>4357</v>
      </c>
      <c r="S48" s="4">
        <v>815</v>
      </c>
      <c r="T48" s="37" t="s">
        <v>117</v>
      </c>
      <c r="U48" s="41"/>
      <c r="V48" s="41"/>
      <c r="W48" s="41"/>
      <c r="X48" s="41">
        <f t="shared" si="14"/>
        <v>0</v>
      </c>
      <c r="Y48" s="41"/>
      <c r="Z48" s="41">
        <v>650</v>
      </c>
      <c r="AA48" s="41"/>
      <c r="AB48" s="41"/>
      <c r="AC48" s="41">
        <f t="shared" si="15"/>
        <v>650</v>
      </c>
    </row>
    <row r="49" spans="1:29" ht="12.75">
      <c r="A49" s="35">
        <v>4357</v>
      </c>
      <c r="B49" s="4">
        <v>816</v>
      </c>
      <c r="C49" s="8" t="s">
        <v>25</v>
      </c>
      <c r="D49" s="41">
        <v>20299</v>
      </c>
      <c r="E49" s="45"/>
      <c r="F49" s="41"/>
      <c r="G49" s="45"/>
      <c r="H49" s="41">
        <f t="shared" si="11"/>
        <v>20299</v>
      </c>
      <c r="I49" s="41"/>
      <c r="J49" s="41"/>
      <c r="K49" s="41"/>
      <c r="L49" s="41">
        <f t="shared" si="12"/>
        <v>0</v>
      </c>
      <c r="M49" s="41"/>
      <c r="N49" s="81">
        <v>1923.99</v>
      </c>
      <c r="O49" s="41"/>
      <c r="P49" s="41">
        <f t="shared" si="13"/>
        <v>1923.99</v>
      </c>
      <c r="Q49" s="41"/>
      <c r="R49" s="35">
        <v>4357</v>
      </c>
      <c r="S49" s="4">
        <v>816</v>
      </c>
      <c r="T49" s="8" t="s">
        <v>25</v>
      </c>
      <c r="U49" s="41"/>
      <c r="V49" s="41"/>
      <c r="W49" s="41"/>
      <c r="X49" s="41">
        <f t="shared" si="14"/>
        <v>0</v>
      </c>
      <c r="Y49" s="41"/>
      <c r="Z49" s="41"/>
      <c r="AA49" s="41">
        <f>716.35</f>
        <v>716.35</v>
      </c>
      <c r="AB49" s="41"/>
      <c r="AC49" s="41">
        <f t="shared" si="15"/>
        <v>716.35</v>
      </c>
    </row>
    <row r="50" spans="1:29" ht="12.75">
      <c r="A50" s="35">
        <v>4357</v>
      </c>
      <c r="B50" s="4">
        <v>818</v>
      </c>
      <c r="C50" s="8" t="s">
        <v>57</v>
      </c>
      <c r="D50" s="41">
        <v>22284</v>
      </c>
      <c r="E50" s="45">
        <f>1500</f>
        <v>1500</v>
      </c>
      <c r="F50" s="41"/>
      <c r="G50" s="45"/>
      <c r="H50" s="41">
        <f t="shared" si="11"/>
        <v>23784</v>
      </c>
      <c r="I50" s="41"/>
      <c r="J50" s="41"/>
      <c r="K50" s="41"/>
      <c r="L50" s="41">
        <f t="shared" si="12"/>
        <v>0</v>
      </c>
      <c r="M50" s="41"/>
      <c r="N50" s="81">
        <v>2211.96</v>
      </c>
      <c r="O50" s="41"/>
      <c r="P50" s="41">
        <f t="shared" si="13"/>
        <v>2211.96</v>
      </c>
      <c r="Q50" s="41"/>
      <c r="R50" s="35">
        <v>4357</v>
      </c>
      <c r="S50" s="4">
        <v>818</v>
      </c>
      <c r="T50" s="8" t="s">
        <v>57</v>
      </c>
      <c r="U50" s="41"/>
      <c r="V50" s="41"/>
      <c r="W50" s="41"/>
      <c r="X50" s="41">
        <f t="shared" si="14"/>
        <v>0</v>
      </c>
      <c r="Y50" s="41"/>
      <c r="Z50" s="41">
        <v>1700</v>
      </c>
      <c r="AA50" s="41"/>
      <c r="AB50" s="41"/>
      <c r="AC50" s="41">
        <f t="shared" si="15"/>
        <v>1700</v>
      </c>
    </row>
    <row r="51" spans="1:29" ht="12.75">
      <c r="A51" s="35">
        <v>4357</v>
      </c>
      <c r="B51" s="4">
        <v>819</v>
      </c>
      <c r="C51" s="8" t="s">
        <v>142</v>
      </c>
      <c r="D51" s="41">
        <v>13717</v>
      </c>
      <c r="E51" s="45">
        <f>800</f>
        <v>800</v>
      </c>
      <c r="F51" s="41"/>
      <c r="G51" s="45"/>
      <c r="H51" s="41">
        <f t="shared" si="11"/>
        <v>14517</v>
      </c>
      <c r="I51" s="41"/>
      <c r="J51" s="41"/>
      <c r="K51" s="41"/>
      <c r="L51" s="41">
        <f t="shared" si="12"/>
        <v>0</v>
      </c>
      <c r="M51" s="41"/>
      <c r="N51" s="81">
        <v>824.3</v>
      </c>
      <c r="O51" s="41"/>
      <c r="P51" s="41">
        <f t="shared" si="13"/>
        <v>824.3</v>
      </c>
      <c r="Q51" s="41"/>
      <c r="R51" s="35">
        <v>4357</v>
      </c>
      <c r="S51" s="4">
        <v>819</v>
      </c>
      <c r="T51" s="8" t="s">
        <v>78</v>
      </c>
      <c r="U51" s="41"/>
      <c r="V51" s="41"/>
      <c r="W51" s="41"/>
      <c r="X51" s="41">
        <f t="shared" si="14"/>
        <v>0</v>
      </c>
      <c r="Y51" s="41"/>
      <c r="Z51" s="41">
        <v>700</v>
      </c>
      <c r="AA51" s="41"/>
      <c r="AB51" s="41"/>
      <c r="AC51" s="41">
        <f t="shared" si="15"/>
        <v>700</v>
      </c>
    </row>
    <row r="52" spans="1:29" ht="12.75">
      <c r="A52" s="35">
        <v>4357</v>
      </c>
      <c r="B52" s="4">
        <v>820</v>
      </c>
      <c r="C52" s="8" t="s">
        <v>147</v>
      </c>
      <c r="D52" s="41">
        <v>19815</v>
      </c>
      <c r="E52" s="45"/>
      <c r="F52" s="41"/>
      <c r="G52" s="45"/>
      <c r="H52" s="41">
        <f t="shared" si="11"/>
        <v>19815</v>
      </c>
      <c r="I52" s="41"/>
      <c r="J52" s="41"/>
      <c r="K52" s="41"/>
      <c r="L52" s="41">
        <f t="shared" si="12"/>
        <v>0</v>
      </c>
      <c r="M52" s="41"/>
      <c r="N52" s="81">
        <v>1706.92</v>
      </c>
      <c r="O52" s="41"/>
      <c r="P52" s="41">
        <f t="shared" si="13"/>
        <v>1706.92</v>
      </c>
      <c r="Q52" s="41"/>
      <c r="R52" s="35">
        <v>4357</v>
      </c>
      <c r="S52" s="4">
        <v>820</v>
      </c>
      <c r="T52" s="8" t="s">
        <v>147</v>
      </c>
      <c r="U52" s="41"/>
      <c r="V52" s="41"/>
      <c r="W52" s="41"/>
      <c r="X52" s="41">
        <f t="shared" si="14"/>
        <v>0</v>
      </c>
      <c r="Y52" s="41"/>
      <c r="Z52" s="41"/>
      <c r="AA52" s="41"/>
      <c r="AB52" s="41"/>
      <c r="AC52" s="41">
        <f t="shared" si="15"/>
        <v>0</v>
      </c>
    </row>
    <row r="53" spans="1:29" ht="12.75">
      <c r="A53" s="35">
        <v>4357</v>
      </c>
      <c r="B53" s="4">
        <v>821</v>
      </c>
      <c r="C53" s="8" t="s">
        <v>136</v>
      </c>
      <c r="D53" s="41">
        <v>9648</v>
      </c>
      <c r="E53" s="45">
        <f>1000+500</f>
        <v>1500</v>
      </c>
      <c r="F53" s="41"/>
      <c r="G53" s="45"/>
      <c r="H53" s="41">
        <f t="shared" si="11"/>
        <v>11148</v>
      </c>
      <c r="I53" s="41"/>
      <c r="J53" s="41"/>
      <c r="K53" s="41"/>
      <c r="L53" s="41">
        <f t="shared" si="12"/>
        <v>0</v>
      </c>
      <c r="M53" s="41"/>
      <c r="N53" s="81">
        <v>2168.85</v>
      </c>
      <c r="O53" s="41"/>
      <c r="P53" s="41">
        <f t="shared" si="13"/>
        <v>2168.85</v>
      </c>
      <c r="Q53" s="41"/>
      <c r="R53" s="35">
        <v>4357</v>
      </c>
      <c r="S53" s="4">
        <v>821</v>
      </c>
      <c r="T53" s="8" t="s">
        <v>63</v>
      </c>
      <c r="U53" s="41"/>
      <c r="V53" s="41"/>
      <c r="W53" s="41"/>
      <c r="X53" s="41">
        <f t="shared" si="14"/>
        <v>0</v>
      </c>
      <c r="Y53" s="41"/>
      <c r="Z53" s="41"/>
      <c r="AA53" s="41"/>
      <c r="AB53" s="41"/>
      <c r="AC53" s="41">
        <f t="shared" si="15"/>
        <v>0</v>
      </c>
    </row>
    <row r="54" spans="1:29" ht="12.75">
      <c r="A54" s="35">
        <v>4350</v>
      </c>
      <c r="B54" s="4">
        <v>824</v>
      </c>
      <c r="C54" s="8" t="s">
        <v>76</v>
      </c>
      <c r="D54" s="41">
        <v>14236</v>
      </c>
      <c r="E54" s="41"/>
      <c r="F54" s="41"/>
      <c r="G54" s="41"/>
      <c r="H54" s="41">
        <f t="shared" si="11"/>
        <v>14236</v>
      </c>
      <c r="I54" s="41"/>
      <c r="J54" s="41"/>
      <c r="K54" s="41"/>
      <c r="L54" s="41">
        <f t="shared" si="12"/>
        <v>0</v>
      </c>
      <c r="M54" s="41"/>
      <c r="N54" s="81">
        <v>1782.05</v>
      </c>
      <c r="O54" s="41"/>
      <c r="P54" s="41">
        <f t="shared" si="13"/>
        <v>1782.05</v>
      </c>
      <c r="Q54" s="41"/>
      <c r="R54" s="35">
        <v>4350</v>
      </c>
      <c r="S54" s="4">
        <v>824</v>
      </c>
      <c r="T54" s="8" t="s">
        <v>76</v>
      </c>
      <c r="U54" s="41">
        <v>700</v>
      </c>
      <c r="V54" s="41">
        <f>1000</f>
        <v>1000</v>
      </c>
      <c r="W54" s="41"/>
      <c r="X54" s="41">
        <f t="shared" si="14"/>
        <v>1700</v>
      </c>
      <c r="Y54" s="41"/>
      <c r="Z54" s="41">
        <v>500</v>
      </c>
      <c r="AA54" s="41"/>
      <c r="AB54" s="41"/>
      <c r="AC54" s="41">
        <f t="shared" si="15"/>
        <v>500</v>
      </c>
    </row>
    <row r="55" spans="1:29" ht="12.75">
      <c r="A55" s="35">
        <v>4350</v>
      </c>
      <c r="B55" s="4">
        <v>825</v>
      </c>
      <c r="C55" s="8" t="s">
        <v>32</v>
      </c>
      <c r="D55" s="41">
        <v>3938</v>
      </c>
      <c r="E55" s="41">
        <f>800</f>
        <v>800</v>
      </c>
      <c r="F55" s="41"/>
      <c r="G55" s="41"/>
      <c r="H55" s="41">
        <f t="shared" si="11"/>
        <v>4738</v>
      </c>
      <c r="I55" s="41"/>
      <c r="J55" s="41"/>
      <c r="K55" s="41"/>
      <c r="L55" s="41">
        <f t="shared" si="12"/>
        <v>0</v>
      </c>
      <c r="M55" s="41"/>
      <c r="N55" s="81">
        <v>252.96</v>
      </c>
      <c r="O55" s="41"/>
      <c r="P55" s="41">
        <f t="shared" si="13"/>
        <v>252.96</v>
      </c>
      <c r="Q55" s="41"/>
      <c r="R55" s="35">
        <v>4350</v>
      </c>
      <c r="S55" s="4">
        <v>825</v>
      </c>
      <c r="T55" s="8" t="s">
        <v>32</v>
      </c>
      <c r="U55" s="41"/>
      <c r="V55" s="41"/>
      <c r="W55" s="41"/>
      <c r="X55" s="41">
        <f t="shared" si="14"/>
        <v>0</v>
      </c>
      <c r="Y55" s="41"/>
      <c r="Z55" s="41">
        <v>400</v>
      </c>
      <c r="AA55" s="41"/>
      <c r="AB55" s="41"/>
      <c r="AC55" s="41">
        <f t="shared" si="15"/>
        <v>400</v>
      </c>
    </row>
    <row r="56" spans="1:29" ht="12.75">
      <c r="A56" s="35">
        <v>4350</v>
      </c>
      <c r="B56" s="4">
        <v>826</v>
      </c>
      <c r="C56" s="8" t="s">
        <v>137</v>
      </c>
      <c r="D56" s="41">
        <v>11668</v>
      </c>
      <c r="E56" s="41"/>
      <c r="F56" s="41"/>
      <c r="G56" s="41"/>
      <c r="H56" s="41">
        <f t="shared" si="11"/>
        <v>11668</v>
      </c>
      <c r="I56" s="41"/>
      <c r="J56" s="41"/>
      <c r="K56" s="41"/>
      <c r="L56" s="41">
        <f t="shared" si="12"/>
        <v>0</v>
      </c>
      <c r="M56" s="41"/>
      <c r="N56" s="81">
        <v>819</v>
      </c>
      <c r="O56" s="41"/>
      <c r="P56" s="41">
        <f t="shared" si="13"/>
        <v>819</v>
      </c>
      <c r="Q56" s="41"/>
      <c r="R56" s="35">
        <v>4350</v>
      </c>
      <c r="S56" s="4">
        <v>826</v>
      </c>
      <c r="T56" s="8" t="s">
        <v>61</v>
      </c>
      <c r="U56" s="41"/>
      <c r="V56" s="41"/>
      <c r="W56" s="41"/>
      <c r="X56" s="41">
        <f t="shared" si="14"/>
        <v>0</v>
      </c>
      <c r="Y56" s="41"/>
      <c r="Z56" s="41"/>
      <c r="AA56" s="41">
        <f>2300</f>
        <v>2300</v>
      </c>
      <c r="AB56" s="41"/>
      <c r="AC56" s="41">
        <f t="shared" si="15"/>
        <v>2300</v>
      </c>
    </row>
    <row r="57" spans="1:29" ht="12.75">
      <c r="A57" s="35">
        <v>4350</v>
      </c>
      <c r="B57" s="4">
        <v>827</v>
      </c>
      <c r="C57" s="8" t="s">
        <v>138</v>
      </c>
      <c r="D57" s="41">
        <v>7661</v>
      </c>
      <c r="E57" s="41"/>
      <c r="F57" s="41"/>
      <c r="G57" s="41"/>
      <c r="H57" s="41">
        <f t="shared" si="11"/>
        <v>7661</v>
      </c>
      <c r="I57" s="41"/>
      <c r="J57" s="41"/>
      <c r="K57" s="41"/>
      <c r="L57" s="41">
        <f t="shared" si="12"/>
        <v>0</v>
      </c>
      <c r="M57" s="41"/>
      <c r="N57" s="81">
        <v>772.71</v>
      </c>
      <c r="O57" s="41"/>
      <c r="P57" s="41">
        <f t="shared" si="13"/>
        <v>772.71</v>
      </c>
      <c r="Q57" s="41"/>
      <c r="R57" s="35">
        <v>4350</v>
      </c>
      <c r="S57" s="4">
        <v>827</v>
      </c>
      <c r="T57" s="8" t="s">
        <v>31</v>
      </c>
      <c r="U57" s="41"/>
      <c r="V57" s="41"/>
      <c r="W57" s="41"/>
      <c r="X57" s="41">
        <f t="shared" si="14"/>
        <v>0</v>
      </c>
      <c r="Y57" s="41"/>
      <c r="Z57" s="41">
        <v>3500</v>
      </c>
      <c r="AA57" s="41"/>
      <c r="AB57" s="41"/>
      <c r="AC57" s="41">
        <f t="shared" si="15"/>
        <v>3500</v>
      </c>
    </row>
    <row r="58" spans="1:29" ht="12.75">
      <c r="A58" s="35">
        <v>4357</v>
      </c>
      <c r="B58" s="4">
        <v>828</v>
      </c>
      <c r="C58" s="8" t="s">
        <v>139</v>
      </c>
      <c r="D58" s="41">
        <v>6509</v>
      </c>
      <c r="E58" s="41">
        <f>1200</f>
        <v>1200</v>
      </c>
      <c r="F58" s="41"/>
      <c r="G58" s="41"/>
      <c r="H58" s="41">
        <f t="shared" si="11"/>
        <v>7709</v>
      </c>
      <c r="I58" s="41"/>
      <c r="J58" s="41"/>
      <c r="K58" s="41"/>
      <c r="L58" s="41">
        <f t="shared" si="12"/>
        <v>0</v>
      </c>
      <c r="M58" s="41"/>
      <c r="N58" s="81">
        <v>1182.99</v>
      </c>
      <c r="O58" s="41"/>
      <c r="P58" s="41">
        <f t="shared" si="13"/>
        <v>1182.99</v>
      </c>
      <c r="Q58" s="41"/>
      <c r="R58" s="35">
        <v>4357</v>
      </c>
      <c r="S58" s="4">
        <v>828</v>
      </c>
      <c r="T58" s="8" t="s">
        <v>71</v>
      </c>
      <c r="U58" s="41"/>
      <c r="V58" s="41"/>
      <c r="W58" s="41"/>
      <c r="X58" s="41">
        <f t="shared" si="14"/>
        <v>0</v>
      </c>
      <c r="Y58" s="41"/>
      <c r="Z58" s="41">
        <v>700</v>
      </c>
      <c r="AA58" s="41">
        <f>500</f>
        <v>500</v>
      </c>
      <c r="AB58" s="41"/>
      <c r="AC58" s="41">
        <f t="shared" si="15"/>
        <v>1200</v>
      </c>
    </row>
    <row r="59" spans="1:29" ht="12.75">
      <c r="A59" s="35"/>
      <c r="B59" s="4"/>
      <c r="C59" s="10" t="s">
        <v>20</v>
      </c>
      <c r="D59" s="51">
        <f aca="true" t="shared" si="16" ref="D59:P59">SUM(D61:D132)</f>
        <v>409465.4400000001</v>
      </c>
      <c r="E59" s="78">
        <f t="shared" si="16"/>
        <v>117850.09999999996</v>
      </c>
      <c r="F59" s="51">
        <f t="shared" si="16"/>
        <v>0</v>
      </c>
      <c r="G59" s="51">
        <f t="shared" si="16"/>
        <v>500</v>
      </c>
      <c r="H59" s="51">
        <f t="shared" si="16"/>
        <v>527815.54</v>
      </c>
      <c r="I59" s="51">
        <f t="shared" si="16"/>
        <v>0</v>
      </c>
      <c r="J59" s="51">
        <f t="shared" si="16"/>
        <v>740</v>
      </c>
      <c r="K59" s="88">
        <f t="shared" si="16"/>
        <v>13005.63</v>
      </c>
      <c r="L59" s="88">
        <f t="shared" si="16"/>
        <v>13745.63</v>
      </c>
      <c r="M59" s="51">
        <f t="shared" si="16"/>
        <v>0</v>
      </c>
      <c r="N59" s="51">
        <f t="shared" si="16"/>
        <v>55452.920000000006</v>
      </c>
      <c r="O59" s="51">
        <f t="shared" si="16"/>
        <v>4955.78</v>
      </c>
      <c r="P59" s="51">
        <f t="shared" si="16"/>
        <v>60408.700000000004</v>
      </c>
      <c r="Q59" s="51"/>
      <c r="R59" s="57"/>
      <c r="S59" s="58"/>
      <c r="T59" s="51" t="s">
        <v>68</v>
      </c>
      <c r="U59" s="51">
        <f aca="true" t="shared" si="17" ref="U59:AC59">SUM(U61:U132)</f>
        <v>8900</v>
      </c>
      <c r="V59" s="51">
        <f t="shared" si="17"/>
        <v>28065</v>
      </c>
      <c r="W59" s="51">
        <f t="shared" si="17"/>
        <v>0</v>
      </c>
      <c r="X59" s="51">
        <f t="shared" si="17"/>
        <v>36965</v>
      </c>
      <c r="Y59" s="51">
        <f t="shared" si="17"/>
        <v>0</v>
      </c>
      <c r="Z59" s="51">
        <f t="shared" si="17"/>
        <v>85100</v>
      </c>
      <c r="AA59" s="51">
        <f t="shared" si="17"/>
        <v>80525</v>
      </c>
      <c r="AB59" s="51">
        <f t="shared" si="17"/>
        <v>0</v>
      </c>
      <c r="AC59" s="51">
        <f t="shared" si="17"/>
        <v>165625</v>
      </c>
    </row>
    <row r="60" spans="1:29" ht="24" customHeight="1">
      <c r="A60" s="35"/>
      <c r="B60" s="4"/>
      <c r="C60" s="75" t="s">
        <v>171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7"/>
      <c r="S60" s="58"/>
      <c r="T60" s="52" t="s">
        <v>35</v>
      </c>
      <c r="U60" s="51"/>
      <c r="V60" s="51"/>
      <c r="W60" s="51"/>
      <c r="X60" s="51"/>
      <c r="Y60" s="51"/>
      <c r="Z60" s="51"/>
      <c r="AA60" s="51"/>
      <c r="AB60" s="51"/>
      <c r="AC60" s="51"/>
    </row>
    <row r="61" spans="1:29" ht="12.75">
      <c r="A61" s="35">
        <v>3121</v>
      </c>
      <c r="B61" s="4">
        <v>301</v>
      </c>
      <c r="C61" s="70" t="s">
        <v>6</v>
      </c>
      <c r="D61" s="41">
        <v>4733.85</v>
      </c>
      <c r="E61" s="41">
        <f>42.65+905+82.14</f>
        <v>1029.79</v>
      </c>
      <c r="F61" s="41"/>
      <c r="G61" s="45"/>
      <c r="H61" s="41">
        <f aca="true" t="shared" si="18" ref="H61:H124">D61+E61+F61+G61</f>
        <v>5763.64</v>
      </c>
      <c r="I61" s="41"/>
      <c r="J61" s="41"/>
      <c r="K61" s="41"/>
      <c r="L61" s="41">
        <f aca="true" t="shared" si="19" ref="L61:L124">J61+K61</f>
        <v>0</v>
      </c>
      <c r="M61" s="41"/>
      <c r="N61" s="41">
        <v>402.61</v>
      </c>
      <c r="O61" s="41">
        <f>80.25</f>
        <v>80.25</v>
      </c>
      <c r="P61" s="41">
        <f>N61+O61</f>
        <v>482.86</v>
      </c>
      <c r="Q61" s="41"/>
      <c r="R61" s="35">
        <v>3121</v>
      </c>
      <c r="S61" s="4">
        <v>301</v>
      </c>
      <c r="T61" s="70" t="s">
        <v>6</v>
      </c>
      <c r="U61" s="41"/>
      <c r="V61" s="41">
        <f>1500</f>
        <v>1500</v>
      </c>
      <c r="W61" s="41"/>
      <c r="X61" s="41">
        <f aca="true" t="shared" si="20" ref="X61:X124">SUM(U61:W61)</f>
        <v>1500</v>
      </c>
      <c r="Y61" s="41"/>
      <c r="Z61" s="41"/>
      <c r="AA61" s="41"/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0" t="s">
        <v>84</v>
      </c>
      <c r="D62" s="41">
        <v>6146.52</v>
      </c>
      <c r="E62" s="41">
        <f>102.6+1397+48.95</f>
        <v>1548.55</v>
      </c>
      <c r="F62" s="41"/>
      <c r="G62" s="45"/>
      <c r="H62" s="41">
        <f t="shared" si="18"/>
        <v>7695.070000000001</v>
      </c>
      <c r="I62" s="41"/>
      <c r="J62" s="41"/>
      <c r="K62" s="41"/>
      <c r="L62" s="41">
        <f t="shared" si="19"/>
        <v>0</v>
      </c>
      <c r="M62" s="41"/>
      <c r="N62" s="41">
        <v>303.43</v>
      </c>
      <c r="O62" s="41">
        <f>32.77</f>
        <v>32.77</v>
      </c>
      <c r="P62" s="41">
        <f aca="true" t="shared" si="22" ref="P62:P125">N62+O62</f>
        <v>336.2</v>
      </c>
      <c r="Q62" s="41"/>
      <c r="R62" s="35">
        <v>3121</v>
      </c>
      <c r="S62" s="4">
        <v>302</v>
      </c>
      <c r="T62" s="70" t="s">
        <v>84</v>
      </c>
      <c r="U62" s="41">
        <v>1500</v>
      </c>
      <c r="V62" s="41">
        <f>367</f>
        <v>367</v>
      </c>
      <c r="W62" s="41"/>
      <c r="X62" s="41">
        <f t="shared" si="20"/>
        <v>1867</v>
      </c>
      <c r="Y62" s="41"/>
      <c r="Z62" s="41"/>
      <c r="AA62" s="41">
        <f>1773+4000</f>
        <v>5773</v>
      </c>
      <c r="AB62" s="41"/>
      <c r="AC62" s="41">
        <f t="shared" si="21"/>
        <v>5773</v>
      </c>
    </row>
    <row r="63" spans="1:29" ht="12.75">
      <c r="A63" s="35">
        <v>3127</v>
      </c>
      <c r="B63" s="4">
        <v>303</v>
      </c>
      <c r="C63" s="70" t="s">
        <v>124</v>
      </c>
      <c r="D63" s="41">
        <v>3923.74</v>
      </c>
      <c r="E63" s="41">
        <f>208.4+1422+690.02+102</f>
        <v>2422.42</v>
      </c>
      <c r="F63" s="41"/>
      <c r="G63" s="45"/>
      <c r="H63" s="41">
        <f t="shared" si="18"/>
        <v>6346.16</v>
      </c>
      <c r="I63" s="41"/>
      <c r="J63" s="41"/>
      <c r="K63" s="41">
        <f>44.2</f>
        <v>44.2</v>
      </c>
      <c r="L63" s="41">
        <f t="shared" si="19"/>
        <v>44.2</v>
      </c>
      <c r="M63" s="41"/>
      <c r="N63" s="41">
        <v>776.22</v>
      </c>
      <c r="O63" s="41">
        <f>670.77</f>
        <v>670.77</v>
      </c>
      <c r="P63" s="41">
        <f t="shared" si="22"/>
        <v>1446.99</v>
      </c>
      <c r="Q63" s="41"/>
      <c r="R63" s="35">
        <v>3127</v>
      </c>
      <c r="S63" s="4">
        <v>303</v>
      </c>
      <c r="T63" s="70" t="s">
        <v>124</v>
      </c>
      <c r="U63" s="41"/>
      <c r="V63" s="41">
        <f>1127</f>
        <v>1127</v>
      </c>
      <c r="W63" s="41"/>
      <c r="X63" s="41">
        <f t="shared" si="20"/>
        <v>1127</v>
      </c>
      <c r="Y63" s="41"/>
      <c r="Z63" s="41"/>
      <c r="AA63" s="41"/>
      <c r="AB63" s="41"/>
      <c r="AC63" s="41">
        <f t="shared" si="21"/>
        <v>0</v>
      </c>
    </row>
    <row r="64" spans="1:29" ht="12.75">
      <c r="A64" s="35">
        <v>3122</v>
      </c>
      <c r="B64" s="4">
        <v>305</v>
      </c>
      <c r="C64" s="84" t="s">
        <v>162</v>
      </c>
      <c r="D64" s="41">
        <v>4920.51</v>
      </c>
      <c r="E64" s="41">
        <f>112.3+921+173.03</f>
        <v>1206.33</v>
      </c>
      <c r="F64" s="41"/>
      <c r="G64" s="45"/>
      <c r="H64" s="41">
        <f t="shared" si="18"/>
        <v>6126.84</v>
      </c>
      <c r="I64" s="41"/>
      <c r="J64" s="41"/>
      <c r="K64" s="41"/>
      <c r="L64" s="41">
        <f t="shared" si="19"/>
        <v>0</v>
      </c>
      <c r="M64" s="41"/>
      <c r="N64" s="41">
        <v>327.23</v>
      </c>
      <c r="O64" s="41">
        <f>-26.2</f>
        <v>-26.2</v>
      </c>
      <c r="P64" s="41">
        <f t="shared" si="22"/>
        <v>301.03000000000003</v>
      </c>
      <c r="Q64" s="41"/>
      <c r="R64" s="35">
        <v>3122</v>
      </c>
      <c r="S64" s="4">
        <v>305</v>
      </c>
      <c r="T64" s="70" t="s">
        <v>85</v>
      </c>
      <c r="U64" s="41"/>
      <c r="V64" s="41"/>
      <c r="W64" s="41"/>
      <c r="X64" s="41">
        <f t="shared" si="20"/>
        <v>0</v>
      </c>
      <c r="Y64" s="41"/>
      <c r="Z64" s="41">
        <v>8000</v>
      </c>
      <c r="AA64" s="41">
        <f>522</f>
        <v>522</v>
      </c>
      <c r="AB64" s="41"/>
      <c r="AC64" s="41">
        <f t="shared" si="21"/>
        <v>8522</v>
      </c>
    </row>
    <row r="65" spans="1:29" ht="12.75">
      <c r="A65" s="35">
        <v>3122</v>
      </c>
      <c r="B65" s="4">
        <v>307</v>
      </c>
      <c r="C65" s="70" t="s">
        <v>86</v>
      </c>
      <c r="D65" s="41">
        <v>5182.3</v>
      </c>
      <c r="E65" s="41">
        <f>95+1323+85.83</f>
        <v>1503.83</v>
      </c>
      <c r="F65" s="41"/>
      <c r="G65" s="45"/>
      <c r="H65" s="41">
        <f t="shared" si="18"/>
        <v>6686.13</v>
      </c>
      <c r="I65" s="41"/>
      <c r="J65" s="41">
        <v>185</v>
      </c>
      <c r="K65" s="41"/>
      <c r="L65" s="41">
        <f t="shared" si="19"/>
        <v>185</v>
      </c>
      <c r="M65" s="41"/>
      <c r="N65" s="41">
        <v>799.35</v>
      </c>
      <c r="O65" s="41">
        <f>69.2</f>
        <v>69.2</v>
      </c>
      <c r="P65" s="41">
        <f t="shared" si="22"/>
        <v>868.5500000000001</v>
      </c>
      <c r="Q65" s="41"/>
      <c r="R65" s="35">
        <v>3122</v>
      </c>
      <c r="S65" s="4">
        <v>307</v>
      </c>
      <c r="T65" s="70" t="s">
        <v>86</v>
      </c>
      <c r="U65" s="41"/>
      <c r="V65" s="45">
        <f>6721</f>
        <v>6721</v>
      </c>
      <c r="W65" s="41"/>
      <c r="X65" s="41">
        <f t="shared" si="20"/>
        <v>6721</v>
      </c>
      <c r="Y65" s="41"/>
      <c r="Z65" s="41">
        <v>5000</v>
      </c>
      <c r="AA65" s="45">
        <f>-5000+1500</f>
        <v>-3500</v>
      </c>
      <c r="AB65" s="41"/>
      <c r="AC65" s="41">
        <f t="shared" si="21"/>
        <v>1500</v>
      </c>
    </row>
    <row r="66" spans="1:29" ht="12.75">
      <c r="A66" s="35">
        <v>3127</v>
      </c>
      <c r="B66" s="4">
        <v>308</v>
      </c>
      <c r="C66" s="70" t="s">
        <v>87</v>
      </c>
      <c r="D66" s="41">
        <v>15307.8</v>
      </c>
      <c r="E66" s="41">
        <f>75+2474+2613.27</f>
        <v>5162.27</v>
      </c>
      <c r="F66" s="41"/>
      <c r="G66" s="45"/>
      <c r="H66" s="41">
        <f t="shared" si="18"/>
        <v>20470.07</v>
      </c>
      <c r="I66" s="41"/>
      <c r="J66" s="41"/>
      <c r="K66" s="45">
        <f>55+1715</f>
        <v>1770</v>
      </c>
      <c r="L66" s="41">
        <f t="shared" si="19"/>
        <v>1770</v>
      </c>
      <c r="M66" s="41"/>
      <c r="N66" s="41">
        <v>1669.39</v>
      </c>
      <c r="O66" s="41">
        <f>490.22</f>
        <v>490.22</v>
      </c>
      <c r="P66" s="41">
        <f t="shared" si="22"/>
        <v>2159.61</v>
      </c>
      <c r="Q66" s="41"/>
      <c r="R66" s="35">
        <v>3127</v>
      </c>
      <c r="S66" s="4">
        <v>308</v>
      </c>
      <c r="T66" s="70" t="s">
        <v>87</v>
      </c>
      <c r="U66" s="41"/>
      <c r="V66" s="41"/>
      <c r="W66" s="41"/>
      <c r="X66" s="41">
        <f t="shared" si="20"/>
        <v>0</v>
      </c>
      <c r="Y66" s="41"/>
      <c r="Z66" s="41"/>
      <c r="AA66" s="41"/>
      <c r="AB66" s="41"/>
      <c r="AC66" s="41">
        <f t="shared" si="21"/>
        <v>0</v>
      </c>
    </row>
    <row r="67" spans="1:29" ht="12.75" customHeight="1">
      <c r="A67" s="35">
        <v>3127</v>
      </c>
      <c r="B67" s="4">
        <v>309</v>
      </c>
      <c r="C67" s="84" t="s">
        <v>163</v>
      </c>
      <c r="D67" s="41">
        <v>9952.4</v>
      </c>
      <c r="E67" s="41">
        <f>125.4+1562+1850.22</f>
        <v>3537.62</v>
      </c>
      <c r="F67" s="41"/>
      <c r="G67" s="45"/>
      <c r="H67" s="41">
        <f t="shared" si="18"/>
        <v>13490.02</v>
      </c>
      <c r="I67" s="41"/>
      <c r="J67" s="41"/>
      <c r="K67" s="41"/>
      <c r="L67" s="41">
        <f t="shared" si="19"/>
        <v>0</v>
      </c>
      <c r="M67" s="41"/>
      <c r="N67" s="41">
        <v>2572.63</v>
      </c>
      <c r="O67" s="41">
        <f>437.71</f>
        <v>437.71</v>
      </c>
      <c r="P67" s="41">
        <f t="shared" si="22"/>
        <v>3010.34</v>
      </c>
      <c r="Q67" s="41"/>
      <c r="R67" s="35">
        <v>3127</v>
      </c>
      <c r="S67" s="4">
        <v>309</v>
      </c>
      <c r="T67" s="70" t="s">
        <v>38</v>
      </c>
      <c r="U67" s="41"/>
      <c r="V67" s="41"/>
      <c r="W67" s="41"/>
      <c r="X67" s="41">
        <f t="shared" si="20"/>
        <v>0</v>
      </c>
      <c r="Y67" s="41"/>
      <c r="Z67" s="41"/>
      <c r="AA67" s="41">
        <f>142</f>
        <v>142</v>
      </c>
      <c r="AB67" s="41"/>
      <c r="AC67" s="41">
        <f t="shared" si="21"/>
        <v>142</v>
      </c>
    </row>
    <row r="68" spans="1:29" ht="12.75">
      <c r="A68" s="35">
        <v>3122</v>
      </c>
      <c r="B68" s="4">
        <v>312</v>
      </c>
      <c r="C68" s="70" t="s">
        <v>88</v>
      </c>
      <c r="D68" s="41">
        <v>6500.22</v>
      </c>
      <c r="E68" s="41">
        <f>540+20.61</f>
        <v>560.61</v>
      </c>
      <c r="F68" s="41"/>
      <c r="G68" s="45"/>
      <c r="H68" s="41">
        <f t="shared" si="18"/>
        <v>7060.83</v>
      </c>
      <c r="I68" s="41"/>
      <c r="J68" s="41"/>
      <c r="K68" s="41"/>
      <c r="L68" s="41">
        <f t="shared" si="19"/>
        <v>0</v>
      </c>
      <c r="M68" s="41"/>
      <c r="N68" s="41">
        <v>1328.11</v>
      </c>
      <c r="O68" s="41">
        <f>4.51</f>
        <v>4.51</v>
      </c>
      <c r="P68" s="41">
        <f t="shared" si="22"/>
        <v>1332.62</v>
      </c>
      <c r="Q68" s="41"/>
      <c r="R68" s="35">
        <v>3122</v>
      </c>
      <c r="S68" s="4">
        <v>312</v>
      </c>
      <c r="T68" s="70" t="s">
        <v>88</v>
      </c>
      <c r="U68" s="41"/>
      <c r="V68" s="41"/>
      <c r="W68" s="41"/>
      <c r="X68" s="41">
        <f t="shared" si="20"/>
        <v>0</v>
      </c>
      <c r="Y68" s="41"/>
      <c r="Z68" s="41"/>
      <c r="AA68" s="41"/>
      <c r="AB68" s="41"/>
      <c r="AC68" s="41">
        <f t="shared" si="21"/>
        <v>0</v>
      </c>
    </row>
    <row r="69" spans="1:29" ht="12.75">
      <c r="A69" s="35">
        <v>3122</v>
      </c>
      <c r="B69" s="4">
        <v>314</v>
      </c>
      <c r="C69" s="70" t="s">
        <v>89</v>
      </c>
      <c r="D69" s="41">
        <v>7757.25</v>
      </c>
      <c r="E69" s="41">
        <f>35+875-140.81</f>
        <v>769.19</v>
      </c>
      <c r="F69" s="41"/>
      <c r="G69" s="45"/>
      <c r="H69" s="41">
        <f t="shared" si="18"/>
        <v>8526.44</v>
      </c>
      <c r="I69" s="41"/>
      <c r="J69" s="41"/>
      <c r="K69" s="41">
        <f>80</f>
        <v>80</v>
      </c>
      <c r="L69" s="41">
        <f t="shared" si="19"/>
        <v>80</v>
      </c>
      <c r="M69" s="41"/>
      <c r="N69" s="41">
        <v>1020.46</v>
      </c>
      <c r="O69" s="41">
        <f>-125.3</f>
        <v>-125.3</v>
      </c>
      <c r="P69" s="41">
        <f t="shared" si="22"/>
        <v>895.1600000000001</v>
      </c>
      <c r="Q69" s="41"/>
      <c r="R69" s="35">
        <v>3122</v>
      </c>
      <c r="S69" s="4">
        <v>314</v>
      </c>
      <c r="T69" s="70" t="s">
        <v>89</v>
      </c>
      <c r="U69" s="41"/>
      <c r="V69" s="41"/>
      <c r="W69" s="41"/>
      <c r="X69" s="41">
        <f t="shared" si="20"/>
        <v>0</v>
      </c>
      <c r="Y69" s="41"/>
      <c r="Z69" s="41">
        <v>1000</v>
      </c>
      <c r="AA69" s="41">
        <f>1150+1500</f>
        <v>2650</v>
      </c>
      <c r="AB69" s="41"/>
      <c r="AC69" s="41">
        <f t="shared" si="21"/>
        <v>3650</v>
      </c>
    </row>
    <row r="70" spans="1:29" ht="12.75" customHeight="1">
      <c r="A70" s="35">
        <v>3127</v>
      </c>
      <c r="B70" s="5">
        <v>317</v>
      </c>
      <c r="C70" s="84" t="s">
        <v>164</v>
      </c>
      <c r="D70" s="41">
        <v>7867.44</v>
      </c>
      <c r="E70" s="46">
        <f>1445+28.94</f>
        <v>1473.94</v>
      </c>
      <c r="F70" s="46"/>
      <c r="G70" s="53"/>
      <c r="H70" s="41">
        <f t="shared" si="18"/>
        <v>9341.38</v>
      </c>
      <c r="I70" s="46"/>
      <c r="J70" s="41"/>
      <c r="K70" s="46">
        <f>110</f>
        <v>110</v>
      </c>
      <c r="L70" s="41">
        <f t="shared" si="19"/>
        <v>110</v>
      </c>
      <c r="M70" s="46"/>
      <c r="N70" s="41">
        <v>1096.36</v>
      </c>
      <c r="O70" s="46">
        <f>23.27</f>
        <v>23.27</v>
      </c>
      <c r="P70" s="41">
        <f t="shared" si="22"/>
        <v>1119.6299999999999</v>
      </c>
      <c r="Q70" s="46"/>
      <c r="R70" s="35">
        <v>3127</v>
      </c>
      <c r="S70" s="5">
        <v>317</v>
      </c>
      <c r="T70" s="71" t="s">
        <v>90</v>
      </c>
      <c r="U70" s="41"/>
      <c r="V70" s="46">
        <f>310</f>
        <v>310</v>
      </c>
      <c r="W70" s="46"/>
      <c r="X70" s="41">
        <f t="shared" si="20"/>
        <v>310</v>
      </c>
      <c r="Y70" s="46"/>
      <c r="Z70" s="41">
        <v>600</v>
      </c>
      <c r="AA70" s="46"/>
      <c r="AB70" s="46"/>
      <c r="AC70" s="41">
        <f t="shared" si="21"/>
        <v>600</v>
      </c>
    </row>
    <row r="71" spans="1:29" ht="12.75">
      <c r="A71" s="35">
        <v>3127</v>
      </c>
      <c r="B71" s="4">
        <v>318</v>
      </c>
      <c r="C71" s="70" t="s">
        <v>91</v>
      </c>
      <c r="D71" s="41">
        <v>11139.9</v>
      </c>
      <c r="E71" s="41">
        <f>45.1+2236+352.68</f>
        <v>2633.7799999999997</v>
      </c>
      <c r="F71" s="41"/>
      <c r="G71" s="45"/>
      <c r="H71" s="41">
        <f t="shared" si="18"/>
        <v>13773.68</v>
      </c>
      <c r="I71" s="41"/>
      <c r="J71" s="41"/>
      <c r="K71" s="41"/>
      <c r="L71" s="41">
        <f t="shared" si="19"/>
        <v>0</v>
      </c>
      <c r="M71" s="41"/>
      <c r="N71" s="41">
        <v>899.07</v>
      </c>
      <c r="O71" s="41">
        <f>49.8</f>
        <v>49.8</v>
      </c>
      <c r="P71" s="41">
        <f t="shared" si="22"/>
        <v>948.87</v>
      </c>
      <c r="Q71" s="41"/>
      <c r="R71" s="35">
        <v>3127</v>
      </c>
      <c r="S71" s="4">
        <v>318</v>
      </c>
      <c r="T71" s="70" t="s">
        <v>91</v>
      </c>
      <c r="U71" s="41"/>
      <c r="V71" s="41"/>
      <c r="W71" s="41"/>
      <c r="X71" s="41">
        <f t="shared" si="20"/>
        <v>0</v>
      </c>
      <c r="Y71" s="41"/>
      <c r="Z71" s="41"/>
      <c r="AA71" s="41">
        <f>50</f>
        <v>50</v>
      </c>
      <c r="AB71" s="41"/>
      <c r="AC71" s="41">
        <f t="shared" si="21"/>
        <v>50</v>
      </c>
    </row>
    <row r="72" spans="1:29" ht="12.75">
      <c r="A72" s="35">
        <v>3124</v>
      </c>
      <c r="B72" s="4">
        <v>319</v>
      </c>
      <c r="C72" s="70" t="s">
        <v>92</v>
      </c>
      <c r="D72" s="41">
        <v>6802.45</v>
      </c>
      <c r="E72" s="41">
        <f>106.2+1109+435.95</f>
        <v>1651.15</v>
      </c>
      <c r="F72" s="41"/>
      <c r="G72" s="45"/>
      <c r="H72" s="41">
        <f t="shared" si="18"/>
        <v>8453.6</v>
      </c>
      <c r="I72" s="41"/>
      <c r="J72" s="41"/>
      <c r="K72" s="41"/>
      <c r="L72" s="41">
        <f t="shared" si="19"/>
        <v>0</v>
      </c>
      <c r="M72" s="41"/>
      <c r="N72" s="41">
        <v>1573.17</v>
      </c>
      <c r="O72" s="41">
        <f>65.6</f>
        <v>65.6</v>
      </c>
      <c r="P72" s="41">
        <f t="shared" si="22"/>
        <v>1638.77</v>
      </c>
      <c r="Q72" s="41"/>
      <c r="R72" s="35">
        <v>3124</v>
      </c>
      <c r="S72" s="4">
        <v>319</v>
      </c>
      <c r="T72" s="70" t="s">
        <v>92</v>
      </c>
      <c r="U72" s="41"/>
      <c r="V72" s="41"/>
      <c r="W72" s="41"/>
      <c r="X72" s="41">
        <f t="shared" si="20"/>
        <v>0</v>
      </c>
      <c r="Y72" s="41"/>
      <c r="Z72" s="41"/>
      <c r="AA72" s="41"/>
      <c r="AB72" s="41"/>
      <c r="AC72" s="41">
        <f t="shared" si="21"/>
        <v>0</v>
      </c>
    </row>
    <row r="73" spans="1:29" ht="12.75">
      <c r="A73" s="35">
        <v>3114</v>
      </c>
      <c r="B73" s="4">
        <v>320</v>
      </c>
      <c r="C73" s="70" t="s">
        <v>93</v>
      </c>
      <c r="D73" s="41">
        <v>5616.1</v>
      </c>
      <c r="E73" s="41">
        <f>10+1030+78.64</f>
        <v>1118.64</v>
      </c>
      <c r="F73" s="41"/>
      <c r="G73" s="45"/>
      <c r="H73" s="41">
        <f t="shared" si="18"/>
        <v>6734.740000000001</v>
      </c>
      <c r="I73" s="41"/>
      <c r="J73" s="41"/>
      <c r="K73" s="41"/>
      <c r="L73" s="41">
        <f t="shared" si="19"/>
        <v>0</v>
      </c>
      <c r="M73" s="41"/>
      <c r="N73" s="41">
        <v>655.48</v>
      </c>
      <c r="O73" s="41">
        <f>76.83</f>
        <v>76.83</v>
      </c>
      <c r="P73" s="41">
        <f t="shared" si="22"/>
        <v>732.3100000000001</v>
      </c>
      <c r="Q73" s="41"/>
      <c r="R73" s="35">
        <v>3114</v>
      </c>
      <c r="S73" s="4">
        <v>320</v>
      </c>
      <c r="T73" s="70" t="s">
        <v>93</v>
      </c>
      <c r="U73" s="41"/>
      <c r="V73" s="41"/>
      <c r="W73" s="41"/>
      <c r="X73" s="41">
        <f t="shared" si="20"/>
        <v>0</v>
      </c>
      <c r="Y73" s="41"/>
      <c r="Z73" s="41"/>
      <c r="AA73" s="41">
        <f>715+500</f>
        <v>1215</v>
      </c>
      <c r="AB73" s="41"/>
      <c r="AC73" s="41">
        <f t="shared" si="21"/>
        <v>1215</v>
      </c>
    </row>
    <row r="74" spans="1:29" ht="12.75">
      <c r="A74" s="35">
        <v>3114</v>
      </c>
      <c r="B74" s="4">
        <v>321</v>
      </c>
      <c r="C74" s="84" t="s">
        <v>165</v>
      </c>
      <c r="D74" s="41">
        <v>9967.82</v>
      </c>
      <c r="E74" s="41">
        <f>82.3+1615-69</f>
        <v>1628.3</v>
      </c>
      <c r="F74" s="41"/>
      <c r="G74" s="45"/>
      <c r="H74" s="41">
        <f t="shared" si="18"/>
        <v>11596.119999999999</v>
      </c>
      <c r="I74" s="41"/>
      <c r="J74" s="41"/>
      <c r="K74" s="41"/>
      <c r="L74" s="41">
        <f t="shared" si="19"/>
        <v>0</v>
      </c>
      <c r="M74" s="41"/>
      <c r="N74" s="41">
        <v>1205.15</v>
      </c>
      <c r="O74" s="41">
        <f>-55.49</f>
        <v>-55.49</v>
      </c>
      <c r="P74" s="41">
        <f t="shared" si="22"/>
        <v>1149.66</v>
      </c>
      <c r="Q74" s="41"/>
      <c r="R74" s="35">
        <v>3114</v>
      </c>
      <c r="S74" s="4">
        <v>321</v>
      </c>
      <c r="T74" s="70" t="s">
        <v>83</v>
      </c>
      <c r="U74" s="41"/>
      <c r="V74" s="41"/>
      <c r="W74" s="41"/>
      <c r="X74" s="41">
        <f t="shared" si="20"/>
        <v>0</v>
      </c>
      <c r="Y74" s="41"/>
      <c r="Z74" s="41"/>
      <c r="AA74" s="41">
        <f>1500</f>
        <v>1500</v>
      </c>
      <c r="AB74" s="41"/>
      <c r="AC74" s="41">
        <f t="shared" si="21"/>
        <v>1500</v>
      </c>
    </row>
    <row r="75" spans="1:29" ht="12.75">
      <c r="A75" s="35">
        <v>3133</v>
      </c>
      <c r="B75" s="4">
        <v>322</v>
      </c>
      <c r="C75" s="70" t="s">
        <v>40</v>
      </c>
      <c r="D75" s="41">
        <v>4556.19</v>
      </c>
      <c r="E75" s="41">
        <f>319-31.72</f>
        <v>287.28</v>
      </c>
      <c r="F75" s="41"/>
      <c r="G75" s="45"/>
      <c r="H75" s="41">
        <f t="shared" si="18"/>
        <v>4843.469999999999</v>
      </c>
      <c r="I75" s="41"/>
      <c r="J75" s="41"/>
      <c r="K75" s="41"/>
      <c r="L75" s="41">
        <f t="shared" si="19"/>
        <v>0</v>
      </c>
      <c r="M75" s="41"/>
      <c r="N75" s="41">
        <v>225.57</v>
      </c>
      <c r="O75" s="41">
        <f>-25.51</f>
        <v>-25.51</v>
      </c>
      <c r="P75" s="41">
        <f t="shared" si="22"/>
        <v>200.06</v>
      </c>
      <c r="Q75" s="41"/>
      <c r="R75" s="35">
        <v>3133</v>
      </c>
      <c r="S75" s="4">
        <v>322</v>
      </c>
      <c r="T75" s="70" t="s">
        <v>40</v>
      </c>
      <c r="U75" s="41"/>
      <c r="V75" s="45"/>
      <c r="W75" s="41"/>
      <c r="X75" s="41">
        <f t="shared" si="20"/>
        <v>0</v>
      </c>
      <c r="Y75" s="41"/>
      <c r="Z75" s="41"/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0" t="s">
        <v>94</v>
      </c>
      <c r="D76" s="41">
        <v>1321.93</v>
      </c>
      <c r="E76" s="41">
        <f>9.7+128-2.86</f>
        <v>134.83999999999997</v>
      </c>
      <c r="F76" s="41"/>
      <c r="G76" s="45"/>
      <c r="H76" s="41">
        <f t="shared" si="18"/>
        <v>1456.77</v>
      </c>
      <c r="I76" s="41"/>
      <c r="J76" s="41"/>
      <c r="K76" s="41"/>
      <c r="L76" s="41">
        <f t="shared" si="19"/>
        <v>0</v>
      </c>
      <c r="M76" s="41"/>
      <c r="N76" s="41">
        <v>16.59</v>
      </c>
      <c r="O76" s="41">
        <f>-2.3</f>
        <v>-2.3</v>
      </c>
      <c r="P76" s="41">
        <f t="shared" si="22"/>
        <v>14.29</v>
      </c>
      <c r="Q76" s="41"/>
      <c r="R76" s="35">
        <v>3114</v>
      </c>
      <c r="S76" s="4">
        <v>325</v>
      </c>
      <c r="T76" s="70" t="s">
        <v>94</v>
      </c>
      <c r="U76" s="41"/>
      <c r="V76" s="41"/>
      <c r="W76" s="41"/>
      <c r="X76" s="41">
        <f t="shared" si="20"/>
        <v>0</v>
      </c>
      <c r="Y76" s="41"/>
      <c r="Z76" s="41"/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0" t="s">
        <v>95</v>
      </c>
      <c r="D77" s="41">
        <v>494.07</v>
      </c>
      <c r="E77" s="41">
        <f>9.9+14</f>
        <v>23.9</v>
      </c>
      <c r="F77" s="41"/>
      <c r="G77" s="45"/>
      <c r="H77" s="41">
        <f t="shared" si="18"/>
        <v>517.97</v>
      </c>
      <c r="I77" s="41"/>
      <c r="J77" s="41"/>
      <c r="K77" s="41"/>
      <c r="L77" s="41">
        <f t="shared" si="19"/>
        <v>0</v>
      </c>
      <c r="M77" s="41"/>
      <c r="N77" s="41">
        <v>0.3</v>
      </c>
      <c r="O77" s="41"/>
      <c r="P77" s="41">
        <f t="shared" si="22"/>
        <v>0.3</v>
      </c>
      <c r="Q77" s="41"/>
      <c r="R77" s="35">
        <v>3114</v>
      </c>
      <c r="S77" s="4">
        <v>327</v>
      </c>
      <c r="T77" s="70" t="s">
        <v>95</v>
      </c>
      <c r="U77" s="41"/>
      <c r="V77" s="41"/>
      <c r="W77" s="41"/>
      <c r="X77" s="41">
        <f t="shared" si="20"/>
        <v>0</v>
      </c>
      <c r="Y77" s="41"/>
      <c r="Z77" s="41"/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0" t="s">
        <v>41</v>
      </c>
      <c r="D78" s="41">
        <v>5156.32</v>
      </c>
      <c r="E78" s="41">
        <f>1684-11.52</f>
        <v>1672.48</v>
      </c>
      <c r="F78" s="41"/>
      <c r="G78" s="59"/>
      <c r="H78" s="41">
        <f t="shared" si="18"/>
        <v>6828.799999999999</v>
      </c>
      <c r="I78" s="41"/>
      <c r="J78" s="41"/>
      <c r="K78" s="41"/>
      <c r="L78" s="41">
        <f t="shared" si="19"/>
        <v>0</v>
      </c>
      <c r="M78" s="41"/>
      <c r="N78" s="41">
        <v>1195.18</v>
      </c>
      <c r="O78" s="41">
        <f>-9.27</f>
        <v>-9.27</v>
      </c>
      <c r="P78" s="41">
        <f t="shared" si="22"/>
        <v>1185.91</v>
      </c>
      <c r="Q78" s="41"/>
      <c r="R78" s="35">
        <v>3147</v>
      </c>
      <c r="S78" s="4">
        <v>332</v>
      </c>
      <c r="T78" s="70" t="s">
        <v>41</v>
      </c>
      <c r="U78" s="41"/>
      <c r="V78" s="41"/>
      <c r="W78" s="41"/>
      <c r="X78" s="41">
        <f t="shared" si="20"/>
        <v>0</v>
      </c>
      <c r="Y78" s="41"/>
      <c r="Z78" s="41">
        <v>4000</v>
      </c>
      <c r="AA78" s="45">
        <f>203</f>
        <v>203</v>
      </c>
      <c r="AB78" s="41"/>
      <c r="AC78" s="41">
        <f t="shared" si="21"/>
        <v>4203</v>
      </c>
    </row>
    <row r="79" spans="1:29" ht="12.75">
      <c r="A79" s="35">
        <v>3141</v>
      </c>
      <c r="B79" s="4">
        <v>335</v>
      </c>
      <c r="C79" s="70" t="s">
        <v>39</v>
      </c>
      <c r="D79" s="41">
        <v>2613.9</v>
      </c>
      <c r="E79" s="41">
        <f>487+43.28</f>
        <v>530.28</v>
      </c>
      <c r="F79" s="41"/>
      <c r="G79" s="45"/>
      <c r="H79" s="41">
        <f t="shared" si="18"/>
        <v>3144.1800000000003</v>
      </c>
      <c r="I79" s="41"/>
      <c r="J79" s="41"/>
      <c r="K79" s="42"/>
      <c r="L79" s="41">
        <f t="shared" si="19"/>
        <v>0</v>
      </c>
      <c r="M79" s="41"/>
      <c r="N79" s="41">
        <v>753.11</v>
      </c>
      <c r="O79" s="41">
        <f>41.78</f>
        <v>41.78</v>
      </c>
      <c r="P79" s="41">
        <f t="shared" si="22"/>
        <v>794.89</v>
      </c>
      <c r="Q79" s="41"/>
      <c r="R79" s="35">
        <v>3141</v>
      </c>
      <c r="S79" s="4">
        <v>335</v>
      </c>
      <c r="T79" s="70" t="s">
        <v>39</v>
      </c>
      <c r="U79" s="41"/>
      <c r="V79" s="41"/>
      <c r="W79" s="41"/>
      <c r="X79" s="41">
        <f t="shared" si="20"/>
        <v>0</v>
      </c>
      <c r="Y79" s="41"/>
      <c r="Z79" s="41"/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0" t="s">
        <v>7</v>
      </c>
      <c r="D80" s="41">
        <v>2883.3</v>
      </c>
      <c r="E80" s="41">
        <f>96+766-31.23</f>
        <v>830.77</v>
      </c>
      <c r="F80" s="41"/>
      <c r="G80" s="45"/>
      <c r="H80" s="41">
        <f t="shared" si="18"/>
        <v>3714.07</v>
      </c>
      <c r="I80" s="41"/>
      <c r="J80" s="41"/>
      <c r="K80" s="41"/>
      <c r="L80" s="41">
        <f t="shared" si="19"/>
        <v>0</v>
      </c>
      <c r="M80" s="41"/>
      <c r="N80" s="41">
        <v>153.44</v>
      </c>
      <c r="O80" s="41">
        <f>-25.12</f>
        <v>-25.12</v>
      </c>
      <c r="P80" s="41">
        <f t="shared" si="22"/>
        <v>128.32</v>
      </c>
      <c r="Q80" s="41"/>
      <c r="R80" s="35">
        <v>3121</v>
      </c>
      <c r="S80" s="4">
        <v>338</v>
      </c>
      <c r="T80" s="70" t="s">
        <v>7</v>
      </c>
      <c r="U80" s="41"/>
      <c r="V80" s="45"/>
      <c r="W80" s="41"/>
      <c r="X80" s="41">
        <f t="shared" si="20"/>
        <v>0</v>
      </c>
      <c r="Y80" s="41"/>
      <c r="Z80" s="41">
        <v>3500</v>
      </c>
      <c r="AA80" s="41">
        <f>2111</f>
        <v>2111</v>
      </c>
      <c r="AB80" s="41"/>
      <c r="AC80" s="41">
        <f t="shared" si="21"/>
        <v>5611</v>
      </c>
    </row>
    <row r="81" spans="1:29" ht="12.75">
      <c r="A81" s="35">
        <v>3121</v>
      </c>
      <c r="B81" s="4">
        <v>339</v>
      </c>
      <c r="C81" s="70" t="s">
        <v>96</v>
      </c>
      <c r="D81" s="41">
        <v>3270.04</v>
      </c>
      <c r="E81" s="41">
        <f>55.5+900+22.42</f>
        <v>977.92</v>
      </c>
      <c r="F81" s="41"/>
      <c r="G81" s="45"/>
      <c r="H81" s="41">
        <f t="shared" si="18"/>
        <v>4247.96</v>
      </c>
      <c r="I81" s="41"/>
      <c r="J81" s="41"/>
      <c r="K81" s="41"/>
      <c r="L81" s="41">
        <f t="shared" si="19"/>
        <v>0</v>
      </c>
      <c r="M81" s="41"/>
      <c r="N81" s="41">
        <v>205.1</v>
      </c>
      <c r="O81" s="41">
        <f>18.02</f>
        <v>18.02</v>
      </c>
      <c r="P81" s="41">
        <f t="shared" si="22"/>
        <v>223.12</v>
      </c>
      <c r="Q81" s="41"/>
      <c r="R81" s="35">
        <v>3121</v>
      </c>
      <c r="S81" s="4">
        <v>339</v>
      </c>
      <c r="T81" s="70" t="s">
        <v>96</v>
      </c>
      <c r="U81" s="41"/>
      <c r="V81" s="45"/>
      <c r="W81" s="41"/>
      <c r="X81" s="41">
        <f t="shared" si="20"/>
        <v>0</v>
      </c>
      <c r="Y81" s="41"/>
      <c r="Z81" s="41"/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0" t="s">
        <v>8</v>
      </c>
      <c r="D82" s="41">
        <v>4172.75</v>
      </c>
      <c r="E82" s="41">
        <f>109.2+1599+15.36</f>
        <v>1723.56</v>
      </c>
      <c r="F82" s="41"/>
      <c r="G82" s="45"/>
      <c r="H82" s="41">
        <f t="shared" si="18"/>
        <v>5896.3099999999995</v>
      </c>
      <c r="I82" s="41"/>
      <c r="J82" s="41"/>
      <c r="K82" s="41"/>
      <c r="L82" s="41">
        <f t="shared" si="19"/>
        <v>0</v>
      </c>
      <c r="M82" s="41"/>
      <c r="N82" s="41">
        <v>458.5</v>
      </c>
      <c r="O82" s="41">
        <f>12.35</f>
        <v>12.35</v>
      </c>
      <c r="P82" s="41">
        <f t="shared" si="22"/>
        <v>470.85</v>
      </c>
      <c r="Q82" s="41"/>
      <c r="R82" s="35">
        <v>3121</v>
      </c>
      <c r="S82" s="4">
        <v>340</v>
      </c>
      <c r="T82" s="70" t="s">
        <v>8</v>
      </c>
      <c r="U82" s="41">
        <v>3400</v>
      </c>
      <c r="V82" s="45">
        <f>102</f>
        <v>102</v>
      </c>
      <c r="W82" s="41"/>
      <c r="X82" s="41">
        <f t="shared" si="20"/>
        <v>3502</v>
      </c>
      <c r="Y82" s="41"/>
      <c r="Z82" s="41"/>
      <c r="AA82" s="41"/>
      <c r="AB82" s="41"/>
      <c r="AC82" s="41">
        <f t="shared" si="21"/>
        <v>0</v>
      </c>
    </row>
    <row r="83" spans="1:29" ht="12.75">
      <c r="A83" s="35">
        <v>3127</v>
      </c>
      <c r="B83" s="4">
        <v>345</v>
      </c>
      <c r="C83" s="70" t="s">
        <v>120</v>
      </c>
      <c r="D83" s="41">
        <v>16411.3</v>
      </c>
      <c r="E83" s="41">
        <f>457.3+6056+971.76-272.8</f>
        <v>7212.26</v>
      </c>
      <c r="F83" s="41"/>
      <c r="G83" s="45"/>
      <c r="H83" s="41">
        <f t="shared" si="18"/>
        <v>23623.559999999998</v>
      </c>
      <c r="I83" s="41"/>
      <c r="J83" s="41"/>
      <c r="K83" s="41"/>
      <c r="L83" s="41">
        <f t="shared" si="19"/>
        <v>0</v>
      </c>
      <c r="M83" s="41"/>
      <c r="N83" s="41">
        <v>2369.9</v>
      </c>
      <c r="O83" s="41">
        <f>-21.99</f>
        <v>-21.99</v>
      </c>
      <c r="P83" s="41">
        <f t="shared" si="22"/>
        <v>2347.9100000000003</v>
      </c>
      <c r="Q83" s="41"/>
      <c r="R83" s="35">
        <v>3127</v>
      </c>
      <c r="S83" s="4">
        <v>345</v>
      </c>
      <c r="T83" s="70" t="s">
        <v>120</v>
      </c>
      <c r="U83" s="41"/>
      <c r="V83" s="41"/>
      <c r="W83" s="41"/>
      <c r="X83" s="41">
        <f t="shared" si="20"/>
        <v>0</v>
      </c>
      <c r="Y83" s="41"/>
      <c r="Z83" s="41"/>
      <c r="AA83" s="41">
        <f>1346</f>
        <v>1346</v>
      </c>
      <c r="AB83" s="41"/>
      <c r="AC83" s="41">
        <f t="shared" si="21"/>
        <v>1346</v>
      </c>
    </row>
    <row r="84" spans="1:29" ht="12.75">
      <c r="A84" s="35">
        <v>3114</v>
      </c>
      <c r="B84" s="4">
        <v>346</v>
      </c>
      <c r="C84" s="70" t="s">
        <v>97</v>
      </c>
      <c r="D84" s="41">
        <v>3899.75</v>
      </c>
      <c r="E84" s="41">
        <f>10+532-62.55</f>
        <v>479.45</v>
      </c>
      <c r="F84" s="41"/>
      <c r="G84" s="45"/>
      <c r="H84" s="41">
        <f t="shared" si="18"/>
        <v>4379.2</v>
      </c>
      <c r="I84" s="41"/>
      <c r="J84" s="41"/>
      <c r="K84" s="41"/>
      <c r="L84" s="41">
        <f t="shared" si="19"/>
        <v>0</v>
      </c>
      <c r="M84" s="41"/>
      <c r="N84" s="41">
        <v>429.71</v>
      </c>
      <c r="O84" s="41">
        <f>-50.31</f>
        <v>-50.31</v>
      </c>
      <c r="P84" s="41">
        <f t="shared" si="22"/>
        <v>379.4</v>
      </c>
      <c r="Q84" s="41"/>
      <c r="R84" s="35">
        <v>3114</v>
      </c>
      <c r="S84" s="4">
        <v>346</v>
      </c>
      <c r="T84" s="70" t="s">
        <v>97</v>
      </c>
      <c r="U84" s="41"/>
      <c r="V84" s="41"/>
      <c r="W84" s="41"/>
      <c r="X84" s="41">
        <f t="shared" si="20"/>
        <v>0</v>
      </c>
      <c r="Y84" s="41"/>
      <c r="Z84" s="41">
        <v>2500</v>
      </c>
      <c r="AA84" s="41">
        <f>153</f>
        <v>153</v>
      </c>
      <c r="AB84" s="41"/>
      <c r="AC84" s="41">
        <f t="shared" si="21"/>
        <v>2653</v>
      </c>
    </row>
    <row r="85" spans="1:29" ht="12.75" customHeight="1">
      <c r="A85" s="35">
        <v>3114</v>
      </c>
      <c r="B85" s="4">
        <v>347</v>
      </c>
      <c r="C85" s="71" t="s">
        <v>98</v>
      </c>
      <c r="D85" s="41">
        <v>1901.84</v>
      </c>
      <c r="E85" s="41">
        <f>10+245+12.84</f>
        <v>267.84</v>
      </c>
      <c r="F85" s="41"/>
      <c r="G85" s="45"/>
      <c r="H85" s="41">
        <f t="shared" si="18"/>
        <v>2169.68</v>
      </c>
      <c r="I85" s="41"/>
      <c r="J85" s="41"/>
      <c r="K85" s="41"/>
      <c r="L85" s="41">
        <f t="shared" si="19"/>
        <v>0</v>
      </c>
      <c r="M85" s="41"/>
      <c r="N85" s="41">
        <v>168.18</v>
      </c>
      <c r="O85" s="41">
        <f>10.32</f>
        <v>10.32</v>
      </c>
      <c r="P85" s="41">
        <f t="shared" si="22"/>
        <v>178.5</v>
      </c>
      <c r="Q85" s="41"/>
      <c r="R85" s="35">
        <v>3114</v>
      </c>
      <c r="S85" s="4">
        <v>347</v>
      </c>
      <c r="T85" s="71" t="s">
        <v>98</v>
      </c>
      <c r="U85" s="41"/>
      <c r="V85" s="41"/>
      <c r="W85" s="41"/>
      <c r="X85" s="41">
        <f t="shared" si="20"/>
        <v>0</v>
      </c>
      <c r="Y85" s="41"/>
      <c r="Z85" s="41"/>
      <c r="AA85" s="41"/>
      <c r="AB85" s="41"/>
      <c r="AC85" s="41">
        <f t="shared" si="21"/>
        <v>0</v>
      </c>
    </row>
    <row r="86" spans="1:29" ht="12.75" customHeight="1">
      <c r="A86" s="35">
        <v>3133</v>
      </c>
      <c r="B86" s="4">
        <v>349</v>
      </c>
      <c r="C86" s="70" t="s">
        <v>42</v>
      </c>
      <c r="D86" s="41">
        <v>6958.2</v>
      </c>
      <c r="E86" s="41">
        <f>821+30.39</f>
        <v>851.39</v>
      </c>
      <c r="F86" s="41"/>
      <c r="G86" s="45"/>
      <c r="H86" s="41">
        <f t="shared" si="18"/>
        <v>7809.59</v>
      </c>
      <c r="I86" s="41"/>
      <c r="J86" s="41"/>
      <c r="K86" s="41"/>
      <c r="L86" s="41">
        <f t="shared" si="19"/>
        <v>0</v>
      </c>
      <c r="M86" s="41"/>
      <c r="N86" s="41">
        <v>431.04</v>
      </c>
      <c r="O86" s="41">
        <f>29.34</f>
        <v>29.34</v>
      </c>
      <c r="P86" s="41">
        <f t="shared" si="22"/>
        <v>460.38</v>
      </c>
      <c r="Q86" s="41"/>
      <c r="R86" s="35">
        <v>3133</v>
      </c>
      <c r="S86" s="4">
        <v>349</v>
      </c>
      <c r="T86" s="70" t="s">
        <v>42</v>
      </c>
      <c r="U86" s="41"/>
      <c r="V86" s="41"/>
      <c r="W86" s="41"/>
      <c r="X86" s="41">
        <f t="shared" si="20"/>
        <v>0</v>
      </c>
      <c r="Y86" s="41"/>
      <c r="Z86" s="41"/>
      <c r="AA86" s="41"/>
      <c r="AB86" s="41"/>
      <c r="AC86" s="41">
        <f t="shared" si="21"/>
        <v>0</v>
      </c>
    </row>
    <row r="87" spans="1:29" ht="24.75" customHeight="1">
      <c r="A87" s="35">
        <v>3294</v>
      </c>
      <c r="B87" s="1">
        <v>352</v>
      </c>
      <c r="C87" s="84" t="s">
        <v>170</v>
      </c>
      <c r="D87" s="41">
        <f>7728.42+1843</f>
        <v>9571.42</v>
      </c>
      <c r="E87" s="45">
        <f>185+7.69</f>
        <v>192.69</v>
      </c>
      <c r="F87" s="41"/>
      <c r="G87" s="45">
        <f>500</f>
        <v>500</v>
      </c>
      <c r="H87" s="41">
        <f t="shared" si="18"/>
        <v>10264.11</v>
      </c>
      <c r="I87" s="41"/>
      <c r="J87" s="41"/>
      <c r="K87" s="41"/>
      <c r="L87" s="41">
        <f t="shared" si="19"/>
        <v>0</v>
      </c>
      <c r="M87" s="41"/>
      <c r="N87" s="41">
        <v>12.4</v>
      </c>
      <c r="O87" s="41">
        <f>6.18</f>
        <v>6.18</v>
      </c>
      <c r="P87" s="41">
        <f t="shared" si="22"/>
        <v>18.58</v>
      </c>
      <c r="Q87" s="41"/>
      <c r="R87" s="35">
        <v>3294</v>
      </c>
      <c r="S87" s="1">
        <v>352</v>
      </c>
      <c r="T87" s="84" t="s">
        <v>154</v>
      </c>
      <c r="U87" s="41"/>
      <c r="V87" s="41"/>
      <c r="W87" s="41"/>
      <c r="X87" s="41">
        <f t="shared" si="20"/>
        <v>0</v>
      </c>
      <c r="Y87" s="41"/>
      <c r="Z87" s="41"/>
      <c r="AA87" s="41"/>
      <c r="AB87" s="41"/>
      <c r="AC87" s="41">
        <f t="shared" si="21"/>
        <v>0</v>
      </c>
    </row>
    <row r="88" spans="1:29" ht="12.75" customHeight="1">
      <c r="A88" s="35">
        <v>3114</v>
      </c>
      <c r="B88" s="4">
        <v>358</v>
      </c>
      <c r="C88" s="70" t="s">
        <v>121</v>
      </c>
      <c r="D88" s="41">
        <v>1254.24</v>
      </c>
      <c r="E88" s="41">
        <f>10+343+4.8</f>
        <v>357.8</v>
      </c>
      <c r="F88" s="41"/>
      <c r="G88" s="45"/>
      <c r="H88" s="41">
        <f t="shared" si="18"/>
        <v>1612.04</v>
      </c>
      <c r="I88" s="41"/>
      <c r="J88" s="41"/>
      <c r="K88" s="41"/>
      <c r="L88" s="41">
        <f t="shared" si="19"/>
        <v>0</v>
      </c>
      <c r="M88" s="41"/>
      <c r="N88" s="41">
        <v>100.88</v>
      </c>
      <c r="O88" s="41">
        <f>3.86</f>
        <v>3.86</v>
      </c>
      <c r="P88" s="41">
        <f t="shared" si="22"/>
        <v>104.74</v>
      </c>
      <c r="Q88" s="41"/>
      <c r="R88" s="35">
        <v>3114</v>
      </c>
      <c r="S88" s="4">
        <v>358</v>
      </c>
      <c r="T88" s="70" t="s">
        <v>121</v>
      </c>
      <c r="U88" s="41"/>
      <c r="V88" s="41"/>
      <c r="W88" s="41"/>
      <c r="X88" s="41">
        <f t="shared" si="20"/>
        <v>0</v>
      </c>
      <c r="Y88" s="41"/>
      <c r="Z88" s="41"/>
      <c r="AA88" s="41">
        <f>500</f>
        <v>500</v>
      </c>
      <c r="AB88" s="41"/>
      <c r="AC88" s="41">
        <f t="shared" si="21"/>
        <v>500</v>
      </c>
    </row>
    <row r="89" spans="1:29" ht="12.75" customHeight="1">
      <c r="A89" s="35">
        <v>3114</v>
      </c>
      <c r="B89" s="4">
        <v>363</v>
      </c>
      <c r="C89" s="70" t="s">
        <v>150</v>
      </c>
      <c r="D89" s="41">
        <v>4210.09</v>
      </c>
      <c r="E89" s="41">
        <f>20+476+41.34</f>
        <v>537.34</v>
      </c>
      <c r="F89" s="41"/>
      <c r="G89" s="45"/>
      <c r="H89" s="41">
        <f t="shared" si="18"/>
        <v>4747.43</v>
      </c>
      <c r="I89" s="41"/>
      <c r="J89" s="41"/>
      <c r="K89" s="41"/>
      <c r="L89" s="41">
        <f t="shared" si="19"/>
        <v>0</v>
      </c>
      <c r="M89" s="41"/>
      <c r="N89" s="41">
        <v>242.85</v>
      </c>
      <c r="O89" s="41">
        <f>39.91</f>
        <v>39.91</v>
      </c>
      <c r="P89" s="41">
        <f t="shared" si="22"/>
        <v>282.76</v>
      </c>
      <c r="Q89" s="41"/>
      <c r="R89" s="35">
        <v>3114</v>
      </c>
      <c r="S89" s="4">
        <v>363</v>
      </c>
      <c r="T89" s="70" t="s">
        <v>150</v>
      </c>
      <c r="U89" s="41"/>
      <c r="V89" s="41"/>
      <c r="W89" s="41"/>
      <c r="X89" s="41">
        <f t="shared" si="20"/>
        <v>0</v>
      </c>
      <c r="Y89" s="41"/>
      <c r="Z89" s="41"/>
      <c r="AA89" s="41">
        <f>120</f>
        <v>120</v>
      </c>
      <c r="AB89" s="41"/>
      <c r="AC89" s="41">
        <f t="shared" si="21"/>
        <v>120</v>
      </c>
    </row>
    <row r="90" spans="1:29" ht="12.75" customHeight="1">
      <c r="A90" s="35">
        <v>3121</v>
      </c>
      <c r="B90" s="4">
        <v>367</v>
      </c>
      <c r="C90" s="71" t="s">
        <v>125</v>
      </c>
      <c r="D90" s="41">
        <v>4638.35</v>
      </c>
      <c r="E90" s="41">
        <f>86.1+1198+6.56</f>
        <v>1290.6599999999999</v>
      </c>
      <c r="F90" s="41"/>
      <c r="G90" s="45"/>
      <c r="H90" s="41">
        <f t="shared" si="18"/>
        <v>5929.01</v>
      </c>
      <c r="I90" s="41"/>
      <c r="J90" s="41"/>
      <c r="K90" s="41"/>
      <c r="L90" s="41">
        <f t="shared" si="19"/>
        <v>0</v>
      </c>
      <c r="M90" s="41"/>
      <c r="N90" s="41">
        <v>429.95</v>
      </c>
      <c r="O90" s="41">
        <f>5.27</f>
        <v>5.27</v>
      </c>
      <c r="P90" s="41">
        <f t="shared" si="22"/>
        <v>435.21999999999997</v>
      </c>
      <c r="Q90" s="41"/>
      <c r="R90" s="35">
        <v>3121</v>
      </c>
      <c r="S90" s="4">
        <v>367</v>
      </c>
      <c r="T90" s="71" t="s">
        <v>125</v>
      </c>
      <c r="U90" s="41"/>
      <c r="V90" s="41">
        <f>50</f>
        <v>50</v>
      </c>
      <c r="W90" s="41"/>
      <c r="X90" s="41">
        <f t="shared" si="20"/>
        <v>50</v>
      </c>
      <c r="Y90" s="41"/>
      <c r="Z90" s="41"/>
      <c r="AA90" s="41">
        <f>2000</f>
        <v>2000</v>
      </c>
      <c r="AB90" s="41"/>
      <c r="AC90" s="41">
        <f t="shared" si="21"/>
        <v>2000</v>
      </c>
    </row>
    <row r="91" spans="1:29" ht="12.75" customHeight="1">
      <c r="A91" s="35">
        <v>3121</v>
      </c>
      <c r="B91" s="4">
        <v>368</v>
      </c>
      <c r="C91" s="70" t="s">
        <v>9</v>
      </c>
      <c r="D91" s="41">
        <v>2788.42</v>
      </c>
      <c r="E91" s="46">
        <f>68.3+535-1.2</f>
        <v>602.0999999999999</v>
      </c>
      <c r="F91" s="46"/>
      <c r="G91" s="53"/>
      <c r="H91" s="41">
        <f t="shared" si="18"/>
        <v>3390.52</v>
      </c>
      <c r="I91" s="46"/>
      <c r="J91" s="41"/>
      <c r="K91" s="46"/>
      <c r="L91" s="41">
        <f t="shared" si="19"/>
        <v>0</v>
      </c>
      <c r="M91" s="46"/>
      <c r="N91" s="41">
        <v>415.13</v>
      </c>
      <c r="O91" s="46">
        <f>-0.97</f>
        <v>-0.97</v>
      </c>
      <c r="P91" s="41">
        <f t="shared" si="22"/>
        <v>414.15999999999997</v>
      </c>
      <c r="Q91" s="46"/>
      <c r="R91" s="35">
        <v>3121</v>
      </c>
      <c r="S91" s="4">
        <v>368</v>
      </c>
      <c r="T91" s="70" t="s">
        <v>9</v>
      </c>
      <c r="U91" s="41"/>
      <c r="V91" s="46"/>
      <c r="W91" s="46"/>
      <c r="X91" s="41">
        <f t="shared" si="20"/>
        <v>0</v>
      </c>
      <c r="Y91" s="46"/>
      <c r="Z91" s="41"/>
      <c r="AA91" s="46"/>
      <c r="AB91" s="46"/>
      <c r="AC91" s="41">
        <f t="shared" si="21"/>
        <v>0</v>
      </c>
    </row>
    <row r="92" spans="1:29" ht="12.75" customHeight="1">
      <c r="A92" s="35">
        <v>3122</v>
      </c>
      <c r="B92" s="5">
        <v>370</v>
      </c>
      <c r="C92" s="71" t="s">
        <v>126</v>
      </c>
      <c r="D92" s="41">
        <v>3679.2</v>
      </c>
      <c r="E92" s="50">
        <f>115+588+266.53</f>
        <v>969.53</v>
      </c>
      <c r="F92" s="41"/>
      <c r="G92" s="45"/>
      <c r="H92" s="41">
        <f t="shared" si="18"/>
        <v>4648.73</v>
      </c>
      <c r="I92" s="41"/>
      <c r="J92" s="41"/>
      <c r="K92" s="41"/>
      <c r="L92" s="41">
        <f t="shared" si="19"/>
        <v>0</v>
      </c>
      <c r="M92" s="41"/>
      <c r="N92" s="41">
        <v>432.65</v>
      </c>
      <c r="O92" s="41">
        <f>9.03</f>
        <v>9.03</v>
      </c>
      <c r="P92" s="41">
        <f t="shared" si="22"/>
        <v>441.67999999999995</v>
      </c>
      <c r="Q92" s="41"/>
      <c r="R92" s="35">
        <v>3122</v>
      </c>
      <c r="S92" s="5">
        <v>370</v>
      </c>
      <c r="T92" s="71" t="s">
        <v>126</v>
      </c>
      <c r="U92" s="41"/>
      <c r="V92" s="41"/>
      <c r="W92" s="41"/>
      <c r="X92" s="41">
        <f t="shared" si="20"/>
        <v>0</v>
      </c>
      <c r="Y92" s="41"/>
      <c r="Z92" s="41">
        <v>5000</v>
      </c>
      <c r="AA92" s="41">
        <f>2719+1000</f>
        <v>3719</v>
      </c>
      <c r="AB92" s="41"/>
      <c r="AC92" s="41">
        <f t="shared" si="21"/>
        <v>8719</v>
      </c>
    </row>
    <row r="93" spans="1:29" ht="12.75" customHeight="1">
      <c r="A93" s="35">
        <v>3122</v>
      </c>
      <c r="B93" s="4">
        <v>371</v>
      </c>
      <c r="C93" s="71" t="s">
        <v>99</v>
      </c>
      <c r="D93" s="41">
        <v>3213.58</v>
      </c>
      <c r="E93" s="41">
        <f>91.3+690-27.9</f>
        <v>753.4</v>
      </c>
      <c r="F93" s="41"/>
      <c r="G93" s="45"/>
      <c r="H93" s="41">
        <f t="shared" si="18"/>
        <v>3966.98</v>
      </c>
      <c r="I93" s="41"/>
      <c r="J93" s="41"/>
      <c r="K93" s="41"/>
      <c r="L93" s="41">
        <f t="shared" si="19"/>
        <v>0</v>
      </c>
      <c r="M93" s="41"/>
      <c r="N93" s="41">
        <v>163.95</v>
      </c>
      <c r="O93" s="41">
        <f>-34.5</f>
        <v>-34.5</v>
      </c>
      <c r="P93" s="41">
        <f t="shared" si="22"/>
        <v>129.45</v>
      </c>
      <c r="Q93" s="41"/>
      <c r="R93" s="35">
        <v>3122</v>
      </c>
      <c r="S93" s="4">
        <v>371</v>
      </c>
      <c r="T93" s="71" t="s">
        <v>99</v>
      </c>
      <c r="U93" s="41"/>
      <c r="V93" s="50"/>
      <c r="W93" s="41"/>
      <c r="X93" s="41">
        <f t="shared" si="20"/>
        <v>0</v>
      </c>
      <c r="Y93" s="41"/>
      <c r="Z93" s="41"/>
      <c r="AA93" s="45">
        <f>287</f>
        <v>287</v>
      </c>
      <c r="AB93" s="45"/>
      <c r="AC93" s="41">
        <f t="shared" si="21"/>
        <v>287</v>
      </c>
    </row>
    <row r="94" spans="1:29" ht="12.75" customHeight="1">
      <c r="A94" s="35">
        <v>3127</v>
      </c>
      <c r="B94" s="4">
        <v>372</v>
      </c>
      <c r="C94" s="71" t="s">
        <v>122</v>
      </c>
      <c r="D94" s="41">
        <v>7079.1</v>
      </c>
      <c r="E94" s="41">
        <f>107.5+1880+909.82</f>
        <v>2897.32</v>
      </c>
      <c r="F94" s="41"/>
      <c r="G94" s="45"/>
      <c r="H94" s="41">
        <f t="shared" si="18"/>
        <v>9976.42</v>
      </c>
      <c r="I94" s="41"/>
      <c r="J94" s="41">
        <v>185</v>
      </c>
      <c r="K94" s="41"/>
      <c r="L94" s="41">
        <f t="shared" si="19"/>
        <v>185</v>
      </c>
      <c r="M94" s="41"/>
      <c r="N94" s="41">
        <v>1286.36</v>
      </c>
      <c r="O94" s="41">
        <f>69.38</f>
        <v>69.38</v>
      </c>
      <c r="P94" s="41">
        <f t="shared" si="22"/>
        <v>1355.7399999999998</v>
      </c>
      <c r="Q94" s="41"/>
      <c r="R94" s="35">
        <v>3127</v>
      </c>
      <c r="S94" s="4">
        <v>372</v>
      </c>
      <c r="T94" s="71" t="s">
        <v>122</v>
      </c>
      <c r="U94" s="41"/>
      <c r="V94" s="41"/>
      <c r="W94" s="41"/>
      <c r="X94" s="41">
        <f t="shared" si="20"/>
        <v>0</v>
      </c>
      <c r="Y94" s="41"/>
      <c r="Z94" s="41"/>
      <c r="AA94" s="45"/>
      <c r="AB94" s="45"/>
      <c r="AC94" s="41">
        <f t="shared" si="21"/>
        <v>0</v>
      </c>
    </row>
    <row r="95" spans="1:29" ht="12.75" customHeight="1">
      <c r="A95" s="35">
        <v>3133</v>
      </c>
      <c r="B95" s="4">
        <v>374</v>
      </c>
      <c r="C95" s="70" t="s">
        <v>58</v>
      </c>
      <c r="D95" s="41">
        <v>2681.02</v>
      </c>
      <c r="E95" s="41">
        <f>221</f>
        <v>221</v>
      </c>
      <c r="F95" s="41"/>
      <c r="G95" s="45"/>
      <c r="H95" s="41">
        <f t="shared" si="18"/>
        <v>2902.02</v>
      </c>
      <c r="I95" s="41"/>
      <c r="J95" s="41"/>
      <c r="K95" s="41"/>
      <c r="L95" s="41">
        <f t="shared" si="19"/>
        <v>0</v>
      </c>
      <c r="M95" s="41"/>
      <c r="N95" s="41">
        <v>156.99</v>
      </c>
      <c r="O95" s="41"/>
      <c r="P95" s="41">
        <f t="shared" si="22"/>
        <v>156.99</v>
      </c>
      <c r="Q95" s="41"/>
      <c r="R95" s="35">
        <v>3133</v>
      </c>
      <c r="S95" s="4">
        <v>374</v>
      </c>
      <c r="T95" s="70" t="s">
        <v>58</v>
      </c>
      <c r="U95" s="41"/>
      <c r="V95" s="41"/>
      <c r="W95" s="41"/>
      <c r="X95" s="41">
        <f t="shared" si="20"/>
        <v>0</v>
      </c>
      <c r="Y95" s="41"/>
      <c r="Z95" s="41"/>
      <c r="AA95" s="41"/>
      <c r="AB95" s="41"/>
      <c r="AC95" s="41">
        <f t="shared" si="21"/>
        <v>0</v>
      </c>
    </row>
    <row r="96" spans="1:29" ht="12.75" customHeight="1">
      <c r="A96" s="35">
        <v>3114</v>
      </c>
      <c r="B96" s="4">
        <v>379</v>
      </c>
      <c r="C96" s="70" t="s">
        <v>48</v>
      </c>
      <c r="D96" s="41">
        <v>698.81</v>
      </c>
      <c r="E96" s="41">
        <f>10+232+4.12</f>
        <v>246.12</v>
      </c>
      <c r="F96" s="41"/>
      <c r="G96" s="45"/>
      <c r="H96" s="41">
        <f t="shared" si="18"/>
        <v>944.93</v>
      </c>
      <c r="I96" s="41"/>
      <c r="J96" s="41"/>
      <c r="K96" s="41"/>
      <c r="L96" s="41">
        <f t="shared" si="19"/>
        <v>0</v>
      </c>
      <c r="M96" s="41"/>
      <c r="N96" s="41">
        <v>44.64</v>
      </c>
      <c r="O96" s="41">
        <f>3.31</f>
        <v>3.31</v>
      </c>
      <c r="P96" s="41">
        <f t="shared" si="22"/>
        <v>47.95</v>
      </c>
      <c r="Q96" s="41"/>
      <c r="R96" s="35">
        <v>3114</v>
      </c>
      <c r="S96" s="4">
        <v>379</v>
      </c>
      <c r="T96" s="70" t="s">
        <v>48</v>
      </c>
      <c r="U96" s="41"/>
      <c r="V96" s="41"/>
      <c r="W96" s="41"/>
      <c r="X96" s="41">
        <f t="shared" si="20"/>
        <v>0</v>
      </c>
      <c r="Y96" s="41"/>
      <c r="Z96" s="41"/>
      <c r="AA96" s="41">
        <f>642</f>
        <v>642</v>
      </c>
      <c r="AB96" s="41"/>
      <c r="AC96" s="41">
        <f t="shared" si="21"/>
        <v>642</v>
      </c>
    </row>
    <row r="97" spans="1:29" ht="12.75" customHeight="1">
      <c r="A97" s="35">
        <v>3133</v>
      </c>
      <c r="B97" s="4">
        <v>380</v>
      </c>
      <c r="C97" s="70" t="s">
        <v>43</v>
      </c>
      <c r="D97" s="41">
        <v>4133.68</v>
      </c>
      <c r="E97" s="41">
        <f>258+20.04</f>
        <v>278.04</v>
      </c>
      <c r="F97" s="41"/>
      <c r="G97" s="45"/>
      <c r="H97" s="41">
        <f t="shared" si="18"/>
        <v>4411.72</v>
      </c>
      <c r="I97" s="41"/>
      <c r="J97" s="41"/>
      <c r="K97" s="41"/>
      <c r="L97" s="41">
        <f t="shared" si="19"/>
        <v>0</v>
      </c>
      <c r="M97" s="41"/>
      <c r="N97" s="41">
        <v>179.15</v>
      </c>
      <c r="O97" s="41">
        <f>16.11</f>
        <v>16.11</v>
      </c>
      <c r="P97" s="41">
        <f t="shared" si="22"/>
        <v>195.26</v>
      </c>
      <c r="Q97" s="41"/>
      <c r="R97" s="35">
        <v>3133</v>
      </c>
      <c r="S97" s="4">
        <v>380</v>
      </c>
      <c r="T97" s="70" t="s">
        <v>43</v>
      </c>
      <c r="U97" s="41"/>
      <c r="V97" s="41"/>
      <c r="W97" s="41"/>
      <c r="X97" s="41">
        <f t="shared" si="20"/>
        <v>0</v>
      </c>
      <c r="Y97" s="41"/>
      <c r="Z97" s="41"/>
      <c r="AA97" s="41"/>
      <c r="AB97" s="41"/>
      <c r="AC97" s="41">
        <f t="shared" si="21"/>
        <v>0</v>
      </c>
    </row>
    <row r="98" spans="1:29" ht="12.75" customHeight="1">
      <c r="A98" s="35">
        <v>3114</v>
      </c>
      <c r="B98" s="4">
        <v>381</v>
      </c>
      <c r="C98" s="70" t="s">
        <v>100</v>
      </c>
      <c r="D98" s="41">
        <v>2019.28</v>
      </c>
      <c r="E98" s="41">
        <f>20+509+7.81</f>
        <v>536.81</v>
      </c>
      <c r="F98" s="41"/>
      <c r="G98" s="45"/>
      <c r="H98" s="41">
        <f t="shared" si="18"/>
        <v>2556.09</v>
      </c>
      <c r="I98" s="41"/>
      <c r="J98" s="41"/>
      <c r="K98" s="41"/>
      <c r="L98" s="41">
        <f t="shared" si="19"/>
        <v>0</v>
      </c>
      <c r="M98" s="41"/>
      <c r="N98" s="41">
        <v>2.32</v>
      </c>
      <c r="O98" s="41">
        <f>6.28</f>
        <v>6.28</v>
      </c>
      <c r="P98" s="41">
        <f t="shared" si="22"/>
        <v>8.6</v>
      </c>
      <c r="Q98" s="41"/>
      <c r="R98" s="35">
        <v>3114</v>
      </c>
      <c r="S98" s="4">
        <v>381</v>
      </c>
      <c r="T98" s="70" t="s">
        <v>100</v>
      </c>
      <c r="U98" s="41"/>
      <c r="V98" s="41"/>
      <c r="W98" s="41"/>
      <c r="X98" s="41">
        <f t="shared" si="20"/>
        <v>0</v>
      </c>
      <c r="Y98" s="41"/>
      <c r="Z98" s="41"/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0" t="s">
        <v>26</v>
      </c>
      <c r="D99" s="41">
        <v>3791.94</v>
      </c>
      <c r="E99" s="41">
        <f>103.5+573+23.38</f>
        <v>699.88</v>
      </c>
      <c r="F99" s="41"/>
      <c r="G99" s="45"/>
      <c r="H99" s="41">
        <f t="shared" si="18"/>
        <v>4491.82</v>
      </c>
      <c r="I99" s="41"/>
      <c r="J99" s="41"/>
      <c r="K99" s="50"/>
      <c r="L99" s="41">
        <f t="shared" si="19"/>
        <v>0</v>
      </c>
      <c r="M99" s="41"/>
      <c r="N99" s="41">
        <v>304.25</v>
      </c>
      <c r="O99" s="41">
        <f>6.73</f>
        <v>6.73</v>
      </c>
      <c r="P99" s="41">
        <f t="shared" si="22"/>
        <v>310.98</v>
      </c>
      <c r="Q99" s="41"/>
      <c r="R99" s="35">
        <v>3121</v>
      </c>
      <c r="S99" s="4">
        <v>390</v>
      </c>
      <c r="T99" s="70" t="s">
        <v>26</v>
      </c>
      <c r="U99" s="41"/>
      <c r="V99" s="41">
        <f>300</f>
        <v>300</v>
      </c>
      <c r="W99" s="41"/>
      <c r="X99" s="41">
        <f t="shared" si="20"/>
        <v>300</v>
      </c>
      <c r="Y99" s="41"/>
      <c r="Z99" s="41"/>
      <c r="AA99" s="41"/>
      <c r="AB99" s="41"/>
      <c r="AC99" s="41">
        <f t="shared" si="21"/>
        <v>0</v>
      </c>
    </row>
    <row r="100" spans="1:29" ht="12.75" customHeight="1">
      <c r="A100" s="35">
        <v>3127</v>
      </c>
      <c r="B100" s="4">
        <v>392</v>
      </c>
      <c r="C100" s="71" t="s">
        <v>101</v>
      </c>
      <c r="D100" s="41">
        <v>4489.41</v>
      </c>
      <c r="E100" s="41">
        <f>105+1483+37.63</f>
        <v>1625.63</v>
      </c>
      <c r="F100" s="41"/>
      <c r="G100" s="45"/>
      <c r="H100" s="41">
        <f t="shared" si="18"/>
        <v>6115.04</v>
      </c>
      <c r="I100" s="41"/>
      <c r="J100" s="41"/>
      <c r="K100" s="41"/>
      <c r="L100" s="41">
        <f t="shared" si="19"/>
        <v>0</v>
      </c>
      <c r="M100" s="41"/>
      <c r="N100" s="41">
        <v>988.98</v>
      </c>
      <c r="O100" s="41">
        <f>18.19</f>
        <v>18.19</v>
      </c>
      <c r="P100" s="41">
        <f t="shared" si="22"/>
        <v>1007.1700000000001</v>
      </c>
      <c r="Q100" s="41"/>
      <c r="R100" s="35">
        <v>3127</v>
      </c>
      <c r="S100" s="4">
        <v>392</v>
      </c>
      <c r="T100" s="71" t="s">
        <v>101</v>
      </c>
      <c r="U100" s="41"/>
      <c r="V100" s="41">
        <f>1300</f>
        <v>1300</v>
      </c>
      <c r="W100" s="41"/>
      <c r="X100" s="41">
        <f t="shared" si="20"/>
        <v>1300</v>
      </c>
      <c r="Y100" s="41"/>
      <c r="Z100" s="41"/>
      <c r="AA100" s="41">
        <f>23</f>
        <v>23</v>
      </c>
      <c r="AB100" s="41"/>
      <c r="AC100" s="41">
        <f t="shared" si="21"/>
        <v>23</v>
      </c>
    </row>
    <row r="101" spans="1:29" ht="12.75" customHeight="1">
      <c r="A101" s="35">
        <v>3122</v>
      </c>
      <c r="B101" s="4">
        <v>393</v>
      </c>
      <c r="C101" s="70" t="s">
        <v>10</v>
      </c>
      <c r="D101" s="41">
        <v>2417.77</v>
      </c>
      <c r="E101" s="41">
        <f>35+591+23.57</f>
        <v>649.57</v>
      </c>
      <c r="F101" s="41"/>
      <c r="G101" s="45"/>
      <c r="H101" s="41">
        <f t="shared" si="18"/>
        <v>3067.34</v>
      </c>
      <c r="I101" s="41"/>
      <c r="J101" s="41"/>
      <c r="K101" s="41">
        <f>53</f>
        <v>53</v>
      </c>
      <c r="L101" s="41">
        <f t="shared" si="19"/>
        <v>53</v>
      </c>
      <c r="M101" s="41"/>
      <c r="N101" s="41">
        <v>361.45</v>
      </c>
      <c r="O101" s="41">
        <f>6.89</f>
        <v>6.89</v>
      </c>
      <c r="P101" s="41">
        <f t="shared" si="22"/>
        <v>368.34</v>
      </c>
      <c r="Q101" s="41"/>
      <c r="R101" s="35">
        <v>3122</v>
      </c>
      <c r="S101" s="4">
        <v>393</v>
      </c>
      <c r="T101" s="70" t="s">
        <v>10</v>
      </c>
      <c r="U101" s="41"/>
      <c r="V101" s="41">
        <f>200</f>
        <v>200</v>
      </c>
      <c r="W101" s="41"/>
      <c r="X101" s="41">
        <f t="shared" si="20"/>
        <v>200</v>
      </c>
      <c r="Y101" s="41"/>
      <c r="Z101" s="41"/>
      <c r="AA101" s="41">
        <f>1000</f>
        <v>1000</v>
      </c>
      <c r="AB101" s="41"/>
      <c r="AC101" s="41">
        <f t="shared" si="21"/>
        <v>1000</v>
      </c>
    </row>
    <row r="102" spans="1:29" ht="12.75" customHeight="1">
      <c r="A102" s="35">
        <v>3127</v>
      </c>
      <c r="B102" s="4">
        <v>394</v>
      </c>
      <c r="C102" s="70" t="s">
        <v>127</v>
      </c>
      <c r="D102" s="41">
        <v>6025.6</v>
      </c>
      <c r="E102" s="41">
        <f>112.3+2020+1292.07</f>
        <v>3424.37</v>
      </c>
      <c r="F102" s="41"/>
      <c r="G102" s="45"/>
      <c r="H102" s="41">
        <f t="shared" si="18"/>
        <v>9449.970000000001</v>
      </c>
      <c r="I102" s="41"/>
      <c r="J102" s="41"/>
      <c r="K102" s="41"/>
      <c r="L102" s="41">
        <f t="shared" si="19"/>
        <v>0</v>
      </c>
      <c r="M102" s="41"/>
      <c r="N102" s="41">
        <v>984.71</v>
      </c>
      <c r="O102" s="41">
        <f>275.09</f>
        <v>275.09</v>
      </c>
      <c r="P102" s="41">
        <f t="shared" si="22"/>
        <v>1259.8</v>
      </c>
      <c r="Q102" s="41"/>
      <c r="R102" s="35">
        <v>3127</v>
      </c>
      <c r="S102" s="4">
        <v>394</v>
      </c>
      <c r="T102" s="70" t="s">
        <v>127</v>
      </c>
      <c r="U102" s="41"/>
      <c r="V102" s="41">
        <f>219+4000</f>
        <v>4219</v>
      </c>
      <c r="W102" s="41"/>
      <c r="X102" s="41">
        <f t="shared" si="20"/>
        <v>4219</v>
      </c>
      <c r="Y102" s="41"/>
      <c r="Z102" s="41">
        <v>6500</v>
      </c>
      <c r="AA102" s="41">
        <f>2208</f>
        <v>2208</v>
      </c>
      <c r="AB102" s="41"/>
      <c r="AC102" s="41">
        <f t="shared" si="21"/>
        <v>8708</v>
      </c>
    </row>
    <row r="103" spans="1:29" ht="12.75" customHeight="1">
      <c r="A103" s="35">
        <v>3122</v>
      </c>
      <c r="B103" s="4">
        <v>395</v>
      </c>
      <c r="C103" s="70" t="s">
        <v>143</v>
      </c>
      <c r="D103" s="41">
        <v>4085.1</v>
      </c>
      <c r="E103" s="41">
        <f>237.7+1305+143.67+208.7</f>
        <v>1895.0700000000002</v>
      </c>
      <c r="F103" s="41"/>
      <c r="G103" s="45"/>
      <c r="H103" s="41">
        <f t="shared" si="18"/>
        <v>5980.17</v>
      </c>
      <c r="I103" s="41"/>
      <c r="J103" s="41"/>
      <c r="K103" s="41">
        <f>100</f>
        <v>100</v>
      </c>
      <c r="L103" s="41">
        <f t="shared" si="19"/>
        <v>100</v>
      </c>
      <c r="M103" s="41"/>
      <c r="N103" s="41">
        <v>726.97</v>
      </c>
      <c r="O103" s="41">
        <f>6.73</f>
        <v>6.73</v>
      </c>
      <c r="P103" s="41">
        <f t="shared" si="22"/>
        <v>733.7</v>
      </c>
      <c r="Q103" s="41"/>
      <c r="R103" s="35">
        <v>3122</v>
      </c>
      <c r="S103" s="4">
        <v>395</v>
      </c>
      <c r="T103" s="70" t="s">
        <v>143</v>
      </c>
      <c r="U103" s="41"/>
      <c r="V103" s="41"/>
      <c r="W103" s="41"/>
      <c r="X103" s="41">
        <f t="shared" si="20"/>
        <v>0</v>
      </c>
      <c r="Y103" s="41"/>
      <c r="Z103" s="41">
        <v>8000</v>
      </c>
      <c r="AA103" s="41">
        <f>4517+1000</f>
        <v>5517</v>
      </c>
      <c r="AB103" s="41"/>
      <c r="AC103" s="41">
        <f t="shared" si="21"/>
        <v>13517</v>
      </c>
    </row>
    <row r="104" spans="1:29" ht="12.75" customHeight="1">
      <c r="A104" s="35">
        <v>3127</v>
      </c>
      <c r="B104" s="4">
        <v>397</v>
      </c>
      <c r="C104" s="71" t="s">
        <v>102</v>
      </c>
      <c r="D104" s="41">
        <v>6731.98</v>
      </c>
      <c r="E104" s="41">
        <f>90+3245+283.69</f>
        <v>3618.69</v>
      </c>
      <c r="F104" s="41"/>
      <c r="G104" s="45"/>
      <c r="H104" s="41">
        <f t="shared" si="18"/>
        <v>10350.67</v>
      </c>
      <c r="I104" s="41"/>
      <c r="J104" s="41"/>
      <c r="K104" s="41"/>
      <c r="L104" s="41">
        <f t="shared" si="19"/>
        <v>0</v>
      </c>
      <c r="M104" s="41"/>
      <c r="N104" s="41">
        <v>1285.14</v>
      </c>
      <c r="O104" s="41">
        <f>-68.45</f>
        <v>-68.45</v>
      </c>
      <c r="P104" s="41">
        <f t="shared" si="22"/>
        <v>1216.69</v>
      </c>
      <c r="Q104" s="41"/>
      <c r="R104" s="35">
        <v>3127</v>
      </c>
      <c r="S104" s="4">
        <v>397</v>
      </c>
      <c r="T104" s="71" t="s">
        <v>102</v>
      </c>
      <c r="U104" s="41"/>
      <c r="V104" s="41"/>
      <c r="W104" s="41"/>
      <c r="X104" s="41">
        <f t="shared" si="20"/>
        <v>0</v>
      </c>
      <c r="Y104" s="41"/>
      <c r="Z104" s="41"/>
      <c r="AA104" s="41"/>
      <c r="AB104" s="41"/>
      <c r="AC104" s="41">
        <f t="shared" si="21"/>
        <v>0</v>
      </c>
    </row>
    <row r="105" spans="1:29" ht="12.75" customHeight="1">
      <c r="A105" s="35">
        <v>3127</v>
      </c>
      <c r="B105" s="4">
        <v>400</v>
      </c>
      <c r="C105" s="71" t="s">
        <v>103</v>
      </c>
      <c r="D105" s="41">
        <v>6192.4</v>
      </c>
      <c r="E105" s="41">
        <f>70.49+787+343.14</f>
        <v>1200.63</v>
      </c>
      <c r="F105" s="41"/>
      <c r="G105" s="45"/>
      <c r="H105" s="41">
        <f t="shared" si="18"/>
        <v>7393.03</v>
      </c>
      <c r="I105" s="41"/>
      <c r="J105" s="41"/>
      <c r="K105" s="41"/>
      <c r="L105" s="41">
        <f t="shared" si="19"/>
        <v>0</v>
      </c>
      <c r="M105" s="41"/>
      <c r="N105" s="41">
        <v>735.02</v>
      </c>
      <c r="O105" s="41">
        <f>256.4</f>
        <v>256.4</v>
      </c>
      <c r="P105" s="41">
        <f t="shared" si="22"/>
        <v>991.42</v>
      </c>
      <c r="Q105" s="41"/>
      <c r="R105" s="35">
        <v>3127</v>
      </c>
      <c r="S105" s="4">
        <v>400</v>
      </c>
      <c r="T105" s="71" t="s">
        <v>103</v>
      </c>
      <c r="U105" s="41"/>
      <c r="V105" s="41"/>
      <c r="W105" s="41"/>
      <c r="X105" s="41">
        <f t="shared" si="20"/>
        <v>0</v>
      </c>
      <c r="Y105" s="41"/>
      <c r="Z105" s="41">
        <v>13000</v>
      </c>
      <c r="AA105" s="41">
        <f>10549+10000</f>
        <v>20549</v>
      </c>
      <c r="AB105" s="41"/>
      <c r="AC105" s="41">
        <f t="shared" si="21"/>
        <v>33549</v>
      </c>
    </row>
    <row r="106" spans="1:29" ht="12.75" customHeight="1">
      <c r="A106" s="35">
        <v>3124</v>
      </c>
      <c r="B106" s="4">
        <v>401</v>
      </c>
      <c r="C106" s="70" t="s">
        <v>104</v>
      </c>
      <c r="D106" s="41">
        <v>3518.81</v>
      </c>
      <c r="E106" s="41">
        <f>38.6+1023+636.18</f>
        <v>1697.7799999999997</v>
      </c>
      <c r="F106" s="41"/>
      <c r="G106" s="45"/>
      <c r="H106" s="41">
        <f t="shared" si="18"/>
        <v>5216.59</v>
      </c>
      <c r="I106" s="41"/>
      <c r="J106" s="41"/>
      <c r="K106" s="41"/>
      <c r="L106" s="41">
        <f t="shared" si="19"/>
        <v>0</v>
      </c>
      <c r="M106" s="41"/>
      <c r="N106" s="41">
        <v>146.69</v>
      </c>
      <c r="O106" s="41">
        <f>408.75</f>
        <v>408.75</v>
      </c>
      <c r="P106" s="41">
        <f t="shared" si="22"/>
        <v>555.44</v>
      </c>
      <c r="Q106" s="41"/>
      <c r="R106" s="35">
        <v>3124</v>
      </c>
      <c r="S106" s="4">
        <v>401</v>
      </c>
      <c r="T106" s="70" t="s">
        <v>104</v>
      </c>
      <c r="U106" s="41"/>
      <c r="V106" s="41"/>
      <c r="W106" s="41"/>
      <c r="X106" s="41">
        <f t="shared" si="20"/>
        <v>0</v>
      </c>
      <c r="Y106" s="41"/>
      <c r="Z106" s="41"/>
      <c r="AA106" s="41"/>
      <c r="AB106" s="41"/>
      <c r="AC106" s="41">
        <f t="shared" si="21"/>
        <v>0</v>
      </c>
    </row>
    <row r="107" spans="1:29" ht="12.75" customHeight="1">
      <c r="A107" s="35">
        <v>3121</v>
      </c>
      <c r="B107" s="4">
        <v>409</v>
      </c>
      <c r="C107" s="70" t="s">
        <v>11</v>
      </c>
      <c r="D107" s="41">
        <v>2761.1</v>
      </c>
      <c r="E107" s="41">
        <f>96.8+806+31.38</f>
        <v>934.18</v>
      </c>
      <c r="F107" s="41"/>
      <c r="G107" s="45"/>
      <c r="H107" s="41">
        <f t="shared" si="18"/>
        <v>3695.2799999999997</v>
      </c>
      <c r="I107" s="41"/>
      <c r="J107" s="41"/>
      <c r="K107" s="41"/>
      <c r="L107" s="41">
        <f t="shared" si="19"/>
        <v>0</v>
      </c>
      <c r="M107" s="41"/>
      <c r="N107" s="41">
        <v>37.08</v>
      </c>
      <c r="O107" s="41">
        <f>13.17</f>
        <v>13.17</v>
      </c>
      <c r="P107" s="41">
        <f t="shared" si="22"/>
        <v>50.25</v>
      </c>
      <c r="Q107" s="41"/>
      <c r="R107" s="35">
        <v>3121</v>
      </c>
      <c r="S107" s="4">
        <v>409</v>
      </c>
      <c r="T107" s="70" t="s">
        <v>11</v>
      </c>
      <c r="U107" s="41"/>
      <c r="V107" s="41"/>
      <c r="W107" s="41"/>
      <c r="X107" s="41">
        <f t="shared" si="20"/>
        <v>0</v>
      </c>
      <c r="Y107" s="41"/>
      <c r="Z107" s="41"/>
      <c r="AA107" s="41"/>
      <c r="AB107" s="41"/>
      <c r="AC107" s="41">
        <f t="shared" si="21"/>
        <v>0</v>
      </c>
    </row>
    <row r="108" spans="1:29" ht="12.75" customHeight="1">
      <c r="A108" s="35">
        <v>3121</v>
      </c>
      <c r="B108" s="4">
        <v>410</v>
      </c>
      <c r="C108" s="84" t="s">
        <v>166</v>
      </c>
      <c r="D108" s="41">
        <v>6818.21</v>
      </c>
      <c r="E108" s="41">
        <f>116.8+1353-166.62</f>
        <v>1303.1799999999998</v>
      </c>
      <c r="F108" s="41"/>
      <c r="G108" s="45"/>
      <c r="H108" s="41">
        <f t="shared" si="18"/>
        <v>8121.389999999999</v>
      </c>
      <c r="I108" s="41"/>
      <c r="J108" s="41"/>
      <c r="K108" s="41">
        <f>60</f>
        <v>60</v>
      </c>
      <c r="L108" s="41">
        <f t="shared" si="19"/>
        <v>60</v>
      </c>
      <c r="M108" s="41"/>
      <c r="N108" s="41">
        <v>957.78</v>
      </c>
      <c r="O108" s="41">
        <f>-85.75</f>
        <v>-85.75</v>
      </c>
      <c r="P108" s="41">
        <f t="shared" si="22"/>
        <v>872.03</v>
      </c>
      <c r="Q108" s="41"/>
      <c r="R108" s="35">
        <v>3121</v>
      </c>
      <c r="S108" s="4">
        <v>410</v>
      </c>
      <c r="T108" s="70" t="s">
        <v>12</v>
      </c>
      <c r="U108" s="41"/>
      <c r="V108" s="41"/>
      <c r="W108" s="41"/>
      <c r="X108" s="41">
        <f t="shared" si="20"/>
        <v>0</v>
      </c>
      <c r="Y108" s="41"/>
      <c r="Z108" s="41"/>
      <c r="AA108" s="41"/>
      <c r="AB108" s="41"/>
      <c r="AC108" s="41">
        <f t="shared" si="21"/>
        <v>0</v>
      </c>
    </row>
    <row r="109" spans="1:29" ht="12.75" customHeight="1">
      <c r="A109" s="35">
        <v>3127</v>
      </c>
      <c r="B109" s="4">
        <v>413</v>
      </c>
      <c r="C109" s="70" t="s">
        <v>128</v>
      </c>
      <c r="D109" s="41">
        <v>7017.63</v>
      </c>
      <c r="E109" s="41">
        <f>118.2+2983+16.99</f>
        <v>3118.1899999999996</v>
      </c>
      <c r="F109" s="41"/>
      <c r="G109" s="45"/>
      <c r="H109" s="41">
        <f t="shared" si="18"/>
        <v>10135.82</v>
      </c>
      <c r="I109" s="41"/>
      <c r="J109" s="41"/>
      <c r="K109" s="41">
        <f>300</f>
        <v>300</v>
      </c>
      <c r="L109" s="41">
        <f t="shared" si="19"/>
        <v>300</v>
      </c>
      <c r="M109" s="41"/>
      <c r="N109" s="41">
        <v>708.18</v>
      </c>
      <c r="O109" s="41">
        <f>1.6</f>
        <v>1.6</v>
      </c>
      <c r="P109" s="41">
        <f t="shared" si="22"/>
        <v>709.78</v>
      </c>
      <c r="Q109" s="41"/>
      <c r="R109" s="35">
        <v>3127</v>
      </c>
      <c r="S109" s="4">
        <v>413</v>
      </c>
      <c r="T109" s="70" t="s">
        <v>128</v>
      </c>
      <c r="U109" s="41"/>
      <c r="V109" s="41">
        <f>1376</f>
        <v>1376</v>
      </c>
      <c r="W109" s="41"/>
      <c r="X109" s="41">
        <f t="shared" si="20"/>
        <v>1376</v>
      </c>
      <c r="Y109" s="41"/>
      <c r="Z109" s="41">
        <v>1500</v>
      </c>
      <c r="AA109" s="41">
        <f>439</f>
        <v>439</v>
      </c>
      <c r="AB109" s="41"/>
      <c r="AC109" s="41">
        <f t="shared" si="21"/>
        <v>1939</v>
      </c>
    </row>
    <row r="110" spans="1:29" ht="12.75" customHeight="1">
      <c r="A110" s="35">
        <v>3122</v>
      </c>
      <c r="B110" s="4">
        <v>415</v>
      </c>
      <c r="C110" s="71" t="s">
        <v>151</v>
      </c>
      <c r="D110" s="41">
        <v>9032.24</v>
      </c>
      <c r="E110" s="41">
        <f>168+1609+1000+198.5-28.2</f>
        <v>2947.3</v>
      </c>
      <c r="F110" s="41"/>
      <c r="G110" s="45"/>
      <c r="H110" s="41">
        <f t="shared" si="18"/>
        <v>11979.54</v>
      </c>
      <c r="I110" s="41"/>
      <c r="J110" s="41"/>
      <c r="K110" s="41">
        <f>84</f>
        <v>84</v>
      </c>
      <c r="L110" s="41">
        <f t="shared" si="19"/>
        <v>84</v>
      </c>
      <c r="M110" s="41"/>
      <c r="N110" s="41">
        <v>1999.61</v>
      </c>
      <c r="O110" s="41">
        <f>-52.68</f>
        <v>-52.68</v>
      </c>
      <c r="P110" s="41">
        <f t="shared" si="22"/>
        <v>1946.9299999999998</v>
      </c>
      <c r="Q110" s="41"/>
      <c r="R110" s="35">
        <v>3122</v>
      </c>
      <c r="S110" s="4">
        <v>415</v>
      </c>
      <c r="T110" s="71" t="s">
        <v>151</v>
      </c>
      <c r="U110" s="41"/>
      <c r="V110" s="41">
        <f>3700</f>
        <v>3700</v>
      </c>
      <c r="W110" s="41"/>
      <c r="X110" s="41">
        <f t="shared" si="20"/>
        <v>3700</v>
      </c>
      <c r="Y110" s="41"/>
      <c r="Z110" s="41"/>
      <c r="AA110" s="41"/>
      <c r="AB110" s="41"/>
      <c r="AC110" s="41">
        <f t="shared" si="21"/>
        <v>0</v>
      </c>
    </row>
    <row r="111" spans="1:29" ht="12.75" customHeight="1">
      <c r="A111" s="35">
        <v>3127</v>
      </c>
      <c r="B111" s="4">
        <v>416</v>
      </c>
      <c r="C111" s="84" t="s">
        <v>167</v>
      </c>
      <c r="D111" s="41">
        <v>15329.33</v>
      </c>
      <c r="E111" s="41">
        <f>2551+497.95</f>
        <v>3048.95</v>
      </c>
      <c r="F111" s="41"/>
      <c r="G111" s="45"/>
      <c r="H111" s="41">
        <f t="shared" si="18"/>
        <v>18378.28</v>
      </c>
      <c r="I111" s="41"/>
      <c r="J111" s="41">
        <v>185</v>
      </c>
      <c r="K111" s="50">
        <f>110</f>
        <v>110</v>
      </c>
      <c r="L111" s="41">
        <f t="shared" si="19"/>
        <v>295</v>
      </c>
      <c r="M111" s="41"/>
      <c r="N111" s="41">
        <v>2826.21</v>
      </c>
      <c r="O111" s="41">
        <f>206.58</f>
        <v>206.58</v>
      </c>
      <c r="P111" s="41">
        <f t="shared" si="22"/>
        <v>3032.79</v>
      </c>
      <c r="Q111" s="41"/>
      <c r="R111" s="35">
        <v>3127</v>
      </c>
      <c r="S111" s="4">
        <v>416</v>
      </c>
      <c r="T111" s="70" t="s">
        <v>105</v>
      </c>
      <c r="U111" s="41"/>
      <c r="V111" s="41">
        <f>250</f>
        <v>250</v>
      </c>
      <c r="W111" s="41"/>
      <c r="X111" s="41">
        <f t="shared" si="20"/>
        <v>250</v>
      </c>
      <c r="Y111" s="41"/>
      <c r="Z111" s="41"/>
      <c r="AA111" s="45">
        <f>2657</f>
        <v>2657</v>
      </c>
      <c r="AB111" s="45"/>
      <c r="AC111" s="41">
        <f t="shared" si="21"/>
        <v>2657</v>
      </c>
    </row>
    <row r="112" spans="1:29" ht="12.75" customHeight="1">
      <c r="A112" s="35">
        <v>3127</v>
      </c>
      <c r="B112" s="4">
        <v>418</v>
      </c>
      <c r="C112" s="71" t="s">
        <v>144</v>
      </c>
      <c r="D112" s="41">
        <v>8296.63</v>
      </c>
      <c r="E112" s="41">
        <f>256.9+2777+186.38+102</f>
        <v>3322.28</v>
      </c>
      <c r="F112" s="41"/>
      <c r="G112" s="45"/>
      <c r="H112" s="41">
        <f t="shared" si="18"/>
        <v>11618.91</v>
      </c>
      <c r="I112" s="41"/>
      <c r="J112" s="41"/>
      <c r="K112" s="50"/>
      <c r="L112" s="41">
        <f t="shared" si="19"/>
        <v>0</v>
      </c>
      <c r="M112" s="41"/>
      <c r="N112" s="41">
        <v>1068.05</v>
      </c>
      <c r="O112" s="41">
        <f>182.09</f>
        <v>182.09</v>
      </c>
      <c r="P112" s="41">
        <f t="shared" si="22"/>
        <v>1250.1399999999999</v>
      </c>
      <c r="Q112" s="41"/>
      <c r="R112" s="35">
        <v>3127</v>
      </c>
      <c r="S112" s="4">
        <v>418</v>
      </c>
      <c r="T112" s="71" t="s">
        <v>144</v>
      </c>
      <c r="U112" s="41"/>
      <c r="V112" s="45"/>
      <c r="W112" s="45"/>
      <c r="X112" s="41">
        <f t="shared" si="20"/>
        <v>0</v>
      </c>
      <c r="Y112" s="41"/>
      <c r="Z112" s="41">
        <v>6500</v>
      </c>
      <c r="AA112" s="41">
        <f>8378+500</f>
        <v>8878</v>
      </c>
      <c r="AB112" s="41"/>
      <c r="AC112" s="41">
        <f t="shared" si="21"/>
        <v>15378</v>
      </c>
    </row>
    <row r="113" spans="1:29" ht="12.75" customHeight="1">
      <c r="A113" s="35">
        <v>3127</v>
      </c>
      <c r="B113" s="4">
        <v>419</v>
      </c>
      <c r="C113" s="84" t="s">
        <v>168</v>
      </c>
      <c r="D113" s="41">
        <v>9310.7</v>
      </c>
      <c r="E113" s="41">
        <f>112.7+811+1797.7</f>
        <v>2721.4</v>
      </c>
      <c r="F113" s="41"/>
      <c r="G113" s="45"/>
      <c r="H113" s="41">
        <f t="shared" si="18"/>
        <v>12032.1</v>
      </c>
      <c r="I113" s="41"/>
      <c r="J113" s="41"/>
      <c r="K113" s="42"/>
      <c r="L113" s="41">
        <f t="shared" si="19"/>
        <v>0</v>
      </c>
      <c r="M113" s="41"/>
      <c r="N113" s="41">
        <v>2131.06</v>
      </c>
      <c r="O113" s="41">
        <f>438.96</f>
        <v>438.96</v>
      </c>
      <c r="P113" s="41">
        <f t="shared" si="22"/>
        <v>2570.02</v>
      </c>
      <c r="Q113" s="41"/>
      <c r="R113" s="35">
        <v>3127</v>
      </c>
      <c r="S113" s="4">
        <v>419</v>
      </c>
      <c r="T113" s="70" t="s">
        <v>44</v>
      </c>
      <c r="U113" s="41"/>
      <c r="V113" s="41">
        <f>1084+500</f>
        <v>1584</v>
      </c>
      <c r="W113" s="41"/>
      <c r="X113" s="41">
        <f t="shared" si="20"/>
        <v>1584</v>
      </c>
      <c r="Y113" s="41"/>
      <c r="Z113" s="41">
        <v>7000</v>
      </c>
      <c r="AA113" s="41">
        <f>-500</f>
        <v>-500</v>
      </c>
      <c r="AB113" s="41"/>
      <c r="AC113" s="41">
        <f t="shared" si="21"/>
        <v>6500</v>
      </c>
    </row>
    <row r="114" spans="1:29" ht="12.75" customHeight="1">
      <c r="A114" s="35">
        <v>3124</v>
      </c>
      <c r="B114" s="4">
        <v>423</v>
      </c>
      <c r="C114" s="70" t="s">
        <v>106</v>
      </c>
      <c r="D114" s="41">
        <v>4151.53</v>
      </c>
      <c r="E114" s="41">
        <f>916+63.58</f>
        <v>979.58</v>
      </c>
      <c r="F114" s="41"/>
      <c r="G114" s="45"/>
      <c r="H114" s="41">
        <f t="shared" si="18"/>
        <v>5131.11</v>
      </c>
      <c r="I114" s="41"/>
      <c r="J114" s="41"/>
      <c r="K114" s="41"/>
      <c r="L114" s="41">
        <f t="shared" si="19"/>
        <v>0</v>
      </c>
      <c r="M114" s="41"/>
      <c r="N114" s="41">
        <v>372.68</v>
      </c>
      <c r="O114" s="41">
        <f>-11.92</f>
        <v>-11.92</v>
      </c>
      <c r="P114" s="41">
        <f t="shared" si="22"/>
        <v>360.76</v>
      </c>
      <c r="Q114" s="41"/>
      <c r="R114" s="35">
        <v>3124</v>
      </c>
      <c r="S114" s="4">
        <v>423</v>
      </c>
      <c r="T114" s="70" t="s">
        <v>106</v>
      </c>
      <c r="U114" s="41">
        <v>4000</v>
      </c>
      <c r="V114" s="41">
        <f>21</f>
        <v>21</v>
      </c>
      <c r="W114" s="41"/>
      <c r="X114" s="41">
        <f t="shared" si="20"/>
        <v>4021</v>
      </c>
      <c r="Y114" s="41"/>
      <c r="Z114" s="41"/>
      <c r="AA114" s="41"/>
      <c r="AB114" s="41"/>
      <c r="AC114" s="41">
        <f t="shared" si="21"/>
        <v>0</v>
      </c>
    </row>
    <row r="115" spans="1:29" ht="12.75" customHeight="1">
      <c r="A115" s="35">
        <v>3112</v>
      </c>
      <c r="B115" s="4">
        <v>425</v>
      </c>
      <c r="C115" s="70" t="s">
        <v>107</v>
      </c>
      <c r="D115" s="41">
        <v>1423.88</v>
      </c>
      <c r="E115" s="41">
        <f>273-2.51</f>
        <v>270.49</v>
      </c>
      <c r="F115" s="41"/>
      <c r="G115" s="45"/>
      <c r="H115" s="41">
        <f t="shared" si="18"/>
        <v>1694.3700000000001</v>
      </c>
      <c r="I115" s="41"/>
      <c r="J115" s="41"/>
      <c r="K115" s="41"/>
      <c r="L115" s="41">
        <f t="shared" si="19"/>
        <v>0</v>
      </c>
      <c r="M115" s="41"/>
      <c r="N115" s="41">
        <v>20.33</v>
      </c>
      <c r="O115" s="41">
        <f>-2.02</f>
        <v>-2.02</v>
      </c>
      <c r="P115" s="41">
        <f t="shared" si="22"/>
        <v>18.31</v>
      </c>
      <c r="Q115" s="41"/>
      <c r="R115" s="35">
        <v>3112</v>
      </c>
      <c r="S115" s="4">
        <v>425</v>
      </c>
      <c r="T115" s="70" t="s">
        <v>107</v>
      </c>
      <c r="U115" s="41"/>
      <c r="V115" s="41"/>
      <c r="W115" s="41"/>
      <c r="X115" s="41">
        <f t="shared" si="20"/>
        <v>0</v>
      </c>
      <c r="Y115" s="41"/>
      <c r="Z115" s="41"/>
      <c r="AA115" s="41"/>
      <c r="AB115" s="41"/>
      <c r="AC115" s="41">
        <f t="shared" si="21"/>
        <v>0</v>
      </c>
    </row>
    <row r="116" spans="1:29" ht="12.75" customHeight="1">
      <c r="A116" s="35">
        <v>3114</v>
      </c>
      <c r="B116" s="4">
        <v>426</v>
      </c>
      <c r="C116" s="70" t="s">
        <v>45</v>
      </c>
      <c r="D116" s="41">
        <v>1110.54</v>
      </c>
      <c r="E116" s="41">
        <f>10+145</f>
        <v>155</v>
      </c>
      <c r="F116" s="41"/>
      <c r="G116" s="45"/>
      <c r="H116" s="41">
        <f t="shared" si="18"/>
        <v>1265.54</v>
      </c>
      <c r="I116" s="41"/>
      <c r="J116" s="41"/>
      <c r="K116" s="41"/>
      <c r="L116" s="41">
        <f t="shared" si="19"/>
        <v>0</v>
      </c>
      <c r="M116" s="41"/>
      <c r="N116" s="41">
        <v>0.03</v>
      </c>
      <c r="O116" s="41"/>
      <c r="P116" s="41">
        <f t="shared" si="22"/>
        <v>0.03</v>
      </c>
      <c r="Q116" s="41"/>
      <c r="R116" s="35">
        <v>3114</v>
      </c>
      <c r="S116" s="4">
        <v>426</v>
      </c>
      <c r="T116" s="70" t="s">
        <v>45</v>
      </c>
      <c r="U116" s="41"/>
      <c r="V116" s="41"/>
      <c r="W116" s="41"/>
      <c r="X116" s="41">
        <f t="shared" si="20"/>
        <v>0</v>
      </c>
      <c r="Y116" s="41"/>
      <c r="Z116" s="41"/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0" t="s">
        <v>46</v>
      </c>
      <c r="D117" s="41">
        <v>3210.07</v>
      </c>
      <c r="E117" s="41">
        <f>238+7.61</f>
        <v>245.61</v>
      </c>
      <c r="F117" s="41"/>
      <c r="G117" s="45"/>
      <c r="H117" s="41">
        <f t="shared" si="18"/>
        <v>3455.6800000000003</v>
      </c>
      <c r="I117" s="41"/>
      <c r="J117" s="41"/>
      <c r="K117" s="41"/>
      <c r="L117" s="41">
        <f t="shared" si="19"/>
        <v>0</v>
      </c>
      <c r="M117" s="41"/>
      <c r="N117" s="41">
        <v>69.62</v>
      </c>
      <c r="O117" s="41">
        <f>6.11</f>
        <v>6.11</v>
      </c>
      <c r="P117" s="41">
        <f t="shared" si="22"/>
        <v>75.73</v>
      </c>
      <c r="Q117" s="41"/>
      <c r="R117" s="35">
        <v>3133</v>
      </c>
      <c r="S117" s="4">
        <v>427</v>
      </c>
      <c r="T117" s="70" t="s">
        <v>46</v>
      </c>
      <c r="U117" s="41"/>
      <c r="V117" s="41"/>
      <c r="W117" s="41"/>
      <c r="X117" s="41">
        <f t="shared" si="20"/>
        <v>0</v>
      </c>
      <c r="Y117" s="41"/>
      <c r="Z117" s="41"/>
      <c r="AA117" s="41"/>
      <c r="AB117" s="41"/>
      <c r="AC117" s="41">
        <f t="shared" si="21"/>
        <v>0</v>
      </c>
    </row>
    <row r="118" spans="1:29" ht="12.75" customHeight="1">
      <c r="A118" s="35">
        <v>3133</v>
      </c>
      <c r="B118" s="4">
        <v>428</v>
      </c>
      <c r="C118" s="70" t="s">
        <v>108</v>
      </c>
      <c r="D118" s="41">
        <v>3968.6</v>
      </c>
      <c r="E118" s="41">
        <f>9.9+451+94.37</f>
        <v>555.27</v>
      </c>
      <c r="F118" s="41"/>
      <c r="G118" s="45"/>
      <c r="H118" s="41">
        <f t="shared" si="18"/>
        <v>4523.87</v>
      </c>
      <c r="I118" s="41"/>
      <c r="J118" s="41"/>
      <c r="K118" s="41"/>
      <c r="L118" s="41">
        <f t="shared" si="19"/>
        <v>0</v>
      </c>
      <c r="M118" s="41"/>
      <c r="N118" s="41">
        <v>262.96</v>
      </c>
      <c r="O118" s="41">
        <f>92.2</f>
        <v>92.2</v>
      </c>
      <c r="P118" s="41">
        <f t="shared" si="22"/>
        <v>355.15999999999997</v>
      </c>
      <c r="Q118" s="41"/>
      <c r="R118" s="35">
        <v>3133</v>
      </c>
      <c r="S118" s="4">
        <v>428</v>
      </c>
      <c r="T118" s="70" t="s">
        <v>108</v>
      </c>
      <c r="U118" s="41"/>
      <c r="V118" s="41">
        <f>350</f>
        <v>350</v>
      </c>
      <c r="W118" s="41"/>
      <c r="X118" s="41">
        <f t="shared" si="20"/>
        <v>350</v>
      </c>
      <c r="Y118" s="41"/>
      <c r="Z118" s="41"/>
      <c r="AA118" s="41">
        <f>1800</f>
        <v>1800</v>
      </c>
      <c r="AB118" s="41"/>
      <c r="AC118" s="41">
        <f t="shared" si="21"/>
        <v>1800</v>
      </c>
    </row>
    <row r="119" spans="1:29" ht="12.75" customHeight="1">
      <c r="A119" s="35">
        <v>3114</v>
      </c>
      <c r="B119" s="4">
        <v>431</v>
      </c>
      <c r="C119" s="70" t="s">
        <v>109</v>
      </c>
      <c r="D119" s="41">
        <v>1908.5</v>
      </c>
      <c r="E119" s="41">
        <f>20+310+13.2</f>
        <v>343.2</v>
      </c>
      <c r="F119" s="41"/>
      <c r="G119" s="45"/>
      <c r="H119" s="41">
        <f t="shared" si="18"/>
        <v>2251.7</v>
      </c>
      <c r="I119" s="41"/>
      <c r="J119" s="41"/>
      <c r="K119" s="41"/>
      <c r="L119" s="41">
        <f t="shared" si="19"/>
        <v>0</v>
      </c>
      <c r="M119" s="41"/>
      <c r="N119" s="41">
        <v>248.49</v>
      </c>
      <c r="O119" s="41">
        <f>10.61</f>
        <v>10.61</v>
      </c>
      <c r="P119" s="41">
        <f t="shared" si="22"/>
        <v>259.1</v>
      </c>
      <c r="Q119" s="41"/>
      <c r="R119" s="35">
        <v>3114</v>
      </c>
      <c r="S119" s="4">
        <v>431</v>
      </c>
      <c r="T119" s="70" t="s">
        <v>109</v>
      </c>
      <c r="U119" s="41"/>
      <c r="V119" s="41"/>
      <c r="W119" s="41"/>
      <c r="X119" s="41">
        <f t="shared" si="20"/>
        <v>0</v>
      </c>
      <c r="Y119" s="41"/>
      <c r="Z119" s="41"/>
      <c r="AA119" s="41"/>
      <c r="AB119" s="41"/>
      <c r="AC119" s="41">
        <f t="shared" si="21"/>
        <v>0</v>
      </c>
    </row>
    <row r="120" spans="1:29" ht="12.75" customHeight="1">
      <c r="A120" s="35">
        <v>3114</v>
      </c>
      <c r="B120" s="4">
        <v>432</v>
      </c>
      <c r="C120" s="80" t="s">
        <v>110</v>
      </c>
      <c r="D120" s="41">
        <v>2599.57</v>
      </c>
      <c r="E120" s="41">
        <f>10+544</f>
        <v>554</v>
      </c>
      <c r="F120" s="41"/>
      <c r="G120" s="45"/>
      <c r="H120" s="41">
        <f t="shared" si="18"/>
        <v>3153.57</v>
      </c>
      <c r="I120" s="41"/>
      <c r="J120" s="41"/>
      <c r="K120" s="41"/>
      <c r="L120" s="41">
        <f t="shared" si="19"/>
        <v>0</v>
      </c>
      <c r="M120" s="41"/>
      <c r="N120" s="41">
        <v>6.81</v>
      </c>
      <c r="O120" s="41"/>
      <c r="P120" s="41">
        <f t="shared" si="22"/>
        <v>6.81</v>
      </c>
      <c r="Q120" s="41"/>
      <c r="R120" s="35">
        <v>3114</v>
      </c>
      <c r="S120" s="4">
        <v>432</v>
      </c>
      <c r="T120" s="80" t="s">
        <v>110</v>
      </c>
      <c r="U120" s="41"/>
      <c r="V120" s="41"/>
      <c r="W120" s="41"/>
      <c r="X120" s="41">
        <f t="shared" si="20"/>
        <v>0</v>
      </c>
      <c r="Y120" s="41"/>
      <c r="Z120" s="41"/>
      <c r="AA120" s="41"/>
      <c r="AB120" s="41"/>
      <c r="AC120" s="41">
        <f t="shared" si="21"/>
        <v>0</v>
      </c>
    </row>
    <row r="121" spans="1:29" ht="12.75" customHeight="1">
      <c r="A121" s="35">
        <v>3114</v>
      </c>
      <c r="B121" s="4">
        <v>433</v>
      </c>
      <c r="C121" s="70" t="s">
        <v>152</v>
      </c>
      <c r="D121" s="41">
        <v>680.7</v>
      </c>
      <c r="E121" s="41">
        <f>10+122</f>
        <v>132</v>
      </c>
      <c r="F121" s="41"/>
      <c r="G121" s="45"/>
      <c r="H121" s="41">
        <f t="shared" si="18"/>
        <v>812.7</v>
      </c>
      <c r="I121" s="41"/>
      <c r="J121" s="41"/>
      <c r="K121" s="41"/>
      <c r="L121" s="41">
        <f t="shared" si="19"/>
        <v>0</v>
      </c>
      <c r="M121" s="41"/>
      <c r="N121" s="41"/>
      <c r="O121" s="41"/>
      <c r="P121" s="41">
        <f t="shared" si="22"/>
        <v>0</v>
      </c>
      <c r="Q121" s="41"/>
      <c r="R121" s="35">
        <v>3114</v>
      </c>
      <c r="S121" s="4">
        <v>433</v>
      </c>
      <c r="T121" s="70" t="s">
        <v>152</v>
      </c>
      <c r="U121" s="41"/>
      <c r="V121" s="41"/>
      <c r="W121" s="41"/>
      <c r="X121" s="41">
        <f t="shared" si="20"/>
        <v>0</v>
      </c>
      <c r="Y121" s="41"/>
      <c r="Z121" s="41"/>
      <c r="AA121" s="41"/>
      <c r="AB121" s="41"/>
      <c r="AC121" s="41">
        <f t="shared" si="21"/>
        <v>0</v>
      </c>
    </row>
    <row r="122" spans="1:29" ht="12.75" customHeight="1">
      <c r="A122" s="35">
        <v>3114</v>
      </c>
      <c r="B122" s="4">
        <v>436</v>
      </c>
      <c r="C122" s="71" t="s">
        <v>111</v>
      </c>
      <c r="D122" s="41">
        <v>2575.4</v>
      </c>
      <c r="E122" s="41">
        <f>584</f>
        <v>584</v>
      </c>
      <c r="F122" s="41"/>
      <c r="G122" s="45"/>
      <c r="H122" s="41">
        <f t="shared" si="18"/>
        <v>3159.4</v>
      </c>
      <c r="I122" s="41"/>
      <c r="J122" s="41"/>
      <c r="K122" s="41"/>
      <c r="L122" s="41">
        <f t="shared" si="19"/>
        <v>0</v>
      </c>
      <c r="M122" s="41"/>
      <c r="N122" s="41"/>
      <c r="O122" s="41"/>
      <c r="P122" s="41">
        <f t="shared" si="22"/>
        <v>0</v>
      </c>
      <c r="Q122" s="41"/>
      <c r="R122" s="35">
        <v>3114</v>
      </c>
      <c r="S122" s="4">
        <v>436</v>
      </c>
      <c r="T122" s="71" t="s">
        <v>111</v>
      </c>
      <c r="U122" s="41"/>
      <c r="V122" s="41"/>
      <c r="W122" s="41"/>
      <c r="X122" s="41">
        <f t="shared" si="20"/>
        <v>0</v>
      </c>
      <c r="Y122" s="41"/>
      <c r="Z122" s="41"/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1" t="s">
        <v>112</v>
      </c>
      <c r="D123" s="41">
        <v>9001.06</v>
      </c>
      <c r="E123" s="41">
        <f>71.6+2639+1374.05</f>
        <v>4084.6499999999996</v>
      </c>
      <c r="F123" s="41"/>
      <c r="G123" s="45"/>
      <c r="H123" s="41">
        <f t="shared" si="18"/>
        <v>13085.71</v>
      </c>
      <c r="I123" s="41"/>
      <c r="J123" s="41"/>
      <c r="K123" s="41">
        <f>44</f>
        <v>44</v>
      </c>
      <c r="L123" s="41">
        <f t="shared" si="19"/>
        <v>44</v>
      </c>
      <c r="M123" s="41"/>
      <c r="N123" s="41">
        <v>1187.98</v>
      </c>
      <c r="O123" s="41">
        <f>179.91</f>
        <v>179.91</v>
      </c>
      <c r="P123" s="41">
        <f t="shared" si="22"/>
        <v>1367.89</v>
      </c>
      <c r="Q123" s="41"/>
      <c r="R123" s="35">
        <v>3127</v>
      </c>
      <c r="S123" s="4">
        <v>445</v>
      </c>
      <c r="T123" s="71" t="s">
        <v>112</v>
      </c>
      <c r="U123" s="41"/>
      <c r="V123" s="41"/>
      <c r="W123" s="41"/>
      <c r="X123" s="41">
        <f t="shared" si="20"/>
        <v>0</v>
      </c>
      <c r="Y123" s="41"/>
      <c r="Z123" s="41">
        <v>3000</v>
      </c>
      <c r="AA123" s="45">
        <f>4831+400</f>
        <v>5231</v>
      </c>
      <c r="AB123" s="41"/>
      <c r="AC123" s="41">
        <f t="shared" si="21"/>
        <v>8231</v>
      </c>
    </row>
    <row r="124" spans="1:29" ht="12.75" customHeight="1">
      <c r="A124" s="35">
        <v>3127</v>
      </c>
      <c r="B124" s="4">
        <v>447</v>
      </c>
      <c r="C124" s="70" t="s">
        <v>47</v>
      </c>
      <c r="D124" s="41">
        <v>4440.01</v>
      </c>
      <c r="E124" s="54">
        <f>168.4+2208+301.05+116.1</f>
        <v>2793.55</v>
      </c>
      <c r="F124" s="54"/>
      <c r="G124" s="54"/>
      <c r="H124" s="41">
        <f t="shared" si="18"/>
        <v>7233.56</v>
      </c>
      <c r="I124" s="54"/>
      <c r="J124" s="41"/>
      <c r="K124" s="54"/>
      <c r="L124" s="41">
        <f t="shared" si="19"/>
        <v>0</v>
      </c>
      <c r="M124" s="54"/>
      <c r="N124" s="41">
        <v>500.52</v>
      </c>
      <c r="O124" s="54">
        <f>190.95</f>
        <v>190.95</v>
      </c>
      <c r="P124" s="41">
        <f t="shared" si="22"/>
        <v>691.47</v>
      </c>
      <c r="Q124" s="54"/>
      <c r="R124" s="35">
        <v>3127</v>
      </c>
      <c r="S124" s="4">
        <v>447</v>
      </c>
      <c r="T124" s="70" t="s">
        <v>47</v>
      </c>
      <c r="U124" s="41"/>
      <c r="V124" s="54">
        <f>88</f>
        <v>88</v>
      </c>
      <c r="W124" s="54"/>
      <c r="X124" s="41">
        <f t="shared" si="20"/>
        <v>88</v>
      </c>
      <c r="Y124" s="54"/>
      <c r="Z124" s="41">
        <v>9000</v>
      </c>
      <c r="AA124" s="85">
        <f>670</f>
        <v>670</v>
      </c>
      <c r="AB124" s="54"/>
      <c r="AC124" s="41">
        <f t="shared" si="21"/>
        <v>9670</v>
      </c>
    </row>
    <row r="125" spans="1:29" ht="12.75" customHeight="1">
      <c r="A125" s="35">
        <v>3114</v>
      </c>
      <c r="B125" s="4">
        <v>452</v>
      </c>
      <c r="C125" s="80" t="s">
        <v>113</v>
      </c>
      <c r="D125" s="41">
        <v>2013.7</v>
      </c>
      <c r="E125" s="41">
        <f>9.28+224+0.27</f>
        <v>233.55</v>
      </c>
      <c r="F125" s="41"/>
      <c r="G125" s="41"/>
      <c r="H125" s="41">
        <f aca="true" t="shared" si="23" ref="H125:H132">D125+E125+F125+G125</f>
        <v>2247.25</v>
      </c>
      <c r="I125" s="41"/>
      <c r="J125" s="41"/>
      <c r="K125" s="41"/>
      <c r="L125" s="41">
        <f aca="true" t="shared" si="24" ref="L125:L132">J125+K125</f>
        <v>0</v>
      </c>
      <c r="M125" s="41"/>
      <c r="N125" s="41">
        <v>2.41</v>
      </c>
      <c r="O125" s="41">
        <f>0.21</f>
        <v>0.21</v>
      </c>
      <c r="P125" s="41">
        <f t="shared" si="22"/>
        <v>2.62</v>
      </c>
      <c r="Q125" s="41"/>
      <c r="R125" s="35">
        <v>3114</v>
      </c>
      <c r="S125" s="4">
        <v>452</v>
      </c>
      <c r="T125" s="80" t="s">
        <v>113</v>
      </c>
      <c r="U125" s="41"/>
      <c r="V125" s="41"/>
      <c r="W125" s="41"/>
      <c r="X125" s="41">
        <f aca="true" t="shared" si="25" ref="X125:X132">SUM(U125:W125)</f>
        <v>0</v>
      </c>
      <c r="Y125" s="41"/>
      <c r="Z125" s="41"/>
      <c r="AA125" s="41"/>
      <c r="AB125" s="41"/>
      <c r="AC125" s="41">
        <f aca="true" t="shared" si="26" ref="AC125:AC132">SUM(Z125:AB125)</f>
        <v>0</v>
      </c>
    </row>
    <row r="126" spans="1:29" ht="12.75" customHeight="1">
      <c r="A126" s="35">
        <v>3127</v>
      </c>
      <c r="B126" s="4">
        <v>454</v>
      </c>
      <c r="C126" s="70" t="s">
        <v>114</v>
      </c>
      <c r="D126" s="41">
        <v>14441.8</v>
      </c>
      <c r="E126" s="41">
        <f>112.85+3272+519.57</f>
        <v>3904.42</v>
      </c>
      <c r="F126" s="41"/>
      <c r="G126" s="41"/>
      <c r="H126" s="41">
        <f t="shared" si="23"/>
        <v>18346.22</v>
      </c>
      <c r="I126" s="41"/>
      <c r="J126" s="41"/>
      <c r="K126" s="50">
        <f>10000</f>
        <v>10000</v>
      </c>
      <c r="L126" s="41">
        <f t="shared" si="24"/>
        <v>10000</v>
      </c>
      <c r="M126" s="41"/>
      <c r="N126" s="41">
        <v>5041.37</v>
      </c>
      <c r="O126" s="41">
        <f>-143.49</f>
        <v>-143.49</v>
      </c>
      <c r="P126" s="41">
        <f aca="true" t="shared" si="27" ref="P126:P132">N126+O126</f>
        <v>4897.88</v>
      </c>
      <c r="Q126" s="41"/>
      <c r="R126" s="35">
        <v>3127</v>
      </c>
      <c r="S126" s="4">
        <v>454</v>
      </c>
      <c r="T126" s="70" t="s">
        <v>114</v>
      </c>
      <c r="U126" s="41"/>
      <c r="V126" s="41">
        <f>3500+1000</f>
        <v>4500</v>
      </c>
      <c r="W126" s="41"/>
      <c r="X126" s="41">
        <f t="shared" si="25"/>
        <v>4500</v>
      </c>
      <c r="Y126" s="41"/>
      <c r="Z126" s="41">
        <v>1000</v>
      </c>
      <c r="AA126" s="41">
        <f>438+1300</f>
        <v>1738</v>
      </c>
      <c r="AB126" s="41"/>
      <c r="AC126" s="41">
        <f t="shared" si="26"/>
        <v>2738</v>
      </c>
    </row>
    <row r="127" spans="1:29" ht="12.75" customHeight="1">
      <c r="A127" s="35">
        <v>3146</v>
      </c>
      <c r="B127" s="4">
        <v>455</v>
      </c>
      <c r="C127" s="70" t="s">
        <v>115</v>
      </c>
      <c r="D127" s="41">
        <v>6762.23</v>
      </c>
      <c r="E127" s="62">
        <f>1217+15.73</f>
        <v>1232.73</v>
      </c>
      <c r="F127" s="62"/>
      <c r="G127" s="62"/>
      <c r="H127" s="41">
        <f t="shared" si="23"/>
        <v>7994.959999999999</v>
      </c>
      <c r="I127" s="62"/>
      <c r="J127" s="62"/>
      <c r="K127" s="62"/>
      <c r="L127" s="41">
        <f t="shared" si="24"/>
        <v>0</v>
      </c>
      <c r="M127" s="62"/>
      <c r="N127" s="41">
        <v>585.79</v>
      </c>
      <c r="O127" s="62">
        <f>12.64</f>
        <v>12.64</v>
      </c>
      <c r="P127" s="41">
        <f t="shared" si="27"/>
        <v>598.43</v>
      </c>
      <c r="Q127" s="62"/>
      <c r="R127" s="35">
        <v>3146</v>
      </c>
      <c r="S127" s="4">
        <v>455</v>
      </c>
      <c r="T127" s="70" t="s">
        <v>115</v>
      </c>
      <c r="U127" s="54"/>
      <c r="V127" s="62"/>
      <c r="W127" s="62"/>
      <c r="X127" s="41">
        <f t="shared" si="25"/>
        <v>0</v>
      </c>
      <c r="Y127" s="54"/>
      <c r="Z127" s="54"/>
      <c r="AA127" s="54"/>
      <c r="AB127" s="54"/>
      <c r="AC127" s="41">
        <f t="shared" si="26"/>
        <v>0</v>
      </c>
    </row>
    <row r="128" spans="1:29" ht="12.75" customHeight="1">
      <c r="A128" s="68">
        <v>3127</v>
      </c>
      <c r="B128" s="69">
        <v>456</v>
      </c>
      <c r="C128" s="72" t="s">
        <v>129</v>
      </c>
      <c r="D128" s="41">
        <v>14153.65</v>
      </c>
      <c r="E128" s="41">
        <f>21+3755+842.29</f>
        <v>4618.29</v>
      </c>
      <c r="F128" s="41"/>
      <c r="G128" s="41"/>
      <c r="H128" s="41">
        <f t="shared" si="23"/>
        <v>18771.94</v>
      </c>
      <c r="I128" s="41"/>
      <c r="J128" s="41">
        <v>185</v>
      </c>
      <c r="K128" s="41">
        <f>90.63</f>
        <v>90.63</v>
      </c>
      <c r="L128" s="41">
        <f t="shared" si="24"/>
        <v>275.63</v>
      </c>
      <c r="M128" s="41"/>
      <c r="N128" s="41">
        <v>2540.18</v>
      </c>
      <c r="O128" s="41">
        <f>513.01</f>
        <v>513.01</v>
      </c>
      <c r="P128" s="41">
        <f t="shared" si="27"/>
        <v>3053.1899999999996</v>
      </c>
      <c r="Q128" s="41"/>
      <c r="R128" s="68">
        <v>3127</v>
      </c>
      <c r="S128" s="69">
        <v>456</v>
      </c>
      <c r="T128" s="72" t="s">
        <v>129</v>
      </c>
      <c r="U128" s="41"/>
      <c r="V128" s="41"/>
      <c r="W128" s="41"/>
      <c r="X128" s="41">
        <f t="shared" si="25"/>
        <v>0</v>
      </c>
      <c r="Y128" s="41"/>
      <c r="Z128" s="41"/>
      <c r="AA128" s="41">
        <f>2211+3600</f>
        <v>5811</v>
      </c>
      <c r="AB128" s="41"/>
      <c r="AC128" s="41">
        <f t="shared" si="26"/>
        <v>5811</v>
      </c>
    </row>
    <row r="129" spans="1:29" ht="12.75" customHeight="1">
      <c r="A129" s="34">
        <v>3127</v>
      </c>
      <c r="B129" s="2">
        <v>457</v>
      </c>
      <c r="C129" s="73" t="s">
        <v>130</v>
      </c>
      <c r="D129" s="41">
        <v>5957.06</v>
      </c>
      <c r="E129" s="41">
        <f>115+1199+1414.92</f>
        <v>2728.92</v>
      </c>
      <c r="F129" s="41"/>
      <c r="G129" s="41"/>
      <c r="H129" s="41">
        <f t="shared" si="23"/>
        <v>8685.98</v>
      </c>
      <c r="I129" s="41"/>
      <c r="J129" s="41"/>
      <c r="K129" s="41"/>
      <c r="L129" s="41">
        <f t="shared" si="24"/>
        <v>0</v>
      </c>
      <c r="M129" s="41"/>
      <c r="N129" s="41">
        <v>395.86</v>
      </c>
      <c r="O129" s="41">
        <f>9.9</f>
        <v>9.9</v>
      </c>
      <c r="P129" s="41">
        <f t="shared" si="27"/>
        <v>405.76</v>
      </c>
      <c r="Q129" s="41"/>
      <c r="R129" s="34">
        <v>3127</v>
      </c>
      <c r="S129" s="2">
        <v>457</v>
      </c>
      <c r="T129" s="73" t="s">
        <v>130</v>
      </c>
      <c r="U129" s="41"/>
      <c r="V129" s="41"/>
      <c r="W129" s="41"/>
      <c r="X129" s="41">
        <f t="shared" si="25"/>
        <v>0</v>
      </c>
      <c r="Y129" s="41"/>
      <c r="Z129" s="41"/>
      <c r="AA129" s="41"/>
      <c r="AB129" s="41"/>
      <c r="AC129" s="41">
        <f t="shared" si="26"/>
        <v>0</v>
      </c>
    </row>
    <row r="130" spans="1:29" ht="12.75" customHeight="1">
      <c r="A130" s="34">
        <v>3127</v>
      </c>
      <c r="B130" s="2">
        <v>458</v>
      </c>
      <c r="C130" s="73" t="s">
        <v>146</v>
      </c>
      <c r="D130" s="41">
        <v>10546.84</v>
      </c>
      <c r="E130" s="41">
        <f>75+3036+1326.58</f>
        <v>4437.58</v>
      </c>
      <c r="F130" s="41"/>
      <c r="G130" s="41"/>
      <c r="H130" s="41">
        <f t="shared" si="23"/>
        <v>14984.42</v>
      </c>
      <c r="I130" s="41"/>
      <c r="J130" s="41"/>
      <c r="K130" s="41">
        <f>45</f>
        <v>45</v>
      </c>
      <c r="L130" s="41">
        <f t="shared" si="24"/>
        <v>45</v>
      </c>
      <c r="M130" s="41"/>
      <c r="N130" s="41">
        <v>1964.95</v>
      </c>
      <c r="O130" s="41">
        <f>262.98</f>
        <v>262.98</v>
      </c>
      <c r="P130" s="41">
        <f t="shared" si="27"/>
        <v>2227.9300000000003</v>
      </c>
      <c r="Q130" s="41"/>
      <c r="R130" s="34">
        <v>3127</v>
      </c>
      <c r="S130" s="2">
        <v>458</v>
      </c>
      <c r="T130" s="73" t="s">
        <v>146</v>
      </c>
      <c r="U130" s="41"/>
      <c r="V130" s="41"/>
      <c r="W130" s="41"/>
      <c r="X130" s="41">
        <f t="shared" si="25"/>
        <v>0</v>
      </c>
      <c r="Y130" s="41"/>
      <c r="Z130" s="41"/>
      <c r="AA130" s="41">
        <f>1571+3500</f>
        <v>5071</v>
      </c>
      <c r="AB130" s="41"/>
      <c r="AC130" s="41">
        <f t="shared" si="26"/>
        <v>5071</v>
      </c>
    </row>
    <row r="131" spans="1:29" ht="12.75" customHeight="1">
      <c r="A131" s="34">
        <v>3127</v>
      </c>
      <c r="B131" s="2">
        <v>459</v>
      </c>
      <c r="C131" s="86" t="s">
        <v>169</v>
      </c>
      <c r="D131" s="41">
        <v>8607.45</v>
      </c>
      <c r="E131" s="41">
        <f>1354.9+2252+670.54+980.6</f>
        <v>5258.040000000001</v>
      </c>
      <c r="F131" s="41"/>
      <c r="G131" s="41"/>
      <c r="H131" s="41">
        <f t="shared" si="23"/>
        <v>13865.490000000002</v>
      </c>
      <c r="I131" s="41"/>
      <c r="J131" s="41"/>
      <c r="K131" s="41">
        <f>114.8</f>
        <v>114.8</v>
      </c>
      <c r="L131" s="41">
        <f t="shared" si="24"/>
        <v>114.8</v>
      </c>
      <c r="M131" s="41"/>
      <c r="N131" s="41">
        <v>1651.81</v>
      </c>
      <c r="O131" s="41">
        <f>333.87</f>
        <v>333.87</v>
      </c>
      <c r="P131" s="41">
        <f t="shared" si="27"/>
        <v>1985.6799999999998</v>
      </c>
      <c r="Q131" s="41"/>
      <c r="R131" s="34">
        <v>3127</v>
      </c>
      <c r="S131" s="2">
        <v>459</v>
      </c>
      <c r="T131" s="73" t="s">
        <v>131</v>
      </c>
      <c r="U131" s="41"/>
      <c r="V131" s="41"/>
      <c r="W131" s="41"/>
      <c r="X131" s="41">
        <f t="shared" si="25"/>
        <v>0</v>
      </c>
      <c r="Y131" s="41"/>
      <c r="Z131" s="41"/>
      <c r="AA131" s="41"/>
      <c r="AB131" s="41"/>
      <c r="AC131" s="41">
        <f t="shared" si="26"/>
        <v>0</v>
      </c>
    </row>
    <row r="132" spans="1:29" ht="12.75" customHeight="1" thickBot="1">
      <c r="A132" s="63">
        <v>3127</v>
      </c>
      <c r="B132" s="64">
        <v>460</v>
      </c>
      <c r="C132" s="74" t="s">
        <v>145</v>
      </c>
      <c r="D132" s="65">
        <v>10668.92</v>
      </c>
      <c r="E132" s="65">
        <f>97.2+1936+377.72</f>
        <v>2410.92</v>
      </c>
      <c r="F132" s="65"/>
      <c r="G132" s="65"/>
      <c r="H132" s="65">
        <f t="shared" si="23"/>
        <v>13079.84</v>
      </c>
      <c r="I132" s="65"/>
      <c r="J132" s="65"/>
      <c r="K132" s="65"/>
      <c r="L132" s="65">
        <f t="shared" si="24"/>
        <v>0</v>
      </c>
      <c r="M132" s="65"/>
      <c r="N132" s="65">
        <v>837.4</v>
      </c>
      <c r="O132" s="65">
        <f>-8.59</f>
        <v>-8.59</v>
      </c>
      <c r="P132" s="65">
        <f t="shared" si="27"/>
        <v>828.81</v>
      </c>
      <c r="Q132" s="65"/>
      <c r="R132" s="63">
        <v>3127</v>
      </c>
      <c r="S132" s="64">
        <v>460</v>
      </c>
      <c r="T132" s="74" t="s">
        <v>145</v>
      </c>
      <c r="U132" s="65"/>
      <c r="V132" s="65"/>
      <c r="W132" s="65"/>
      <c r="X132" s="65">
        <f t="shared" si="25"/>
        <v>0</v>
      </c>
      <c r="Y132" s="65"/>
      <c r="Z132" s="65"/>
      <c r="AA132" s="65"/>
      <c r="AB132" s="65"/>
      <c r="AC132" s="65">
        <f t="shared" si="26"/>
        <v>0</v>
      </c>
    </row>
    <row r="133" spans="4:15" ht="12.75">
      <c r="D133" s="66"/>
      <c r="E133" s="66"/>
      <c r="F133" s="66"/>
      <c r="G133" s="66"/>
      <c r="N133" s="83"/>
      <c r="O133" s="66"/>
    </row>
    <row r="134" spans="4:15" ht="12.75">
      <c r="D134" s="66"/>
      <c r="E134" s="66"/>
      <c r="F134" s="66"/>
      <c r="G134" s="66"/>
      <c r="N134" s="66"/>
      <c r="O134" s="66"/>
    </row>
    <row r="135" spans="4:15" ht="12.75">
      <c r="D135" s="66"/>
      <c r="E135" s="66"/>
      <c r="F135" s="66"/>
      <c r="G135" s="66"/>
      <c r="N135" s="66"/>
      <c r="O135" s="66"/>
    </row>
    <row r="136" spans="4:15" ht="12.75">
      <c r="D136" s="66"/>
      <c r="E136" s="66"/>
      <c r="F136" s="66"/>
      <c r="G136" s="66"/>
      <c r="N136" s="66"/>
      <c r="O136" s="66"/>
    </row>
    <row r="137" spans="4:15" ht="12.75">
      <c r="D137" s="66"/>
      <c r="E137" s="66"/>
      <c r="F137" s="66"/>
      <c r="G137" s="66"/>
      <c r="N137" s="66"/>
      <c r="O137" s="66"/>
    </row>
    <row r="138" spans="4:15" ht="12.75">
      <c r="D138" s="66"/>
      <c r="E138" s="66"/>
      <c r="F138" s="66"/>
      <c r="G138" s="66"/>
      <c r="N138" s="66"/>
      <c r="O138" s="66"/>
    </row>
    <row r="139" spans="4:15" ht="12.75">
      <c r="D139" s="66"/>
      <c r="E139" s="66"/>
      <c r="F139" s="66"/>
      <c r="G139" s="66"/>
      <c r="N139" s="66"/>
      <c r="O139" s="66"/>
    </row>
    <row r="140" spans="14:15" ht="12.75">
      <c r="N140" s="66"/>
      <c r="O140" s="66"/>
    </row>
    <row r="141" spans="14:15" ht="12.75">
      <c r="N141" s="66"/>
      <c r="O141" s="66"/>
    </row>
    <row r="142" spans="14:15" ht="12.75">
      <c r="N142" s="66"/>
      <c r="O142" s="66"/>
    </row>
    <row r="143" spans="14:15" ht="12.75">
      <c r="N143" s="66"/>
      <c r="O143" s="66"/>
    </row>
    <row r="144" spans="14:15" ht="12.75">
      <c r="N144" s="66"/>
      <c r="O144" s="66"/>
    </row>
    <row r="145" spans="14:15" ht="12.75">
      <c r="N145" s="66"/>
      <c r="O145" s="66"/>
    </row>
    <row r="146" spans="14:15" ht="12.75">
      <c r="N146" s="66"/>
      <c r="O146" s="66"/>
    </row>
    <row r="147" spans="14:15" ht="12.75">
      <c r="N147" s="66"/>
      <c r="O147" s="66"/>
    </row>
    <row r="148" spans="14:15" ht="12.75">
      <c r="N148" s="66"/>
      <c r="O148" s="66"/>
    </row>
    <row r="149" spans="14:15" ht="12.75">
      <c r="N149" s="66"/>
      <c r="O149" s="66"/>
    </row>
    <row r="150" spans="14:15" ht="12.75">
      <c r="N150" s="66"/>
      <c r="O150" s="66"/>
    </row>
    <row r="151" spans="14:15" ht="12.75">
      <c r="N151" s="66"/>
      <c r="O151" s="66"/>
    </row>
    <row r="152" spans="14:15" ht="12.75">
      <c r="N152" s="66"/>
      <c r="O152" s="66"/>
    </row>
    <row r="153" spans="14:15" ht="12.75">
      <c r="N153" s="66"/>
      <c r="O153" s="66"/>
    </row>
    <row r="154" spans="14:15" ht="12.75">
      <c r="N154" s="66"/>
      <c r="O154" s="66"/>
    </row>
    <row r="155" spans="14:15" ht="12.75">
      <c r="N155" s="66"/>
      <c r="O155" s="66"/>
    </row>
    <row r="156" spans="14:15" ht="12.75">
      <c r="N156" s="66"/>
      <c r="O156" s="66"/>
    </row>
    <row r="157" spans="14:15" ht="12.75">
      <c r="N157" s="66"/>
      <c r="O157" s="66"/>
    </row>
    <row r="158" spans="14:15" ht="12.75">
      <c r="N158" s="66"/>
      <c r="O158" s="66"/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PageLayoutView="0" workbookViewId="0" topLeftCell="A1">
      <pane xSplit="3" ySplit="6" topLeftCell="D6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2" sqref="D6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8515625" style="0" customWidth="1"/>
    <col min="5" max="6" width="9.7109375" style="0" customWidth="1"/>
    <col min="7" max="7" width="8.421875" style="0" customWidth="1"/>
    <col min="8" max="8" width="10.7109375" style="0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10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54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53</v>
      </c>
    </row>
    <row r="2" spans="1:29" ht="21" customHeight="1">
      <c r="A2" s="100" t="s">
        <v>157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1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34</v>
      </c>
      <c r="Q3" s="13"/>
      <c r="R3" s="13"/>
      <c r="S3" s="13"/>
      <c r="T3" s="13"/>
      <c r="U3" s="60"/>
      <c r="V3" s="26"/>
      <c r="W3" s="26"/>
      <c r="X3" s="26"/>
      <c r="Y3" s="13"/>
      <c r="Z3" s="26"/>
      <c r="AA3" s="26"/>
      <c r="AB3" s="26"/>
      <c r="AC3" s="26" t="s">
        <v>34</v>
      </c>
    </row>
    <row r="4" spans="1:29" ht="13.5" customHeight="1" thickBot="1">
      <c r="A4" s="91" t="s">
        <v>13</v>
      </c>
      <c r="B4" s="93" t="s">
        <v>30</v>
      </c>
      <c r="C4" s="95" t="s">
        <v>0</v>
      </c>
      <c r="D4" s="104" t="s">
        <v>49</v>
      </c>
      <c r="E4" s="98"/>
      <c r="F4" s="98"/>
      <c r="G4" s="98"/>
      <c r="H4" s="99"/>
      <c r="I4" s="14"/>
      <c r="J4" s="104" t="s">
        <v>123</v>
      </c>
      <c r="K4" s="98"/>
      <c r="L4" s="99"/>
      <c r="M4" s="15"/>
      <c r="N4" s="97" t="s">
        <v>81</v>
      </c>
      <c r="O4" s="105"/>
      <c r="P4" s="106"/>
      <c r="Q4" s="29"/>
      <c r="R4" s="91" t="s">
        <v>13</v>
      </c>
      <c r="S4" s="93" t="s">
        <v>30</v>
      </c>
      <c r="T4" s="95" t="s">
        <v>0</v>
      </c>
      <c r="U4" s="97" t="s">
        <v>69</v>
      </c>
      <c r="V4" s="98"/>
      <c r="W4" s="98"/>
      <c r="X4" s="98"/>
      <c r="Y4" s="98"/>
      <c r="Z4" s="98"/>
      <c r="AA4" s="98"/>
      <c r="AB4" s="98"/>
      <c r="AC4" s="99"/>
    </row>
    <row r="5" spans="1:29" ht="75.75" customHeight="1" thickBot="1">
      <c r="A5" s="102"/>
      <c r="B5" s="102"/>
      <c r="C5" s="103"/>
      <c r="D5" s="16" t="s">
        <v>158</v>
      </c>
      <c r="E5" s="16" t="s">
        <v>52</v>
      </c>
      <c r="F5" s="16" t="s">
        <v>55</v>
      </c>
      <c r="G5" s="17" t="s">
        <v>50</v>
      </c>
      <c r="H5" s="16" t="s">
        <v>159</v>
      </c>
      <c r="I5" s="16"/>
      <c r="J5" s="16" t="s">
        <v>158</v>
      </c>
      <c r="K5" s="18" t="s">
        <v>56</v>
      </c>
      <c r="L5" s="16" t="s">
        <v>159</v>
      </c>
      <c r="M5" s="18"/>
      <c r="N5" s="16" t="s">
        <v>158</v>
      </c>
      <c r="O5" s="16" t="s">
        <v>52</v>
      </c>
      <c r="P5" s="16" t="s">
        <v>159</v>
      </c>
      <c r="Q5" s="19"/>
      <c r="R5" s="92"/>
      <c r="S5" s="94"/>
      <c r="T5" s="96"/>
      <c r="U5" s="16" t="s">
        <v>158</v>
      </c>
      <c r="V5" s="27" t="s">
        <v>51</v>
      </c>
      <c r="W5" s="27" t="s">
        <v>55</v>
      </c>
      <c r="X5" s="16" t="s">
        <v>161</v>
      </c>
      <c r="Y5" s="18"/>
      <c r="Z5" s="16" t="s">
        <v>158</v>
      </c>
      <c r="AA5" s="16" t="s">
        <v>51</v>
      </c>
      <c r="AB5" s="27" t="s">
        <v>55</v>
      </c>
      <c r="AC5" s="27" t="s">
        <v>160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16</v>
      </c>
      <c r="D7" s="39">
        <f>D9</f>
        <v>30840</v>
      </c>
      <c r="E7" s="39">
        <f aca="true" t="shared" si="0" ref="E7:P7">E9</f>
        <v>0</v>
      </c>
      <c r="F7" s="39">
        <f t="shared" si="0"/>
        <v>0</v>
      </c>
      <c r="G7" s="39">
        <f t="shared" si="0"/>
        <v>0</v>
      </c>
      <c r="H7" s="39">
        <f t="shared" si="0"/>
        <v>30840</v>
      </c>
      <c r="I7" s="39">
        <f t="shared" si="0"/>
        <v>0</v>
      </c>
      <c r="J7" s="39">
        <f t="shared" si="0"/>
        <v>10000</v>
      </c>
      <c r="K7" s="39">
        <f t="shared" si="0"/>
        <v>0</v>
      </c>
      <c r="L7" s="39">
        <f t="shared" si="0"/>
        <v>10000</v>
      </c>
      <c r="M7" s="39">
        <f t="shared" si="0"/>
        <v>0</v>
      </c>
      <c r="N7" s="39">
        <f t="shared" si="0"/>
        <v>299.57</v>
      </c>
      <c r="O7" s="39">
        <f t="shared" si="0"/>
        <v>0</v>
      </c>
      <c r="P7" s="39">
        <f t="shared" si="0"/>
        <v>299.57</v>
      </c>
      <c r="Q7" s="39"/>
      <c r="R7" s="55"/>
      <c r="S7" s="56"/>
      <c r="T7" s="39" t="s">
        <v>64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35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7"/>
      <c r="S8" s="58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79</v>
      </c>
      <c r="D9" s="41">
        <v>30840</v>
      </c>
      <c r="E9" s="41"/>
      <c r="F9" s="42"/>
      <c r="G9" s="41"/>
      <c r="H9" s="41">
        <f>D9+E9+F9+G9</f>
        <v>30840</v>
      </c>
      <c r="I9" s="41"/>
      <c r="J9" s="41">
        <v>10000</v>
      </c>
      <c r="K9" s="41"/>
      <c r="L9" s="41">
        <f>J9+K9</f>
        <v>10000</v>
      </c>
      <c r="M9" s="41"/>
      <c r="N9" s="41">
        <v>299.57</v>
      </c>
      <c r="O9" s="41"/>
      <c r="P9" s="41">
        <f>N9+O9</f>
        <v>299.57</v>
      </c>
      <c r="Q9" s="41"/>
      <c r="R9" s="57">
        <v>2212</v>
      </c>
      <c r="S9" s="58">
        <v>901</v>
      </c>
      <c r="T9" s="44" t="s">
        <v>79</v>
      </c>
      <c r="U9" s="41"/>
      <c r="V9" s="41"/>
      <c r="W9" s="41"/>
      <c r="X9" s="41">
        <f>SUM(U9:W9)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74</v>
      </c>
      <c r="D10" s="39">
        <f>D13+D12</f>
        <v>65356.35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900</v>
      </c>
      <c r="H10" s="39">
        <f t="shared" si="1"/>
        <v>66256.35</v>
      </c>
      <c r="I10" s="39">
        <f t="shared" si="1"/>
        <v>0</v>
      </c>
      <c r="J10" s="39">
        <f t="shared" si="1"/>
        <v>400</v>
      </c>
      <c r="K10" s="39">
        <f t="shared" si="1"/>
        <v>0</v>
      </c>
      <c r="L10" s="39">
        <f t="shared" si="1"/>
        <v>400</v>
      </c>
      <c r="M10" s="39">
        <f t="shared" si="1"/>
        <v>0</v>
      </c>
      <c r="N10" s="39">
        <f t="shared" si="1"/>
        <v>244.8</v>
      </c>
      <c r="O10" s="39">
        <f t="shared" si="1"/>
        <v>0</v>
      </c>
      <c r="P10" s="39">
        <f t="shared" si="1"/>
        <v>244.8</v>
      </c>
      <c r="Q10" s="46"/>
      <c r="R10" s="57"/>
      <c r="S10" s="56"/>
      <c r="T10" s="47"/>
      <c r="U10" s="90">
        <f>U12+U13</f>
        <v>0</v>
      </c>
      <c r="V10" s="90">
        <f aca="true" t="shared" si="2" ref="V10:AC10">V12+V13</f>
        <v>0</v>
      </c>
      <c r="W10" s="90">
        <f t="shared" si="2"/>
        <v>0</v>
      </c>
      <c r="X10" s="90">
        <f t="shared" si="2"/>
        <v>0</v>
      </c>
      <c r="Y10" s="90">
        <f t="shared" si="2"/>
        <v>0</v>
      </c>
      <c r="Z10" s="90">
        <f t="shared" si="2"/>
        <v>0</v>
      </c>
      <c r="AA10" s="90">
        <f t="shared" si="2"/>
        <v>0</v>
      </c>
      <c r="AB10" s="90">
        <f t="shared" si="2"/>
        <v>0</v>
      </c>
      <c r="AC10" s="90">
        <f t="shared" si="2"/>
        <v>0</v>
      </c>
    </row>
    <row r="11" spans="1:29" ht="12.75" customHeight="1">
      <c r="A11" s="35"/>
      <c r="B11" s="4"/>
      <c r="C11" s="36" t="s">
        <v>35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7"/>
      <c r="S11" s="56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2" t="s">
        <v>177</v>
      </c>
      <c r="D12" s="41">
        <v>57856.35</v>
      </c>
      <c r="E12" s="41"/>
      <c r="F12" s="41"/>
      <c r="G12" s="41">
        <f>300+200</f>
        <v>500</v>
      </c>
      <c r="H12" s="41">
        <f>D12+E12+F12+G12</f>
        <v>58356.35</v>
      </c>
      <c r="I12" s="41"/>
      <c r="J12" s="41"/>
      <c r="K12" s="41"/>
      <c r="L12" s="41">
        <f>J12+K12</f>
        <v>0</v>
      </c>
      <c r="M12" s="41"/>
      <c r="N12" s="41">
        <v>244.8</v>
      </c>
      <c r="O12" s="41"/>
      <c r="P12" s="41">
        <f>N12+O12</f>
        <v>244.8</v>
      </c>
      <c r="Q12" s="46"/>
      <c r="R12" s="57"/>
      <c r="S12" s="56"/>
      <c r="T12" s="47" t="s">
        <v>243</v>
      </c>
      <c r="U12" s="46"/>
      <c r="V12" s="46"/>
      <c r="W12" s="46"/>
      <c r="X12" s="41">
        <f>SUM(U12:W12)</f>
        <v>0</v>
      </c>
      <c r="Y12" s="46"/>
      <c r="Z12" s="46"/>
      <c r="AA12" s="46"/>
      <c r="AB12" s="46"/>
      <c r="AC12" s="41">
        <f>SUM(Z12:AB12)</f>
        <v>0</v>
      </c>
    </row>
    <row r="13" spans="1:29" ht="12.75" customHeight="1">
      <c r="A13" s="35">
        <v>3639</v>
      </c>
      <c r="B13" s="4">
        <v>902</v>
      </c>
      <c r="C13" s="71" t="s">
        <v>176</v>
      </c>
      <c r="D13" s="50">
        <v>7500</v>
      </c>
      <c r="E13" s="45"/>
      <c r="F13" s="41"/>
      <c r="G13" s="45">
        <f>400</f>
        <v>400</v>
      </c>
      <c r="H13" s="41">
        <f>D13+E13+F13+G13</f>
        <v>7900</v>
      </c>
      <c r="I13" s="41"/>
      <c r="J13" s="41">
        <v>400</v>
      </c>
      <c r="K13" s="41"/>
      <c r="L13" s="41">
        <f>J13+K13</f>
        <v>400</v>
      </c>
      <c r="M13" s="41"/>
      <c r="N13" s="41"/>
      <c r="O13" s="41"/>
      <c r="P13" s="41">
        <f>N13+O13</f>
        <v>0</v>
      </c>
      <c r="Q13" s="46"/>
      <c r="R13" s="57"/>
      <c r="S13" s="56">
        <v>902</v>
      </c>
      <c r="T13" s="47" t="s">
        <v>243</v>
      </c>
      <c r="U13" s="46"/>
      <c r="V13" s="46"/>
      <c r="W13" s="46"/>
      <c r="X13" s="41">
        <f>SUM(U13:W13)</f>
        <v>0</v>
      </c>
      <c r="Y13" s="46"/>
      <c r="Z13" s="46"/>
      <c r="AA13" s="46"/>
      <c r="AB13" s="46"/>
      <c r="AC13" s="41">
        <f>SUM(Z13:AB13)</f>
        <v>0</v>
      </c>
    </row>
    <row r="14" spans="1:29" ht="12.75">
      <c r="A14" s="35"/>
      <c r="B14" s="2"/>
      <c r="C14" s="9" t="s">
        <v>17</v>
      </c>
      <c r="D14" s="48">
        <f>SUM(D16:D20)</f>
        <v>335075</v>
      </c>
      <c r="E14" s="48">
        <f aca="true" t="shared" si="3" ref="E14:P14">SUM(E16:E20)</f>
        <v>747</v>
      </c>
      <c r="F14" s="79">
        <f t="shared" si="3"/>
        <v>0</v>
      </c>
      <c r="G14" s="48">
        <f t="shared" si="3"/>
        <v>0</v>
      </c>
      <c r="H14" s="48">
        <f t="shared" si="3"/>
        <v>335822</v>
      </c>
      <c r="I14" s="48">
        <f t="shared" si="3"/>
        <v>0</v>
      </c>
      <c r="J14" s="48">
        <f t="shared" si="3"/>
        <v>0</v>
      </c>
      <c r="K14" s="77">
        <f t="shared" si="3"/>
        <v>0</v>
      </c>
      <c r="L14" s="48">
        <f t="shared" si="3"/>
        <v>0</v>
      </c>
      <c r="M14" s="48">
        <f t="shared" si="3"/>
        <v>12500</v>
      </c>
      <c r="N14" s="48">
        <f t="shared" si="3"/>
        <v>32673</v>
      </c>
      <c r="O14" s="79">
        <f t="shared" si="3"/>
        <v>1750</v>
      </c>
      <c r="P14" s="48">
        <f t="shared" si="3"/>
        <v>34423</v>
      </c>
      <c r="Q14" s="48"/>
      <c r="R14" s="57"/>
      <c r="S14" s="56"/>
      <c r="T14" s="48" t="s">
        <v>65</v>
      </c>
      <c r="U14" s="48">
        <f>SUM(U16:U20)</f>
        <v>0</v>
      </c>
      <c r="V14" s="48">
        <f>SUM(V16:V20)</f>
        <v>2150.5</v>
      </c>
      <c r="W14" s="48">
        <f>SUM(W16:W20)</f>
        <v>0</v>
      </c>
      <c r="X14" s="48">
        <f>SUM(X16:X20)</f>
        <v>2150.5</v>
      </c>
      <c r="Y14" s="48"/>
      <c r="Z14" s="48">
        <f>SUM(Z16:Z20)</f>
        <v>16750</v>
      </c>
      <c r="AA14" s="48">
        <f>SUM(AA16:AA20)</f>
        <v>34064.17</v>
      </c>
      <c r="AB14" s="48">
        <f>SUM(AB16:AB20)</f>
        <v>0</v>
      </c>
      <c r="AC14" s="48">
        <f>SUM(AC16:AC20)</f>
        <v>50814.17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7"/>
      <c r="S15" s="58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1" t="s">
        <v>149</v>
      </c>
      <c r="D16" s="41">
        <v>36221</v>
      </c>
      <c r="E16" s="41"/>
      <c r="F16" s="42"/>
      <c r="G16" s="41"/>
      <c r="H16" s="41">
        <f>D16+E16+F16+G16</f>
        <v>36221</v>
      </c>
      <c r="I16" s="41"/>
      <c r="J16" s="41"/>
      <c r="K16" s="76"/>
      <c r="L16" s="41">
        <f>J16+K16</f>
        <v>0</v>
      </c>
      <c r="M16" s="41"/>
      <c r="N16" s="41">
        <v>11297</v>
      </c>
      <c r="O16" s="41"/>
      <c r="P16" s="41">
        <f>N16+O16</f>
        <v>11297</v>
      </c>
      <c r="Q16" s="41"/>
      <c r="R16" s="57">
        <v>3526</v>
      </c>
      <c r="S16" s="4">
        <v>507</v>
      </c>
      <c r="T16" s="49" t="s">
        <v>22</v>
      </c>
      <c r="U16" s="41"/>
      <c r="V16" s="41"/>
      <c r="W16" s="41"/>
      <c r="X16" s="41">
        <f>SUM(U16:W16)</f>
        <v>0</v>
      </c>
      <c r="Y16" s="41"/>
      <c r="Z16" s="41">
        <v>6200</v>
      </c>
      <c r="AA16" s="45">
        <f>5600</f>
        <v>5600</v>
      </c>
      <c r="AB16" s="41"/>
      <c r="AC16" s="41">
        <f>SUM(Z16:AB16)</f>
        <v>11800</v>
      </c>
    </row>
    <row r="17" spans="1:29" ht="12.75">
      <c r="A17" s="35">
        <v>3524</v>
      </c>
      <c r="B17" s="4">
        <v>508</v>
      </c>
      <c r="C17" s="7" t="s">
        <v>23</v>
      </c>
      <c r="D17" s="41">
        <v>9416</v>
      </c>
      <c r="E17" s="41"/>
      <c r="F17" s="42"/>
      <c r="G17" s="41"/>
      <c r="H17" s="41">
        <f>D17+E17+F17+G17</f>
        <v>9416</v>
      </c>
      <c r="I17" s="41"/>
      <c r="J17" s="50"/>
      <c r="K17" s="50"/>
      <c r="L17" s="50">
        <f>J17+K17</f>
        <v>0</v>
      </c>
      <c r="M17" s="41"/>
      <c r="N17" s="41">
        <v>395</v>
      </c>
      <c r="O17" s="42"/>
      <c r="P17" s="41">
        <f>N17+O17</f>
        <v>395</v>
      </c>
      <c r="Q17" s="41"/>
      <c r="R17" s="57">
        <v>3524</v>
      </c>
      <c r="S17" s="4">
        <v>508</v>
      </c>
      <c r="T17" s="49" t="s">
        <v>23</v>
      </c>
      <c r="U17" s="41"/>
      <c r="V17" s="41"/>
      <c r="W17" s="41"/>
      <c r="X17" s="41">
        <f>SUM(U17:W17)</f>
        <v>0</v>
      </c>
      <c r="Y17" s="41"/>
      <c r="Z17" s="41"/>
      <c r="AA17" s="41"/>
      <c r="AB17" s="41"/>
      <c r="AC17" s="41">
        <f>SUM(Z17:AB17)</f>
        <v>0</v>
      </c>
    </row>
    <row r="18" spans="1:29" ht="12.75" customHeight="1">
      <c r="A18" s="35">
        <v>3524</v>
      </c>
      <c r="B18" s="4">
        <v>509</v>
      </c>
      <c r="C18" s="7" t="s">
        <v>21</v>
      </c>
      <c r="D18" s="41">
        <v>3500</v>
      </c>
      <c r="E18" s="41"/>
      <c r="F18" s="42"/>
      <c r="G18" s="41"/>
      <c r="H18" s="41">
        <f>D18+E18+F18+G18</f>
        <v>3500</v>
      </c>
      <c r="I18" s="41"/>
      <c r="J18" s="41"/>
      <c r="K18" s="50"/>
      <c r="L18" s="41">
        <f>J18+K18</f>
        <v>0</v>
      </c>
      <c r="M18" s="41"/>
      <c r="N18" s="41">
        <v>162</v>
      </c>
      <c r="O18" s="41">
        <f>1750</f>
        <v>1750</v>
      </c>
      <c r="P18" s="41">
        <f>N18+O18</f>
        <v>1912</v>
      </c>
      <c r="Q18" s="41"/>
      <c r="R18" s="57">
        <v>3524</v>
      </c>
      <c r="S18" s="4">
        <v>509</v>
      </c>
      <c r="T18" s="49" t="s">
        <v>21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82</v>
      </c>
      <c r="D19" s="41">
        <v>274038</v>
      </c>
      <c r="E19" s="41">
        <f>747</f>
        <v>747</v>
      </c>
      <c r="F19" s="42"/>
      <c r="G19" s="41"/>
      <c r="H19" s="41">
        <f>D19+E19+F19+G19</f>
        <v>274785</v>
      </c>
      <c r="I19" s="41"/>
      <c r="J19" s="41"/>
      <c r="K19" s="41"/>
      <c r="L19" s="41">
        <f>J19+K19</f>
        <v>0</v>
      </c>
      <c r="M19" s="41">
        <v>12500</v>
      </c>
      <c r="N19" s="41">
        <v>20819</v>
      </c>
      <c r="O19" s="41"/>
      <c r="P19" s="41">
        <f>N19+O19</f>
        <v>20819</v>
      </c>
      <c r="Q19" s="41"/>
      <c r="R19" s="57">
        <v>3533</v>
      </c>
      <c r="S19" s="4">
        <v>511</v>
      </c>
      <c r="T19" s="49" t="s">
        <v>33</v>
      </c>
      <c r="U19" s="41"/>
      <c r="V19" s="41">
        <f>2150.5</f>
        <v>2150.5</v>
      </c>
      <c r="W19" s="41"/>
      <c r="X19" s="41">
        <f>SUM(U19:W19)</f>
        <v>2150.5</v>
      </c>
      <c r="Y19" s="41"/>
      <c r="Z19" s="41">
        <v>10550</v>
      </c>
      <c r="AA19" s="41">
        <f>28464.17</f>
        <v>28464.17</v>
      </c>
      <c r="AB19" s="41"/>
      <c r="AC19" s="41">
        <f>SUM(Z19:AB19)</f>
        <v>39014.17</v>
      </c>
    </row>
    <row r="20" spans="1:29" ht="12.75">
      <c r="A20" s="35">
        <v>3539</v>
      </c>
      <c r="B20" s="4">
        <v>514</v>
      </c>
      <c r="C20" s="8" t="s">
        <v>2</v>
      </c>
      <c r="D20" s="41">
        <v>11900</v>
      </c>
      <c r="E20" s="41"/>
      <c r="F20" s="41"/>
      <c r="G20" s="41"/>
      <c r="H20" s="41">
        <f>D20+E20+F20+G20</f>
        <v>11900</v>
      </c>
      <c r="I20" s="41"/>
      <c r="J20" s="41"/>
      <c r="K20" s="41"/>
      <c r="L20" s="41">
        <f>J20+K20</f>
        <v>0</v>
      </c>
      <c r="M20" s="41"/>
      <c r="N20" s="41"/>
      <c r="O20" s="41"/>
      <c r="P20" s="41">
        <f>N20+O20</f>
        <v>0</v>
      </c>
      <c r="Q20" s="41"/>
      <c r="R20" s="57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18</v>
      </c>
      <c r="D21" s="39">
        <f>SUM(D23:D33)</f>
        <v>240438.88</v>
      </c>
      <c r="E21" s="39">
        <f aca="true" t="shared" si="4" ref="E21:P21">SUM(E23:E33)</f>
        <v>12687.4</v>
      </c>
      <c r="F21" s="39">
        <f t="shared" si="4"/>
        <v>1144</v>
      </c>
      <c r="G21" s="39">
        <f t="shared" si="4"/>
        <v>469.44000000000005</v>
      </c>
      <c r="H21" s="39">
        <f t="shared" si="4"/>
        <v>254739.72</v>
      </c>
      <c r="I21" s="39">
        <f t="shared" si="4"/>
        <v>0</v>
      </c>
      <c r="J21" s="39">
        <f t="shared" si="4"/>
        <v>2850</v>
      </c>
      <c r="K21" s="39">
        <f t="shared" si="4"/>
        <v>308.8</v>
      </c>
      <c r="L21" s="39">
        <f t="shared" si="4"/>
        <v>3158.8</v>
      </c>
      <c r="M21" s="39">
        <f t="shared" si="4"/>
        <v>0</v>
      </c>
      <c r="N21" s="39">
        <f t="shared" si="4"/>
        <v>12628.800000000001</v>
      </c>
      <c r="O21" s="39">
        <f t="shared" si="4"/>
        <v>0</v>
      </c>
      <c r="P21" s="39">
        <f t="shared" si="4"/>
        <v>12628.800000000001</v>
      </c>
      <c r="Q21" s="39"/>
      <c r="R21" s="55"/>
      <c r="S21" s="56"/>
      <c r="T21" s="39" t="s">
        <v>66</v>
      </c>
      <c r="U21" s="39">
        <f>SUM(U23:U32)</f>
        <v>0</v>
      </c>
      <c r="V21" s="39">
        <f>SUM(V23:V32)</f>
        <v>15750</v>
      </c>
      <c r="W21" s="39">
        <f>SUM(W23:W32)</f>
        <v>0</v>
      </c>
      <c r="X21" s="39">
        <f>SUM(X23:X32)</f>
        <v>15750</v>
      </c>
      <c r="Y21" s="39"/>
      <c r="Z21" s="39">
        <f>SUM(Z23:Z32)</f>
        <v>5000</v>
      </c>
      <c r="AA21" s="67">
        <f>SUM(AA23:AA32)</f>
        <v>2076.7200000000003</v>
      </c>
      <c r="AB21" s="39">
        <f>SUM(AB23:AB32)</f>
        <v>0</v>
      </c>
      <c r="AC21" s="39">
        <f>SUM(AC23:AC32)</f>
        <v>7076.72</v>
      </c>
    </row>
    <row r="22" spans="1:29" ht="12.75">
      <c r="A22" s="34"/>
      <c r="B22" s="2"/>
      <c r="C22" s="6" t="s">
        <v>35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5"/>
      <c r="S22" s="56"/>
      <c r="T22" s="43" t="s">
        <v>35</v>
      </c>
      <c r="U22" s="39"/>
      <c r="V22" s="39"/>
      <c r="W22" s="39"/>
      <c r="X22" s="39"/>
      <c r="Y22" s="39"/>
      <c r="Z22" s="39"/>
      <c r="AA22" s="67"/>
      <c r="AB22" s="39"/>
      <c r="AC22" s="39"/>
    </row>
    <row r="23" spans="1:29" ht="12.75">
      <c r="A23" s="35">
        <v>3315</v>
      </c>
      <c r="B23" s="4">
        <v>601</v>
      </c>
      <c r="C23" s="8" t="s">
        <v>172</v>
      </c>
      <c r="D23" s="41">
        <v>18452.56</v>
      </c>
      <c r="E23" s="41">
        <f>1050+850</f>
        <v>1900</v>
      </c>
      <c r="F23" s="41">
        <f>209.3</f>
        <v>209.3</v>
      </c>
      <c r="G23" s="41">
        <f>68.9</f>
        <v>68.9</v>
      </c>
      <c r="H23" s="41">
        <f>D23+E23+F23+G23</f>
        <v>20630.760000000002</v>
      </c>
      <c r="I23" s="41"/>
      <c r="J23" s="41">
        <v>1500</v>
      </c>
      <c r="K23" s="41"/>
      <c r="L23" s="41">
        <f aca="true" t="shared" si="5" ref="L23:L32">J23+K23</f>
        <v>1500</v>
      </c>
      <c r="M23" s="41"/>
      <c r="N23" s="41">
        <v>858.6</v>
      </c>
      <c r="O23" s="41"/>
      <c r="P23" s="41">
        <f>N23+O23</f>
        <v>858.6</v>
      </c>
      <c r="Q23" s="41"/>
      <c r="R23" s="57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6" ref="X23:X32">SUM(U23:W23)</f>
        <v>0</v>
      </c>
      <c r="Y23" s="41"/>
      <c r="Z23" s="41"/>
      <c r="AA23" s="45"/>
      <c r="AB23" s="41"/>
      <c r="AC23" s="41">
        <f aca="true" t="shared" si="7" ref="AC23:AC32">SUM(Z23:AB23)</f>
        <v>0</v>
      </c>
    </row>
    <row r="24" spans="1:29" ht="12.75">
      <c r="A24" s="35">
        <v>3315</v>
      </c>
      <c r="B24" s="4">
        <v>602</v>
      </c>
      <c r="C24" s="8" t="s">
        <v>59</v>
      </c>
      <c r="D24" s="41">
        <v>8509.06</v>
      </c>
      <c r="E24" s="41">
        <f>136.7+580</f>
        <v>716.7</v>
      </c>
      <c r="F24" s="41"/>
      <c r="G24" s="41"/>
      <c r="H24" s="41">
        <f aca="true" t="shared" si="8" ref="H24:H33">D24+E24+F24+G24</f>
        <v>9225.76</v>
      </c>
      <c r="I24" s="41"/>
      <c r="J24" s="41">
        <v>500</v>
      </c>
      <c r="K24" s="41"/>
      <c r="L24" s="41">
        <f t="shared" si="5"/>
        <v>500</v>
      </c>
      <c r="M24" s="41"/>
      <c r="N24" s="41">
        <v>125.4</v>
      </c>
      <c r="O24" s="41"/>
      <c r="P24" s="41">
        <f aca="true" t="shared" si="9" ref="P24:P33">N24+O24</f>
        <v>125.4</v>
      </c>
      <c r="Q24" s="41"/>
      <c r="R24" s="57">
        <v>3315</v>
      </c>
      <c r="S24" s="4">
        <v>602</v>
      </c>
      <c r="T24" s="44" t="s">
        <v>5</v>
      </c>
      <c r="U24" s="41"/>
      <c r="V24" s="41"/>
      <c r="W24" s="41"/>
      <c r="X24" s="41">
        <f t="shared" si="6"/>
        <v>0</v>
      </c>
      <c r="Y24" s="41"/>
      <c r="Z24" s="41">
        <v>650</v>
      </c>
      <c r="AA24" s="45"/>
      <c r="AB24" s="41"/>
      <c r="AC24" s="41">
        <f t="shared" si="7"/>
        <v>650</v>
      </c>
    </row>
    <row r="25" spans="1:29" ht="12.75">
      <c r="A25" s="35">
        <v>3315</v>
      </c>
      <c r="B25" s="4">
        <v>603</v>
      </c>
      <c r="C25" s="37" t="s">
        <v>173</v>
      </c>
      <c r="D25" s="41">
        <v>55765.58</v>
      </c>
      <c r="E25" s="41"/>
      <c r="F25" s="41">
        <f>150</f>
        <v>150</v>
      </c>
      <c r="G25" s="41">
        <f>400.54</f>
        <v>400.54</v>
      </c>
      <c r="H25" s="41">
        <f t="shared" si="8"/>
        <v>56316.12</v>
      </c>
      <c r="I25" s="41"/>
      <c r="J25" s="41">
        <v>300</v>
      </c>
      <c r="K25" s="41">
        <f>96.8</f>
        <v>96.8</v>
      </c>
      <c r="L25" s="41">
        <f t="shared" si="5"/>
        <v>396.8</v>
      </c>
      <c r="M25" s="41"/>
      <c r="N25" s="41">
        <v>2906.6</v>
      </c>
      <c r="O25" s="41"/>
      <c r="P25" s="41">
        <f t="shared" si="9"/>
        <v>2906.6</v>
      </c>
      <c r="Q25" s="41"/>
      <c r="R25" s="57">
        <v>3315</v>
      </c>
      <c r="S25" s="4">
        <v>603</v>
      </c>
      <c r="T25" s="44" t="s">
        <v>3</v>
      </c>
      <c r="U25" s="41"/>
      <c r="V25" s="41"/>
      <c r="W25" s="41"/>
      <c r="X25" s="41">
        <f t="shared" si="6"/>
        <v>0</v>
      </c>
      <c r="Y25" s="41"/>
      <c r="Z25" s="41">
        <v>1000</v>
      </c>
      <c r="AA25" s="45">
        <f>1650.92</f>
        <v>1650.92</v>
      </c>
      <c r="AB25" s="41"/>
      <c r="AC25" s="41">
        <f t="shared" si="7"/>
        <v>2650.92</v>
      </c>
    </row>
    <row r="26" spans="1:29" ht="12.75">
      <c r="A26" s="35">
        <v>3314</v>
      </c>
      <c r="B26" s="4">
        <v>604</v>
      </c>
      <c r="C26" s="8" t="s">
        <v>174</v>
      </c>
      <c r="D26" s="41">
        <v>70189.16</v>
      </c>
      <c r="E26" s="41">
        <f>3100+100+80.9</f>
        <v>3280.9</v>
      </c>
      <c r="F26" s="41">
        <f>72.5</f>
        <v>72.5</v>
      </c>
      <c r="G26" s="41"/>
      <c r="H26" s="41">
        <f t="shared" si="8"/>
        <v>73542.56</v>
      </c>
      <c r="I26" s="41"/>
      <c r="J26" s="41"/>
      <c r="K26" s="41"/>
      <c r="L26" s="41">
        <f t="shared" si="5"/>
        <v>0</v>
      </c>
      <c r="M26" s="41"/>
      <c r="N26" s="41">
        <v>4406.6</v>
      </c>
      <c r="O26" s="41"/>
      <c r="P26" s="41">
        <f t="shared" si="9"/>
        <v>4406.6</v>
      </c>
      <c r="Q26" s="41"/>
      <c r="R26" s="57">
        <v>3314</v>
      </c>
      <c r="S26" s="4">
        <v>604</v>
      </c>
      <c r="T26" s="44" t="s">
        <v>36</v>
      </c>
      <c r="U26" s="41"/>
      <c r="V26" s="41"/>
      <c r="W26" s="41"/>
      <c r="X26" s="41">
        <f t="shared" si="6"/>
        <v>0</v>
      </c>
      <c r="Y26" s="41"/>
      <c r="Z26" s="41">
        <v>1400</v>
      </c>
      <c r="AA26" s="45"/>
      <c r="AB26" s="41"/>
      <c r="AC26" s="41">
        <f t="shared" si="7"/>
        <v>1400</v>
      </c>
    </row>
    <row r="27" spans="1:29" ht="12.75">
      <c r="A27" s="35">
        <v>3319</v>
      </c>
      <c r="B27" s="4">
        <v>605</v>
      </c>
      <c r="C27" s="8" t="s">
        <v>156</v>
      </c>
      <c r="D27" s="41">
        <v>6806.56</v>
      </c>
      <c r="E27" s="41">
        <f>100</f>
        <v>100</v>
      </c>
      <c r="F27" s="41">
        <f>253.2</f>
        <v>253.2</v>
      </c>
      <c r="G27" s="41"/>
      <c r="H27" s="41">
        <f t="shared" si="8"/>
        <v>7159.76</v>
      </c>
      <c r="I27" s="41"/>
      <c r="J27" s="41"/>
      <c r="K27" s="41">
        <f>100</f>
        <v>100</v>
      </c>
      <c r="L27" s="41">
        <f t="shared" si="5"/>
        <v>100</v>
      </c>
      <c r="M27" s="41"/>
      <c r="N27" s="41">
        <v>97.8</v>
      </c>
      <c r="O27" s="41"/>
      <c r="P27" s="41">
        <f t="shared" si="9"/>
        <v>97.8</v>
      </c>
      <c r="Q27" s="41"/>
      <c r="R27" s="57">
        <v>3319</v>
      </c>
      <c r="S27" s="4">
        <v>605</v>
      </c>
      <c r="T27" s="8" t="s">
        <v>156</v>
      </c>
      <c r="U27" s="41"/>
      <c r="V27" s="41"/>
      <c r="W27" s="41"/>
      <c r="X27" s="41">
        <f t="shared" si="6"/>
        <v>0</v>
      </c>
      <c r="Y27" s="41"/>
      <c r="Z27" s="41">
        <v>150</v>
      </c>
      <c r="AA27" s="45"/>
      <c r="AB27" s="41"/>
      <c r="AC27" s="41">
        <f t="shared" si="7"/>
        <v>150</v>
      </c>
    </row>
    <row r="28" spans="1:29" ht="12.75">
      <c r="A28" s="35">
        <v>3319</v>
      </c>
      <c r="B28" s="4">
        <v>606</v>
      </c>
      <c r="C28" s="8" t="s">
        <v>14</v>
      </c>
      <c r="D28" s="41">
        <v>15620.56</v>
      </c>
      <c r="E28" s="41">
        <f>1508</f>
        <v>1508</v>
      </c>
      <c r="F28" s="41"/>
      <c r="G28" s="41"/>
      <c r="H28" s="41">
        <f t="shared" si="8"/>
        <v>17128.559999999998</v>
      </c>
      <c r="I28" s="41"/>
      <c r="J28" s="41"/>
      <c r="K28" s="41"/>
      <c r="L28" s="41">
        <f t="shared" si="5"/>
        <v>0</v>
      </c>
      <c r="M28" s="41"/>
      <c r="N28" s="41">
        <v>982.1</v>
      </c>
      <c r="O28" s="41"/>
      <c r="P28" s="41">
        <f t="shared" si="9"/>
        <v>982.1</v>
      </c>
      <c r="Q28" s="41"/>
      <c r="R28" s="57">
        <v>3319</v>
      </c>
      <c r="S28" s="4">
        <v>606</v>
      </c>
      <c r="T28" s="44" t="s">
        <v>14</v>
      </c>
      <c r="U28" s="41"/>
      <c r="V28" s="41">
        <f>15000</f>
        <v>15000</v>
      </c>
      <c r="W28" s="41"/>
      <c r="X28" s="41">
        <f t="shared" si="6"/>
        <v>15000</v>
      </c>
      <c r="Y28" s="41"/>
      <c r="Z28" s="41">
        <v>600</v>
      </c>
      <c r="AA28" s="45"/>
      <c r="AB28" s="41"/>
      <c r="AC28" s="41">
        <f t="shared" si="7"/>
        <v>600</v>
      </c>
    </row>
    <row r="29" spans="1:29" ht="12.75">
      <c r="A29" s="35">
        <v>3319</v>
      </c>
      <c r="B29" s="4">
        <v>607</v>
      </c>
      <c r="C29" s="8" t="s">
        <v>73</v>
      </c>
      <c r="D29" s="41">
        <v>7048.86</v>
      </c>
      <c r="E29" s="41">
        <f>173.5</f>
        <v>173.5</v>
      </c>
      <c r="F29" s="41"/>
      <c r="G29" s="41"/>
      <c r="H29" s="41">
        <f t="shared" si="8"/>
        <v>7222.36</v>
      </c>
      <c r="I29" s="41"/>
      <c r="J29" s="41"/>
      <c r="K29" s="41"/>
      <c r="L29" s="41">
        <f t="shared" si="5"/>
        <v>0</v>
      </c>
      <c r="M29" s="41"/>
      <c r="N29" s="41">
        <v>144.5</v>
      </c>
      <c r="O29" s="41"/>
      <c r="P29" s="41">
        <f t="shared" si="9"/>
        <v>144.5</v>
      </c>
      <c r="Q29" s="41"/>
      <c r="R29" s="57">
        <v>3319</v>
      </c>
      <c r="S29" s="4">
        <v>607</v>
      </c>
      <c r="T29" s="44" t="s">
        <v>15</v>
      </c>
      <c r="U29" s="41"/>
      <c r="V29" s="41"/>
      <c r="W29" s="41"/>
      <c r="X29" s="41">
        <f t="shared" si="6"/>
        <v>0</v>
      </c>
      <c r="Y29" s="41"/>
      <c r="Z29" s="41">
        <v>250</v>
      </c>
      <c r="AA29" s="41">
        <f>175.8</f>
        <v>175.8</v>
      </c>
      <c r="AB29" s="41"/>
      <c r="AC29" s="41">
        <f t="shared" si="7"/>
        <v>425.8</v>
      </c>
    </row>
    <row r="30" spans="1:29" ht="12.75">
      <c r="A30" s="35">
        <v>3315</v>
      </c>
      <c r="B30" s="4">
        <v>608</v>
      </c>
      <c r="C30" s="8" t="s">
        <v>37</v>
      </c>
      <c r="D30" s="41">
        <v>13702.26</v>
      </c>
      <c r="E30" s="41">
        <f>700</f>
        <v>700</v>
      </c>
      <c r="F30" s="41"/>
      <c r="G30" s="41"/>
      <c r="H30" s="41">
        <f t="shared" si="8"/>
        <v>14402.26</v>
      </c>
      <c r="I30" s="41"/>
      <c r="J30" s="41">
        <v>100</v>
      </c>
      <c r="K30" s="41">
        <f>112</f>
        <v>112</v>
      </c>
      <c r="L30" s="41">
        <f t="shared" si="5"/>
        <v>212</v>
      </c>
      <c r="M30" s="41"/>
      <c r="N30" s="41">
        <v>602.2</v>
      </c>
      <c r="O30" s="41"/>
      <c r="P30" s="41">
        <f t="shared" si="9"/>
        <v>602.2</v>
      </c>
      <c r="Q30" s="41"/>
      <c r="R30" s="57">
        <v>3315</v>
      </c>
      <c r="S30" s="4">
        <v>608</v>
      </c>
      <c r="T30" s="44" t="s">
        <v>37</v>
      </c>
      <c r="U30" s="41"/>
      <c r="V30" s="41"/>
      <c r="W30" s="41"/>
      <c r="X30" s="41">
        <f t="shared" si="6"/>
        <v>0</v>
      </c>
      <c r="Y30" s="41"/>
      <c r="Z30" s="41"/>
      <c r="AA30" s="41"/>
      <c r="AB30" s="41"/>
      <c r="AC30" s="41">
        <f t="shared" si="7"/>
        <v>0</v>
      </c>
    </row>
    <row r="31" spans="1:29" ht="12.75">
      <c r="A31" s="35">
        <v>3315</v>
      </c>
      <c r="B31" s="4">
        <v>609</v>
      </c>
      <c r="C31" s="8" t="s">
        <v>119</v>
      </c>
      <c r="D31" s="41">
        <v>13517.06</v>
      </c>
      <c r="E31" s="41">
        <f>4236.9</f>
        <v>4236.9</v>
      </c>
      <c r="F31" s="41">
        <f>150+165</f>
        <v>315</v>
      </c>
      <c r="G31" s="41"/>
      <c r="H31" s="41">
        <f t="shared" si="8"/>
        <v>18068.96</v>
      </c>
      <c r="I31" s="41"/>
      <c r="J31" s="41">
        <v>100</v>
      </c>
      <c r="K31" s="41"/>
      <c r="L31" s="41">
        <f t="shared" si="5"/>
        <v>100</v>
      </c>
      <c r="M31" s="41"/>
      <c r="N31" s="41">
        <v>2095.5</v>
      </c>
      <c r="O31" s="41"/>
      <c r="P31" s="41">
        <f t="shared" si="9"/>
        <v>2095.5</v>
      </c>
      <c r="Q31" s="41"/>
      <c r="R31" s="57">
        <v>3315</v>
      </c>
      <c r="S31" s="4">
        <v>609</v>
      </c>
      <c r="T31" s="44" t="s">
        <v>119</v>
      </c>
      <c r="U31" s="41"/>
      <c r="V31" s="41"/>
      <c r="W31" s="41"/>
      <c r="X31" s="41">
        <f t="shared" si="6"/>
        <v>0</v>
      </c>
      <c r="Y31" s="41"/>
      <c r="Z31" s="41">
        <v>650</v>
      </c>
      <c r="AA31" s="41"/>
      <c r="AB31" s="41"/>
      <c r="AC31" s="41">
        <f t="shared" si="7"/>
        <v>650</v>
      </c>
    </row>
    <row r="32" spans="1:29" ht="12.75">
      <c r="A32" s="35">
        <v>3315</v>
      </c>
      <c r="B32" s="4">
        <v>610</v>
      </c>
      <c r="C32" s="37" t="s">
        <v>80</v>
      </c>
      <c r="D32" s="41">
        <v>16969.16</v>
      </c>
      <c r="E32" s="41">
        <f>71.4</f>
        <v>71.4</v>
      </c>
      <c r="F32" s="41">
        <f>144</f>
        <v>144</v>
      </c>
      <c r="G32" s="41"/>
      <c r="H32" s="41">
        <f t="shared" si="8"/>
        <v>17184.56</v>
      </c>
      <c r="I32" s="41"/>
      <c r="J32" s="41">
        <v>350</v>
      </c>
      <c r="K32" s="41"/>
      <c r="L32" s="41">
        <f t="shared" si="5"/>
        <v>350</v>
      </c>
      <c r="M32" s="41"/>
      <c r="N32" s="41">
        <v>355.1</v>
      </c>
      <c r="O32" s="41"/>
      <c r="P32" s="41">
        <f t="shared" si="9"/>
        <v>355.1</v>
      </c>
      <c r="Q32" s="41"/>
      <c r="R32" s="57">
        <v>3315</v>
      </c>
      <c r="S32" s="4">
        <v>610</v>
      </c>
      <c r="T32" s="44" t="s">
        <v>27</v>
      </c>
      <c r="U32" s="41"/>
      <c r="V32" s="41">
        <f>750</f>
        <v>750</v>
      </c>
      <c r="W32" s="41"/>
      <c r="X32" s="41">
        <f t="shared" si="6"/>
        <v>750</v>
      </c>
      <c r="Y32" s="41"/>
      <c r="Z32" s="41">
        <v>300</v>
      </c>
      <c r="AA32" s="41">
        <f>250</f>
        <v>250</v>
      </c>
      <c r="AB32" s="41"/>
      <c r="AC32" s="41">
        <f t="shared" si="7"/>
        <v>550</v>
      </c>
    </row>
    <row r="33" spans="1:29" ht="12.75">
      <c r="A33" s="35">
        <v>2143</v>
      </c>
      <c r="B33" s="4">
        <v>611</v>
      </c>
      <c r="C33" s="37" t="s">
        <v>148</v>
      </c>
      <c r="D33" s="41">
        <v>13858.06</v>
      </c>
      <c r="E33" s="41"/>
      <c r="F33" s="41"/>
      <c r="G33" s="41"/>
      <c r="H33" s="41">
        <f t="shared" si="8"/>
        <v>13858.06</v>
      </c>
      <c r="I33" s="41"/>
      <c r="J33" s="41"/>
      <c r="K33" s="41"/>
      <c r="L33" s="41"/>
      <c r="M33" s="41"/>
      <c r="N33" s="41">
        <v>54.4</v>
      </c>
      <c r="O33" s="41"/>
      <c r="P33" s="41">
        <f t="shared" si="9"/>
        <v>54.4</v>
      </c>
      <c r="Q33" s="41"/>
      <c r="R33" s="57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19</v>
      </c>
      <c r="D34" s="51">
        <f aca="true" t="shared" si="10" ref="D34:P34">SUM(D36:D58)</f>
        <v>315370</v>
      </c>
      <c r="E34" s="88">
        <f t="shared" si="10"/>
        <v>12500</v>
      </c>
      <c r="F34" s="88">
        <f t="shared" si="10"/>
        <v>0</v>
      </c>
      <c r="G34" s="88">
        <f t="shared" si="10"/>
        <v>0</v>
      </c>
      <c r="H34" s="88">
        <f t="shared" si="10"/>
        <v>327870</v>
      </c>
      <c r="I34" s="51">
        <f t="shared" si="10"/>
        <v>0</v>
      </c>
      <c r="J34" s="51">
        <f t="shared" si="10"/>
        <v>0</v>
      </c>
      <c r="K34" s="51">
        <f t="shared" si="10"/>
        <v>0</v>
      </c>
      <c r="L34" s="51">
        <f t="shared" si="10"/>
        <v>0</v>
      </c>
      <c r="M34" s="51">
        <f t="shared" si="10"/>
        <v>0</v>
      </c>
      <c r="N34" s="51">
        <f t="shared" si="10"/>
        <v>29938.999999999993</v>
      </c>
      <c r="O34" s="51">
        <f t="shared" si="10"/>
        <v>0</v>
      </c>
      <c r="P34" s="51">
        <f t="shared" si="10"/>
        <v>29938.999999999993</v>
      </c>
      <c r="Q34" s="51"/>
      <c r="R34" s="57"/>
      <c r="S34" s="58"/>
      <c r="T34" s="51" t="s">
        <v>67</v>
      </c>
      <c r="U34" s="51">
        <f>SUM(U36:U58)</f>
        <v>3700</v>
      </c>
      <c r="V34" s="51">
        <f>SUM(V36:V58)</f>
        <v>1000</v>
      </c>
      <c r="W34" s="51">
        <f>SUM(W36:W58)</f>
        <v>0</v>
      </c>
      <c r="X34" s="51">
        <f>SUM(X36:X58)</f>
        <v>4700</v>
      </c>
      <c r="Y34" s="51"/>
      <c r="Z34" s="51">
        <f>SUM(Z36:Z58)</f>
        <v>18300</v>
      </c>
      <c r="AA34" s="51">
        <f>SUM(AA36:AA58)</f>
        <v>27770</v>
      </c>
      <c r="AB34" s="51">
        <f>SUM(AB36:AB58)</f>
        <v>0</v>
      </c>
      <c r="AC34" s="51">
        <f>SUM(AC36:AC58)</f>
        <v>46070</v>
      </c>
    </row>
    <row r="35" spans="1:29" ht="12.75">
      <c r="A35" s="35"/>
      <c r="B35" s="4"/>
      <c r="C35" s="6" t="s">
        <v>35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7"/>
      <c r="S35" s="58"/>
      <c r="T35" s="43" t="s">
        <v>1</v>
      </c>
      <c r="U35" s="41"/>
      <c r="V35" s="41"/>
      <c r="W35" s="41"/>
      <c r="X35" s="41"/>
      <c r="Y35" s="41"/>
      <c r="Z35" s="50" t="s">
        <v>62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140</v>
      </c>
      <c r="D36" s="41">
        <v>21633</v>
      </c>
      <c r="E36" s="41"/>
      <c r="F36" s="41"/>
      <c r="G36" s="41"/>
      <c r="H36" s="41">
        <f aca="true" t="shared" si="11" ref="H36:H58">D36+E36+F36+G36</f>
        <v>21633</v>
      </c>
      <c r="I36" s="41"/>
      <c r="J36" s="41"/>
      <c r="K36" s="41"/>
      <c r="L36" s="41">
        <f aca="true" t="shared" si="12" ref="L36:L58">J36+K36</f>
        <v>0</v>
      </c>
      <c r="M36" s="41"/>
      <c r="N36" s="81">
        <v>2527.31</v>
      </c>
      <c r="O36" s="41"/>
      <c r="P36" s="41">
        <f aca="true" t="shared" si="13" ref="P36:P58">N36+O36</f>
        <v>2527.31</v>
      </c>
      <c r="Q36" s="41"/>
      <c r="R36" s="35">
        <v>4357</v>
      </c>
      <c r="S36" s="4">
        <v>801</v>
      </c>
      <c r="T36" s="7" t="s">
        <v>24</v>
      </c>
      <c r="U36" s="41"/>
      <c r="V36" s="41"/>
      <c r="W36" s="41"/>
      <c r="X36" s="41">
        <f aca="true" t="shared" si="14" ref="X36:X58">SUM(U36:W36)</f>
        <v>0</v>
      </c>
      <c r="Y36" s="41"/>
      <c r="Z36" s="41">
        <v>1500</v>
      </c>
      <c r="AA36" s="41">
        <f>2000</f>
        <v>2000</v>
      </c>
      <c r="AB36" s="41"/>
      <c r="AC36" s="41">
        <f aca="true" t="shared" si="15" ref="AC36:AC58">SUM(Z36:AB36)</f>
        <v>3500</v>
      </c>
    </row>
    <row r="37" spans="1:29" ht="12.75">
      <c r="A37" s="35">
        <v>4357</v>
      </c>
      <c r="B37" s="4">
        <v>803</v>
      </c>
      <c r="C37" s="7" t="s">
        <v>132</v>
      </c>
      <c r="D37" s="41">
        <v>13201</v>
      </c>
      <c r="E37" s="41">
        <f>800</f>
        <v>800</v>
      </c>
      <c r="F37" s="41"/>
      <c r="G37" s="41"/>
      <c r="H37" s="41">
        <f t="shared" si="11"/>
        <v>14001</v>
      </c>
      <c r="I37" s="41"/>
      <c r="J37" s="41"/>
      <c r="K37" s="41"/>
      <c r="L37" s="41">
        <f t="shared" si="12"/>
        <v>0</v>
      </c>
      <c r="M37" s="41"/>
      <c r="N37" s="81">
        <v>1032.67</v>
      </c>
      <c r="O37" s="41"/>
      <c r="P37" s="41">
        <f t="shared" si="13"/>
        <v>1032.67</v>
      </c>
      <c r="Q37" s="41"/>
      <c r="R37" s="35">
        <v>4357</v>
      </c>
      <c r="S37" s="4">
        <v>803</v>
      </c>
      <c r="T37" s="7" t="s">
        <v>28</v>
      </c>
      <c r="U37" s="41"/>
      <c r="V37" s="41"/>
      <c r="W37" s="41"/>
      <c r="X37" s="41">
        <f t="shared" si="14"/>
        <v>0</v>
      </c>
      <c r="Y37" s="41"/>
      <c r="Z37" s="41">
        <v>500</v>
      </c>
      <c r="AA37" s="41"/>
      <c r="AB37" s="41"/>
      <c r="AC37" s="41">
        <f t="shared" si="15"/>
        <v>500</v>
      </c>
    </row>
    <row r="38" spans="1:29" ht="12.75">
      <c r="A38" s="35">
        <v>4350</v>
      </c>
      <c r="B38" s="4">
        <v>804</v>
      </c>
      <c r="C38" s="7" t="s">
        <v>141</v>
      </c>
      <c r="D38" s="41">
        <v>8361</v>
      </c>
      <c r="E38" s="41">
        <f>500</f>
        <v>500</v>
      </c>
      <c r="F38" s="41"/>
      <c r="G38" s="41"/>
      <c r="H38" s="41">
        <f t="shared" si="11"/>
        <v>8861</v>
      </c>
      <c r="I38" s="41"/>
      <c r="J38" s="41"/>
      <c r="K38" s="41"/>
      <c r="L38" s="41">
        <f t="shared" si="12"/>
        <v>0</v>
      </c>
      <c r="M38" s="41"/>
      <c r="N38" s="81">
        <v>1092.94</v>
      </c>
      <c r="O38" s="41"/>
      <c r="P38" s="41">
        <f t="shared" si="13"/>
        <v>1092.94</v>
      </c>
      <c r="Q38" s="41"/>
      <c r="R38" s="35">
        <v>4350</v>
      </c>
      <c r="S38" s="4">
        <v>804</v>
      </c>
      <c r="T38" s="7" t="s">
        <v>60</v>
      </c>
      <c r="U38" s="41">
        <v>1000</v>
      </c>
      <c r="V38" s="41"/>
      <c r="W38" s="41"/>
      <c r="X38" s="41">
        <f t="shared" si="14"/>
        <v>1000</v>
      </c>
      <c r="Y38" s="41"/>
      <c r="Z38" s="41">
        <v>400</v>
      </c>
      <c r="AA38" s="41"/>
      <c r="AB38" s="41"/>
      <c r="AC38" s="41">
        <f t="shared" si="15"/>
        <v>400</v>
      </c>
    </row>
    <row r="39" spans="1:29" ht="12.75">
      <c r="A39" s="35">
        <v>4350</v>
      </c>
      <c r="B39" s="4">
        <v>805</v>
      </c>
      <c r="C39" s="7" t="s">
        <v>133</v>
      </c>
      <c r="D39" s="41">
        <v>35014</v>
      </c>
      <c r="E39" s="41"/>
      <c r="F39" s="41"/>
      <c r="G39" s="41"/>
      <c r="H39" s="41">
        <f t="shared" si="11"/>
        <v>35014</v>
      </c>
      <c r="I39" s="41"/>
      <c r="J39" s="41"/>
      <c r="K39" s="41"/>
      <c r="L39" s="41">
        <f t="shared" si="12"/>
        <v>0</v>
      </c>
      <c r="M39" s="41"/>
      <c r="N39" s="81">
        <v>2804.5</v>
      </c>
      <c r="O39" s="41"/>
      <c r="P39" s="41">
        <f t="shared" si="13"/>
        <v>2804.5</v>
      </c>
      <c r="Q39" s="41"/>
      <c r="R39" s="35">
        <v>4350</v>
      </c>
      <c r="S39" s="4">
        <v>805</v>
      </c>
      <c r="T39" s="7" t="s">
        <v>116</v>
      </c>
      <c r="U39" s="41"/>
      <c r="V39" s="41"/>
      <c r="W39" s="41"/>
      <c r="X39" s="41">
        <f t="shared" si="14"/>
        <v>0</v>
      </c>
      <c r="Y39" s="41"/>
      <c r="Z39" s="41"/>
      <c r="AA39" s="41">
        <f>300.93</f>
        <v>300.93</v>
      </c>
      <c r="AB39" s="41"/>
      <c r="AC39" s="41">
        <f t="shared" si="15"/>
        <v>300.93</v>
      </c>
    </row>
    <row r="40" spans="1:29" ht="12.75">
      <c r="A40" s="35">
        <v>4350</v>
      </c>
      <c r="B40" s="4">
        <v>806</v>
      </c>
      <c r="C40" s="7" t="s">
        <v>29</v>
      </c>
      <c r="D40" s="41">
        <v>4876</v>
      </c>
      <c r="E40" s="41"/>
      <c r="F40" s="41"/>
      <c r="G40" s="41"/>
      <c r="H40" s="41">
        <f t="shared" si="11"/>
        <v>4876</v>
      </c>
      <c r="I40" s="41"/>
      <c r="J40" s="41"/>
      <c r="K40" s="41"/>
      <c r="L40" s="41">
        <f t="shared" si="12"/>
        <v>0</v>
      </c>
      <c r="M40" s="41"/>
      <c r="N40" s="81">
        <v>392.23</v>
      </c>
      <c r="O40" s="41"/>
      <c r="P40" s="41">
        <f t="shared" si="13"/>
        <v>392.23</v>
      </c>
      <c r="Q40" s="41"/>
      <c r="R40" s="35">
        <v>4350</v>
      </c>
      <c r="S40" s="4">
        <v>806</v>
      </c>
      <c r="T40" s="7" t="s">
        <v>29</v>
      </c>
      <c r="U40" s="41"/>
      <c r="V40" s="41"/>
      <c r="W40" s="41"/>
      <c r="X40" s="41">
        <f t="shared" si="14"/>
        <v>0</v>
      </c>
      <c r="Y40" s="41"/>
      <c r="Z40" s="41">
        <v>2000</v>
      </c>
      <c r="AA40" s="41"/>
      <c r="AB40" s="41"/>
      <c r="AC40" s="41">
        <f t="shared" si="15"/>
        <v>2000</v>
      </c>
    </row>
    <row r="41" spans="1:29" ht="12.75">
      <c r="A41" s="35">
        <v>4357</v>
      </c>
      <c r="B41" s="4">
        <v>807</v>
      </c>
      <c r="C41" s="7" t="s">
        <v>134</v>
      </c>
      <c r="D41" s="41">
        <v>11770</v>
      </c>
      <c r="E41" s="41">
        <f>1500</f>
        <v>1500</v>
      </c>
      <c r="F41" s="41"/>
      <c r="G41" s="45"/>
      <c r="H41" s="41">
        <f t="shared" si="11"/>
        <v>13270</v>
      </c>
      <c r="I41" s="41"/>
      <c r="J41" s="41"/>
      <c r="K41" s="41"/>
      <c r="L41" s="41">
        <f t="shared" si="12"/>
        <v>0</v>
      </c>
      <c r="M41" s="41"/>
      <c r="N41" s="81">
        <v>1341.64</v>
      </c>
      <c r="O41" s="41"/>
      <c r="P41" s="41">
        <f t="shared" si="13"/>
        <v>1341.64</v>
      </c>
      <c r="Q41" s="41"/>
      <c r="R41" s="35">
        <v>4357</v>
      </c>
      <c r="S41" s="4">
        <v>807</v>
      </c>
      <c r="T41" s="7" t="s">
        <v>77</v>
      </c>
      <c r="U41" s="41"/>
      <c r="V41" s="41"/>
      <c r="W41" s="41"/>
      <c r="X41" s="41">
        <f t="shared" si="14"/>
        <v>0</v>
      </c>
      <c r="Y41" s="41"/>
      <c r="Z41" s="41">
        <v>500</v>
      </c>
      <c r="AA41" s="41"/>
      <c r="AB41" s="41"/>
      <c r="AC41" s="41">
        <f t="shared" si="15"/>
        <v>500</v>
      </c>
    </row>
    <row r="42" spans="1:29" ht="12.75">
      <c r="A42" s="35">
        <v>4350</v>
      </c>
      <c r="B42" s="4">
        <v>808</v>
      </c>
      <c r="C42" s="87" t="s">
        <v>155</v>
      </c>
      <c r="D42" s="41">
        <v>10310</v>
      </c>
      <c r="E42" s="41"/>
      <c r="F42" s="41"/>
      <c r="G42" s="45"/>
      <c r="H42" s="41">
        <f t="shared" si="11"/>
        <v>10310</v>
      </c>
      <c r="I42" s="41"/>
      <c r="J42" s="41"/>
      <c r="K42" s="41"/>
      <c r="L42" s="41">
        <f t="shared" si="12"/>
        <v>0</v>
      </c>
      <c r="M42" s="41"/>
      <c r="N42" s="81">
        <v>1331.04</v>
      </c>
      <c r="O42" s="41"/>
      <c r="P42" s="41">
        <f t="shared" si="13"/>
        <v>1331.04</v>
      </c>
      <c r="Q42" s="41"/>
      <c r="R42" s="35">
        <v>4350</v>
      </c>
      <c r="S42" s="4">
        <v>808</v>
      </c>
      <c r="T42" s="87" t="s">
        <v>155</v>
      </c>
      <c r="U42" s="41"/>
      <c r="V42" s="41"/>
      <c r="W42" s="41"/>
      <c r="X42" s="41">
        <f t="shared" si="14"/>
        <v>0</v>
      </c>
      <c r="Y42" s="41"/>
      <c r="Z42" s="41">
        <v>1800</v>
      </c>
      <c r="AA42" s="41">
        <f>10200</f>
        <v>10200</v>
      </c>
      <c r="AB42" s="41"/>
      <c r="AC42" s="41">
        <f t="shared" si="15"/>
        <v>12000</v>
      </c>
    </row>
    <row r="43" spans="1:29" ht="12.75">
      <c r="A43" s="35">
        <v>4350</v>
      </c>
      <c r="B43" s="4">
        <v>809</v>
      </c>
      <c r="C43" s="7" t="s">
        <v>153</v>
      </c>
      <c r="D43" s="41">
        <v>13860</v>
      </c>
      <c r="E43" s="41"/>
      <c r="F43" s="41"/>
      <c r="G43" s="45"/>
      <c r="H43" s="41">
        <f t="shared" si="11"/>
        <v>13860</v>
      </c>
      <c r="I43" s="41"/>
      <c r="J43" s="41"/>
      <c r="K43" s="41"/>
      <c r="L43" s="41">
        <f t="shared" si="12"/>
        <v>0</v>
      </c>
      <c r="M43" s="41"/>
      <c r="N43" s="81">
        <v>1368.1</v>
      </c>
      <c r="O43" s="41"/>
      <c r="P43" s="41">
        <f t="shared" si="13"/>
        <v>1368.1</v>
      </c>
      <c r="Q43" s="41"/>
      <c r="R43" s="35">
        <v>4350</v>
      </c>
      <c r="S43" s="4">
        <v>809</v>
      </c>
      <c r="T43" s="7" t="s">
        <v>153</v>
      </c>
      <c r="U43" s="41"/>
      <c r="V43" s="41"/>
      <c r="W43" s="41"/>
      <c r="X43" s="41">
        <f t="shared" si="14"/>
        <v>0</v>
      </c>
      <c r="Y43" s="41"/>
      <c r="Z43" s="41"/>
      <c r="AA43" s="41">
        <f>8300</f>
        <v>8300</v>
      </c>
      <c r="AB43" s="41"/>
      <c r="AC43" s="41">
        <f t="shared" si="15"/>
        <v>8300</v>
      </c>
    </row>
    <row r="44" spans="1:29" ht="12.75">
      <c r="A44" s="35">
        <v>4350</v>
      </c>
      <c r="B44" s="4">
        <v>810</v>
      </c>
      <c r="C44" s="7" t="s">
        <v>75</v>
      </c>
      <c r="D44" s="41">
        <v>4198</v>
      </c>
      <c r="E44" s="41"/>
      <c r="F44" s="41"/>
      <c r="G44" s="45"/>
      <c r="H44" s="41">
        <f t="shared" si="11"/>
        <v>4198</v>
      </c>
      <c r="I44" s="41"/>
      <c r="J44" s="41"/>
      <c r="K44" s="41"/>
      <c r="L44" s="41">
        <f t="shared" si="12"/>
        <v>0</v>
      </c>
      <c r="M44" s="41"/>
      <c r="N44" s="81">
        <v>291.18</v>
      </c>
      <c r="O44" s="41"/>
      <c r="P44" s="41">
        <f t="shared" si="13"/>
        <v>291.18</v>
      </c>
      <c r="Q44" s="41"/>
      <c r="R44" s="35">
        <v>4350</v>
      </c>
      <c r="S44" s="4">
        <v>810</v>
      </c>
      <c r="T44" s="7" t="s">
        <v>75</v>
      </c>
      <c r="U44" s="41"/>
      <c r="V44" s="41"/>
      <c r="W44" s="41"/>
      <c r="X44" s="41">
        <f t="shared" si="14"/>
        <v>0</v>
      </c>
      <c r="Y44" s="41"/>
      <c r="Z44" s="41">
        <v>400</v>
      </c>
      <c r="AA44" s="41"/>
      <c r="AB44" s="41"/>
      <c r="AC44" s="41">
        <f t="shared" si="15"/>
        <v>400</v>
      </c>
    </row>
    <row r="45" spans="1:29" ht="12.75">
      <c r="A45" s="35">
        <v>4350</v>
      </c>
      <c r="B45" s="4">
        <v>811</v>
      </c>
      <c r="C45" s="7" t="s">
        <v>72</v>
      </c>
      <c r="D45" s="41">
        <v>6845</v>
      </c>
      <c r="E45" s="41"/>
      <c r="F45" s="41"/>
      <c r="G45" s="45"/>
      <c r="H45" s="41">
        <f t="shared" si="11"/>
        <v>6845</v>
      </c>
      <c r="I45" s="41"/>
      <c r="J45" s="41"/>
      <c r="K45" s="41"/>
      <c r="L45" s="41">
        <f t="shared" si="12"/>
        <v>0</v>
      </c>
      <c r="M45" s="41"/>
      <c r="N45" s="81">
        <v>750.43</v>
      </c>
      <c r="O45" s="41"/>
      <c r="P45" s="41">
        <f t="shared" si="13"/>
        <v>750.43</v>
      </c>
      <c r="Q45" s="41"/>
      <c r="R45" s="35">
        <v>4350</v>
      </c>
      <c r="S45" s="4">
        <v>811</v>
      </c>
      <c r="T45" s="7" t="s">
        <v>72</v>
      </c>
      <c r="U45" s="41"/>
      <c r="V45" s="41"/>
      <c r="W45" s="41"/>
      <c r="X45" s="41">
        <f t="shared" si="14"/>
        <v>0</v>
      </c>
      <c r="Y45" s="41"/>
      <c r="Z45" s="41">
        <v>1100</v>
      </c>
      <c r="AA45" s="41"/>
      <c r="AB45" s="41"/>
      <c r="AC45" s="41">
        <f t="shared" si="15"/>
        <v>1100</v>
      </c>
    </row>
    <row r="46" spans="1:29" ht="12.75">
      <c r="A46" s="35">
        <v>4357</v>
      </c>
      <c r="B46" s="4">
        <v>813</v>
      </c>
      <c r="C46" s="7" t="s">
        <v>70</v>
      </c>
      <c r="D46" s="41">
        <v>33008</v>
      </c>
      <c r="E46" s="41">
        <f>1500</f>
        <v>1500</v>
      </c>
      <c r="F46" s="41"/>
      <c r="G46" s="45"/>
      <c r="H46" s="41">
        <f t="shared" si="11"/>
        <v>34508</v>
      </c>
      <c r="I46" s="41"/>
      <c r="J46" s="41"/>
      <c r="K46" s="41"/>
      <c r="L46" s="41">
        <f t="shared" si="12"/>
        <v>0</v>
      </c>
      <c r="M46" s="41"/>
      <c r="N46" s="81">
        <v>910.8</v>
      </c>
      <c r="O46" s="41"/>
      <c r="P46" s="41">
        <f t="shared" si="13"/>
        <v>910.8</v>
      </c>
      <c r="Q46" s="41"/>
      <c r="R46" s="35">
        <v>4357</v>
      </c>
      <c r="S46" s="4">
        <v>813</v>
      </c>
      <c r="T46" s="7" t="s">
        <v>70</v>
      </c>
      <c r="U46" s="41"/>
      <c r="V46" s="41"/>
      <c r="W46" s="41"/>
      <c r="X46" s="41">
        <f t="shared" si="14"/>
        <v>0</v>
      </c>
      <c r="Y46" s="41"/>
      <c r="Z46" s="41">
        <v>1950</v>
      </c>
      <c r="AA46" s="41">
        <f>1504.75</f>
        <v>1504.75</v>
      </c>
      <c r="AB46" s="41"/>
      <c r="AC46" s="41">
        <f t="shared" si="15"/>
        <v>3454.75</v>
      </c>
    </row>
    <row r="47" spans="1:29" ht="12.75">
      <c r="A47" s="35">
        <v>4357</v>
      </c>
      <c r="B47" s="4">
        <v>814</v>
      </c>
      <c r="C47" s="8" t="s">
        <v>118</v>
      </c>
      <c r="D47" s="41">
        <v>12767</v>
      </c>
      <c r="E47" s="41">
        <f>1000</f>
        <v>1000</v>
      </c>
      <c r="F47" s="41"/>
      <c r="G47" s="45"/>
      <c r="H47" s="41">
        <f t="shared" si="11"/>
        <v>13767</v>
      </c>
      <c r="I47" s="41"/>
      <c r="J47" s="41"/>
      <c r="K47" s="41"/>
      <c r="L47" s="41">
        <f t="shared" si="12"/>
        <v>0</v>
      </c>
      <c r="M47" s="41"/>
      <c r="N47" s="81">
        <v>628.03</v>
      </c>
      <c r="O47" s="41"/>
      <c r="P47" s="41">
        <f t="shared" si="13"/>
        <v>628.03</v>
      </c>
      <c r="Q47" s="41"/>
      <c r="R47" s="35">
        <v>4357</v>
      </c>
      <c r="S47" s="4">
        <v>814</v>
      </c>
      <c r="T47" s="37" t="s">
        <v>118</v>
      </c>
      <c r="U47" s="41">
        <v>2000</v>
      </c>
      <c r="V47" s="41"/>
      <c r="W47" s="41"/>
      <c r="X47" s="41">
        <f t="shared" si="14"/>
        <v>2000</v>
      </c>
      <c r="Y47" s="41"/>
      <c r="Z47" s="41"/>
      <c r="AA47" s="41">
        <f>1947.97</f>
        <v>1947.97</v>
      </c>
      <c r="AB47" s="41"/>
      <c r="AC47" s="41">
        <f t="shared" si="15"/>
        <v>1947.97</v>
      </c>
    </row>
    <row r="48" spans="1:29" ht="12.75" customHeight="1">
      <c r="A48" s="35">
        <v>4357</v>
      </c>
      <c r="B48" s="4">
        <v>815</v>
      </c>
      <c r="C48" s="8" t="s">
        <v>135</v>
      </c>
      <c r="D48" s="41">
        <v>9752</v>
      </c>
      <c r="E48" s="45">
        <f>1400</f>
        <v>1400</v>
      </c>
      <c r="F48" s="41"/>
      <c r="G48" s="45"/>
      <c r="H48" s="41">
        <f t="shared" si="11"/>
        <v>11152</v>
      </c>
      <c r="I48" s="41"/>
      <c r="J48" s="41"/>
      <c r="K48" s="41"/>
      <c r="L48" s="41">
        <f t="shared" si="12"/>
        <v>0</v>
      </c>
      <c r="M48" s="41"/>
      <c r="N48" s="81">
        <v>1822.4</v>
      </c>
      <c r="O48" s="41"/>
      <c r="P48" s="41">
        <f t="shared" si="13"/>
        <v>1822.4</v>
      </c>
      <c r="Q48" s="41"/>
      <c r="R48" s="35">
        <v>4357</v>
      </c>
      <c r="S48" s="4">
        <v>815</v>
      </c>
      <c r="T48" s="37" t="s">
        <v>117</v>
      </c>
      <c r="U48" s="41"/>
      <c r="V48" s="41"/>
      <c r="W48" s="41"/>
      <c r="X48" s="41">
        <f t="shared" si="14"/>
        <v>0</v>
      </c>
      <c r="Y48" s="41"/>
      <c r="Z48" s="41">
        <v>650</v>
      </c>
      <c r="AA48" s="41"/>
      <c r="AB48" s="41"/>
      <c r="AC48" s="41">
        <f t="shared" si="15"/>
        <v>650</v>
      </c>
    </row>
    <row r="49" spans="1:29" ht="12.75">
      <c r="A49" s="35">
        <v>4357</v>
      </c>
      <c r="B49" s="4">
        <v>816</v>
      </c>
      <c r="C49" s="8" t="s">
        <v>25</v>
      </c>
      <c r="D49" s="41">
        <v>20299</v>
      </c>
      <c r="E49" s="45"/>
      <c r="F49" s="41"/>
      <c r="G49" s="45"/>
      <c r="H49" s="41">
        <f t="shared" si="11"/>
        <v>20299</v>
      </c>
      <c r="I49" s="41"/>
      <c r="J49" s="41"/>
      <c r="K49" s="41"/>
      <c r="L49" s="41">
        <f t="shared" si="12"/>
        <v>0</v>
      </c>
      <c r="M49" s="41"/>
      <c r="N49" s="81">
        <v>1923.99</v>
      </c>
      <c r="O49" s="41"/>
      <c r="P49" s="41">
        <f t="shared" si="13"/>
        <v>1923.99</v>
      </c>
      <c r="Q49" s="41"/>
      <c r="R49" s="35">
        <v>4357</v>
      </c>
      <c r="S49" s="4">
        <v>816</v>
      </c>
      <c r="T49" s="8" t="s">
        <v>25</v>
      </c>
      <c r="U49" s="41"/>
      <c r="V49" s="41"/>
      <c r="W49" s="41"/>
      <c r="X49" s="41">
        <f t="shared" si="14"/>
        <v>0</v>
      </c>
      <c r="Y49" s="41"/>
      <c r="Z49" s="41"/>
      <c r="AA49" s="41">
        <f>716.35</f>
        <v>716.35</v>
      </c>
      <c r="AB49" s="41"/>
      <c r="AC49" s="41">
        <f t="shared" si="15"/>
        <v>716.35</v>
      </c>
    </row>
    <row r="50" spans="1:29" ht="12.75">
      <c r="A50" s="35">
        <v>4357</v>
      </c>
      <c r="B50" s="4">
        <v>818</v>
      </c>
      <c r="C50" s="8" t="s">
        <v>57</v>
      </c>
      <c r="D50" s="41">
        <v>22284</v>
      </c>
      <c r="E50" s="45">
        <f>1500</f>
        <v>1500</v>
      </c>
      <c r="F50" s="41"/>
      <c r="G50" s="45"/>
      <c r="H50" s="41">
        <f t="shared" si="11"/>
        <v>23784</v>
      </c>
      <c r="I50" s="41"/>
      <c r="J50" s="41"/>
      <c r="K50" s="41"/>
      <c r="L50" s="41">
        <f t="shared" si="12"/>
        <v>0</v>
      </c>
      <c r="M50" s="41"/>
      <c r="N50" s="81">
        <v>2211.96</v>
      </c>
      <c r="O50" s="41"/>
      <c r="P50" s="41">
        <f t="shared" si="13"/>
        <v>2211.96</v>
      </c>
      <c r="Q50" s="41"/>
      <c r="R50" s="35">
        <v>4357</v>
      </c>
      <c r="S50" s="4">
        <v>818</v>
      </c>
      <c r="T50" s="8" t="s">
        <v>57</v>
      </c>
      <c r="U50" s="41"/>
      <c r="V50" s="41"/>
      <c r="W50" s="41"/>
      <c r="X50" s="41">
        <f t="shared" si="14"/>
        <v>0</v>
      </c>
      <c r="Y50" s="41"/>
      <c r="Z50" s="41">
        <v>1700</v>
      </c>
      <c r="AA50" s="41"/>
      <c r="AB50" s="41"/>
      <c r="AC50" s="41">
        <f t="shared" si="15"/>
        <v>1700</v>
      </c>
    </row>
    <row r="51" spans="1:29" ht="12.75">
      <c r="A51" s="35">
        <v>4357</v>
      </c>
      <c r="B51" s="4">
        <v>819</v>
      </c>
      <c r="C51" s="8" t="s">
        <v>142</v>
      </c>
      <c r="D51" s="41">
        <v>13717</v>
      </c>
      <c r="E51" s="45">
        <f>800</f>
        <v>800</v>
      </c>
      <c r="F51" s="41"/>
      <c r="G51" s="45"/>
      <c r="H51" s="41">
        <f t="shared" si="11"/>
        <v>14517</v>
      </c>
      <c r="I51" s="41"/>
      <c r="J51" s="41"/>
      <c r="K51" s="41"/>
      <c r="L51" s="41">
        <f t="shared" si="12"/>
        <v>0</v>
      </c>
      <c r="M51" s="41"/>
      <c r="N51" s="81">
        <v>824.3</v>
      </c>
      <c r="O51" s="41"/>
      <c r="P51" s="41">
        <f t="shared" si="13"/>
        <v>824.3</v>
      </c>
      <c r="Q51" s="41"/>
      <c r="R51" s="35">
        <v>4357</v>
      </c>
      <c r="S51" s="4">
        <v>819</v>
      </c>
      <c r="T51" s="8" t="s">
        <v>78</v>
      </c>
      <c r="U51" s="41"/>
      <c r="V51" s="41"/>
      <c r="W51" s="41"/>
      <c r="X51" s="41">
        <f t="shared" si="14"/>
        <v>0</v>
      </c>
      <c r="Y51" s="41"/>
      <c r="Z51" s="41">
        <v>700</v>
      </c>
      <c r="AA51" s="41"/>
      <c r="AB51" s="41"/>
      <c r="AC51" s="41">
        <f t="shared" si="15"/>
        <v>700</v>
      </c>
    </row>
    <row r="52" spans="1:29" ht="12.75">
      <c r="A52" s="35">
        <v>4357</v>
      </c>
      <c r="B52" s="4">
        <v>820</v>
      </c>
      <c r="C52" s="8" t="s">
        <v>147</v>
      </c>
      <c r="D52" s="41">
        <v>19815</v>
      </c>
      <c r="E52" s="45"/>
      <c r="F52" s="41"/>
      <c r="G52" s="45"/>
      <c r="H52" s="41">
        <f t="shared" si="11"/>
        <v>19815</v>
      </c>
      <c r="I52" s="41"/>
      <c r="J52" s="41"/>
      <c r="K52" s="41"/>
      <c r="L52" s="41">
        <f t="shared" si="12"/>
        <v>0</v>
      </c>
      <c r="M52" s="41"/>
      <c r="N52" s="81">
        <v>1706.92</v>
      </c>
      <c r="O52" s="41"/>
      <c r="P52" s="41">
        <f t="shared" si="13"/>
        <v>1706.92</v>
      </c>
      <c r="Q52" s="41"/>
      <c r="R52" s="35">
        <v>4357</v>
      </c>
      <c r="S52" s="4">
        <v>820</v>
      </c>
      <c r="T52" s="8" t="s">
        <v>147</v>
      </c>
      <c r="U52" s="41"/>
      <c r="V52" s="41"/>
      <c r="W52" s="41"/>
      <c r="X52" s="41">
        <f t="shared" si="14"/>
        <v>0</v>
      </c>
      <c r="Y52" s="41"/>
      <c r="Z52" s="41"/>
      <c r="AA52" s="41"/>
      <c r="AB52" s="41"/>
      <c r="AC52" s="41">
        <f t="shared" si="15"/>
        <v>0</v>
      </c>
    </row>
    <row r="53" spans="1:29" ht="12.75">
      <c r="A53" s="35">
        <v>4357</v>
      </c>
      <c r="B53" s="4">
        <v>821</v>
      </c>
      <c r="C53" s="8" t="s">
        <v>136</v>
      </c>
      <c r="D53" s="41">
        <v>9648</v>
      </c>
      <c r="E53" s="45">
        <f>1000+500</f>
        <v>1500</v>
      </c>
      <c r="F53" s="41"/>
      <c r="G53" s="45"/>
      <c r="H53" s="41">
        <f t="shared" si="11"/>
        <v>11148</v>
      </c>
      <c r="I53" s="41"/>
      <c r="J53" s="41"/>
      <c r="K53" s="41"/>
      <c r="L53" s="41">
        <f t="shared" si="12"/>
        <v>0</v>
      </c>
      <c r="M53" s="41"/>
      <c r="N53" s="81">
        <v>2168.85</v>
      </c>
      <c r="O53" s="41"/>
      <c r="P53" s="41">
        <f t="shared" si="13"/>
        <v>2168.85</v>
      </c>
      <c r="Q53" s="41"/>
      <c r="R53" s="35">
        <v>4357</v>
      </c>
      <c r="S53" s="4">
        <v>821</v>
      </c>
      <c r="T53" s="8" t="s">
        <v>63</v>
      </c>
      <c r="U53" s="41"/>
      <c r="V53" s="41"/>
      <c r="W53" s="41"/>
      <c r="X53" s="41">
        <f t="shared" si="14"/>
        <v>0</v>
      </c>
      <c r="Y53" s="41"/>
      <c r="Z53" s="41"/>
      <c r="AA53" s="41"/>
      <c r="AB53" s="41"/>
      <c r="AC53" s="41">
        <f t="shared" si="15"/>
        <v>0</v>
      </c>
    </row>
    <row r="54" spans="1:29" ht="12.75">
      <c r="A54" s="35">
        <v>4350</v>
      </c>
      <c r="B54" s="4">
        <v>824</v>
      </c>
      <c r="C54" s="8" t="s">
        <v>76</v>
      </c>
      <c r="D54" s="41">
        <v>14236</v>
      </c>
      <c r="E54" s="41"/>
      <c r="F54" s="41"/>
      <c r="G54" s="41"/>
      <c r="H54" s="41">
        <f t="shared" si="11"/>
        <v>14236</v>
      </c>
      <c r="I54" s="41"/>
      <c r="J54" s="41"/>
      <c r="K54" s="41"/>
      <c r="L54" s="41">
        <f t="shared" si="12"/>
        <v>0</v>
      </c>
      <c r="M54" s="41"/>
      <c r="N54" s="81">
        <v>1782.05</v>
      </c>
      <c r="O54" s="41"/>
      <c r="P54" s="41">
        <f t="shared" si="13"/>
        <v>1782.05</v>
      </c>
      <c r="Q54" s="41"/>
      <c r="R54" s="35">
        <v>4350</v>
      </c>
      <c r="S54" s="4">
        <v>824</v>
      </c>
      <c r="T54" s="8" t="s">
        <v>76</v>
      </c>
      <c r="U54" s="41">
        <v>700</v>
      </c>
      <c r="V54" s="41">
        <f>1000</f>
        <v>1000</v>
      </c>
      <c r="W54" s="41"/>
      <c r="X54" s="41">
        <f t="shared" si="14"/>
        <v>1700</v>
      </c>
      <c r="Y54" s="41"/>
      <c r="Z54" s="41">
        <v>500</v>
      </c>
      <c r="AA54" s="41"/>
      <c r="AB54" s="41"/>
      <c r="AC54" s="41">
        <f t="shared" si="15"/>
        <v>500</v>
      </c>
    </row>
    <row r="55" spans="1:29" ht="12.75">
      <c r="A55" s="35">
        <v>4350</v>
      </c>
      <c r="B55" s="4">
        <v>825</v>
      </c>
      <c r="C55" s="8" t="s">
        <v>32</v>
      </c>
      <c r="D55" s="41">
        <v>3938</v>
      </c>
      <c r="E55" s="41">
        <f>800</f>
        <v>800</v>
      </c>
      <c r="F55" s="41"/>
      <c r="G55" s="41"/>
      <c r="H55" s="41">
        <f t="shared" si="11"/>
        <v>4738</v>
      </c>
      <c r="I55" s="41"/>
      <c r="J55" s="41"/>
      <c r="K55" s="41"/>
      <c r="L55" s="41">
        <f t="shared" si="12"/>
        <v>0</v>
      </c>
      <c r="M55" s="41"/>
      <c r="N55" s="81">
        <v>252.96</v>
      </c>
      <c r="O55" s="41"/>
      <c r="P55" s="41">
        <f t="shared" si="13"/>
        <v>252.96</v>
      </c>
      <c r="Q55" s="41"/>
      <c r="R55" s="35">
        <v>4350</v>
      </c>
      <c r="S55" s="4">
        <v>825</v>
      </c>
      <c r="T55" s="8" t="s">
        <v>32</v>
      </c>
      <c r="U55" s="41"/>
      <c r="V55" s="41"/>
      <c r="W55" s="41"/>
      <c r="X55" s="41">
        <f t="shared" si="14"/>
        <v>0</v>
      </c>
      <c r="Y55" s="41"/>
      <c r="Z55" s="41">
        <v>400</v>
      </c>
      <c r="AA55" s="41"/>
      <c r="AB55" s="41"/>
      <c r="AC55" s="41">
        <f t="shared" si="15"/>
        <v>400</v>
      </c>
    </row>
    <row r="56" spans="1:29" ht="12.75">
      <c r="A56" s="35">
        <v>4350</v>
      </c>
      <c r="B56" s="4">
        <v>826</v>
      </c>
      <c r="C56" s="8" t="s">
        <v>137</v>
      </c>
      <c r="D56" s="41">
        <v>11668</v>
      </c>
      <c r="E56" s="41"/>
      <c r="F56" s="41"/>
      <c r="G56" s="41"/>
      <c r="H56" s="41">
        <f t="shared" si="11"/>
        <v>11668</v>
      </c>
      <c r="I56" s="41"/>
      <c r="J56" s="41"/>
      <c r="K56" s="41"/>
      <c r="L56" s="41">
        <f t="shared" si="12"/>
        <v>0</v>
      </c>
      <c r="M56" s="41"/>
      <c r="N56" s="81">
        <v>819</v>
      </c>
      <c r="O56" s="41"/>
      <c r="P56" s="41">
        <f t="shared" si="13"/>
        <v>819</v>
      </c>
      <c r="Q56" s="41"/>
      <c r="R56" s="35">
        <v>4350</v>
      </c>
      <c r="S56" s="4">
        <v>826</v>
      </c>
      <c r="T56" s="8" t="s">
        <v>61</v>
      </c>
      <c r="U56" s="41"/>
      <c r="V56" s="41"/>
      <c r="W56" s="41"/>
      <c r="X56" s="41">
        <f t="shared" si="14"/>
        <v>0</v>
      </c>
      <c r="Y56" s="41"/>
      <c r="Z56" s="41"/>
      <c r="AA56" s="41">
        <f>2300</f>
        <v>2300</v>
      </c>
      <c r="AB56" s="41"/>
      <c r="AC56" s="41">
        <f t="shared" si="15"/>
        <v>2300</v>
      </c>
    </row>
    <row r="57" spans="1:29" ht="12.75">
      <c r="A57" s="35">
        <v>4350</v>
      </c>
      <c r="B57" s="4">
        <v>827</v>
      </c>
      <c r="C57" s="8" t="s">
        <v>138</v>
      </c>
      <c r="D57" s="41">
        <v>7661</v>
      </c>
      <c r="E57" s="41"/>
      <c r="F57" s="41"/>
      <c r="G57" s="41"/>
      <c r="H57" s="41">
        <f t="shared" si="11"/>
        <v>7661</v>
      </c>
      <c r="I57" s="41"/>
      <c r="J57" s="41"/>
      <c r="K57" s="41"/>
      <c r="L57" s="41">
        <f t="shared" si="12"/>
        <v>0</v>
      </c>
      <c r="M57" s="41"/>
      <c r="N57" s="81">
        <v>772.71</v>
      </c>
      <c r="O57" s="41"/>
      <c r="P57" s="41">
        <f t="shared" si="13"/>
        <v>772.71</v>
      </c>
      <c r="Q57" s="41"/>
      <c r="R57" s="35">
        <v>4350</v>
      </c>
      <c r="S57" s="4">
        <v>827</v>
      </c>
      <c r="T57" s="8" t="s">
        <v>31</v>
      </c>
      <c r="U57" s="41"/>
      <c r="V57" s="41"/>
      <c r="W57" s="41"/>
      <c r="X57" s="41">
        <f t="shared" si="14"/>
        <v>0</v>
      </c>
      <c r="Y57" s="41"/>
      <c r="Z57" s="41">
        <v>3500</v>
      </c>
      <c r="AA57" s="41"/>
      <c r="AB57" s="41"/>
      <c r="AC57" s="41">
        <f t="shared" si="15"/>
        <v>3500</v>
      </c>
    </row>
    <row r="58" spans="1:29" ht="12.75">
      <c r="A58" s="35">
        <v>4357</v>
      </c>
      <c r="B58" s="4">
        <v>828</v>
      </c>
      <c r="C58" s="8" t="s">
        <v>139</v>
      </c>
      <c r="D58" s="41">
        <v>6509</v>
      </c>
      <c r="E58" s="41">
        <f>1200</f>
        <v>1200</v>
      </c>
      <c r="F58" s="41"/>
      <c r="G58" s="41"/>
      <c r="H58" s="41">
        <f t="shared" si="11"/>
        <v>7709</v>
      </c>
      <c r="I58" s="41"/>
      <c r="J58" s="41"/>
      <c r="K58" s="41"/>
      <c r="L58" s="41">
        <f t="shared" si="12"/>
        <v>0</v>
      </c>
      <c r="M58" s="41"/>
      <c r="N58" s="81">
        <v>1182.99</v>
      </c>
      <c r="O58" s="41"/>
      <c r="P58" s="41">
        <f t="shared" si="13"/>
        <v>1182.99</v>
      </c>
      <c r="Q58" s="41"/>
      <c r="R58" s="35">
        <v>4357</v>
      </c>
      <c r="S58" s="4">
        <v>828</v>
      </c>
      <c r="T58" s="8" t="s">
        <v>71</v>
      </c>
      <c r="U58" s="41"/>
      <c r="V58" s="41"/>
      <c r="W58" s="41"/>
      <c r="X58" s="41">
        <f t="shared" si="14"/>
        <v>0</v>
      </c>
      <c r="Y58" s="41"/>
      <c r="Z58" s="41">
        <v>700</v>
      </c>
      <c r="AA58" s="41">
        <f>500</f>
        <v>500</v>
      </c>
      <c r="AB58" s="41"/>
      <c r="AC58" s="41">
        <f t="shared" si="15"/>
        <v>1200</v>
      </c>
    </row>
    <row r="59" spans="1:29" ht="12.75">
      <c r="A59" s="35"/>
      <c r="B59" s="4"/>
      <c r="C59" s="10" t="s">
        <v>20</v>
      </c>
      <c r="D59" s="51">
        <f aca="true" t="shared" si="16" ref="D59:P59">SUM(D61:D132)</f>
        <v>409465.4400000001</v>
      </c>
      <c r="E59" s="78">
        <f t="shared" si="16"/>
        <v>117850.09999999996</v>
      </c>
      <c r="F59" s="51">
        <f t="shared" si="16"/>
        <v>6500</v>
      </c>
      <c r="G59" s="51">
        <f t="shared" si="16"/>
        <v>536.3</v>
      </c>
      <c r="H59" s="51">
        <f t="shared" si="16"/>
        <v>534351.8399999999</v>
      </c>
      <c r="I59" s="51">
        <f t="shared" si="16"/>
        <v>0</v>
      </c>
      <c r="J59" s="51">
        <f t="shared" si="16"/>
        <v>740</v>
      </c>
      <c r="K59" s="88">
        <f t="shared" si="16"/>
        <v>27101.4</v>
      </c>
      <c r="L59" s="88">
        <f t="shared" si="16"/>
        <v>27841.4</v>
      </c>
      <c r="M59" s="51">
        <f t="shared" si="16"/>
        <v>0</v>
      </c>
      <c r="N59" s="51">
        <f t="shared" si="16"/>
        <v>55452.920000000006</v>
      </c>
      <c r="O59" s="51">
        <f t="shared" si="16"/>
        <v>4955.78</v>
      </c>
      <c r="P59" s="51">
        <f t="shared" si="16"/>
        <v>60408.700000000004</v>
      </c>
      <c r="Q59" s="51"/>
      <c r="R59" s="57"/>
      <c r="S59" s="58"/>
      <c r="T59" s="51" t="s">
        <v>68</v>
      </c>
      <c r="U59" s="51">
        <f aca="true" t="shared" si="17" ref="U59:AC59">SUM(U61:U132)</f>
        <v>8900</v>
      </c>
      <c r="V59" s="51">
        <f t="shared" si="17"/>
        <v>28065</v>
      </c>
      <c r="W59" s="51">
        <f t="shared" si="17"/>
        <v>0</v>
      </c>
      <c r="X59" s="51">
        <f t="shared" si="17"/>
        <v>36965</v>
      </c>
      <c r="Y59" s="51">
        <f t="shared" si="17"/>
        <v>0</v>
      </c>
      <c r="Z59" s="51">
        <f t="shared" si="17"/>
        <v>85100</v>
      </c>
      <c r="AA59" s="51">
        <f t="shared" si="17"/>
        <v>80525</v>
      </c>
      <c r="AB59" s="51">
        <f t="shared" si="17"/>
        <v>0</v>
      </c>
      <c r="AC59" s="51">
        <f t="shared" si="17"/>
        <v>165625</v>
      </c>
    </row>
    <row r="60" spans="1:29" ht="15.75" customHeight="1">
      <c r="A60" s="35"/>
      <c r="B60" s="4"/>
      <c r="C60" s="75" t="s">
        <v>171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7"/>
      <c r="S60" s="58"/>
      <c r="T60" s="52" t="s">
        <v>35</v>
      </c>
      <c r="U60" s="51"/>
      <c r="V60" s="51"/>
      <c r="W60" s="51"/>
      <c r="X60" s="51"/>
      <c r="Y60" s="51"/>
      <c r="Z60" s="51"/>
      <c r="AA60" s="51"/>
      <c r="AB60" s="51"/>
      <c r="AC60" s="51"/>
    </row>
    <row r="61" spans="1:29" ht="12.75">
      <c r="A61" s="35">
        <v>3121</v>
      </c>
      <c r="B61" s="4">
        <v>301</v>
      </c>
      <c r="C61" s="70" t="s">
        <v>186</v>
      </c>
      <c r="D61" s="41">
        <v>4733.85</v>
      </c>
      <c r="E61" s="41">
        <f>42.65+905+82.14</f>
        <v>1029.79</v>
      </c>
      <c r="F61" s="41">
        <f>149</f>
        <v>149</v>
      </c>
      <c r="G61" s="45"/>
      <c r="H61" s="41">
        <f aca="true" t="shared" si="18" ref="H61:H124">D61+E61+F61+G61</f>
        <v>5912.64</v>
      </c>
      <c r="I61" s="41"/>
      <c r="J61" s="41"/>
      <c r="K61" s="41"/>
      <c r="L61" s="41">
        <f aca="true" t="shared" si="19" ref="L61:L124">J61+K61</f>
        <v>0</v>
      </c>
      <c r="M61" s="41"/>
      <c r="N61" s="41">
        <v>402.61</v>
      </c>
      <c r="O61" s="41">
        <f>80.25</f>
        <v>80.25</v>
      </c>
      <c r="P61" s="41">
        <f>N61+O61</f>
        <v>482.86</v>
      </c>
      <c r="Q61" s="41"/>
      <c r="R61" s="35">
        <v>3121</v>
      </c>
      <c r="S61" s="4">
        <v>301</v>
      </c>
      <c r="T61" s="70" t="s">
        <v>6</v>
      </c>
      <c r="U61" s="41"/>
      <c r="V61" s="41">
        <f>1500</f>
        <v>1500</v>
      </c>
      <c r="W61" s="41"/>
      <c r="X61" s="41">
        <f aca="true" t="shared" si="20" ref="X61:X124">SUM(U61:W61)</f>
        <v>1500</v>
      </c>
      <c r="Y61" s="41"/>
      <c r="Z61" s="41"/>
      <c r="AA61" s="41"/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0" t="s">
        <v>187</v>
      </c>
      <c r="D62" s="41">
        <v>6146.52</v>
      </c>
      <c r="E62" s="41">
        <f>102.6+1397+48.95</f>
        <v>1548.55</v>
      </c>
      <c r="F62" s="41">
        <f>235</f>
        <v>235</v>
      </c>
      <c r="G62" s="45"/>
      <c r="H62" s="41">
        <f t="shared" si="18"/>
        <v>7930.070000000001</v>
      </c>
      <c r="I62" s="41"/>
      <c r="J62" s="41"/>
      <c r="K62" s="41"/>
      <c r="L62" s="41">
        <f t="shared" si="19"/>
        <v>0</v>
      </c>
      <c r="M62" s="41"/>
      <c r="N62" s="41">
        <v>303.43</v>
      </c>
      <c r="O62" s="41">
        <f>32.77</f>
        <v>32.77</v>
      </c>
      <c r="P62" s="41">
        <f aca="true" t="shared" si="22" ref="P62:P125">N62+O62</f>
        <v>336.2</v>
      </c>
      <c r="Q62" s="41"/>
      <c r="R62" s="35">
        <v>3121</v>
      </c>
      <c r="S62" s="4">
        <v>302</v>
      </c>
      <c r="T62" s="70" t="s">
        <v>84</v>
      </c>
      <c r="U62" s="41">
        <v>1500</v>
      </c>
      <c r="V62" s="41">
        <f>367</f>
        <v>367</v>
      </c>
      <c r="W62" s="41"/>
      <c r="X62" s="41">
        <f t="shared" si="20"/>
        <v>1867</v>
      </c>
      <c r="Y62" s="41"/>
      <c r="Z62" s="41"/>
      <c r="AA62" s="41">
        <f>1773+4000</f>
        <v>5773</v>
      </c>
      <c r="AB62" s="41"/>
      <c r="AC62" s="41">
        <f t="shared" si="21"/>
        <v>5773</v>
      </c>
    </row>
    <row r="63" spans="1:29" ht="12.75">
      <c r="A63" s="35">
        <v>3127</v>
      </c>
      <c r="B63" s="4">
        <v>303</v>
      </c>
      <c r="C63" s="70" t="s">
        <v>188</v>
      </c>
      <c r="D63" s="41">
        <v>3923.74</v>
      </c>
      <c r="E63" s="41">
        <f>208.4+1422+690.02+102</f>
        <v>2422.42</v>
      </c>
      <c r="F63" s="41">
        <f>118.5</f>
        <v>118.5</v>
      </c>
      <c r="G63" s="45"/>
      <c r="H63" s="41">
        <f t="shared" si="18"/>
        <v>6464.66</v>
      </c>
      <c r="I63" s="41"/>
      <c r="J63" s="41"/>
      <c r="K63" s="41">
        <f>44.2</f>
        <v>44.2</v>
      </c>
      <c r="L63" s="41">
        <f t="shared" si="19"/>
        <v>44.2</v>
      </c>
      <c r="M63" s="41"/>
      <c r="N63" s="41">
        <v>776.22</v>
      </c>
      <c r="O63" s="41">
        <f>670.77</f>
        <v>670.77</v>
      </c>
      <c r="P63" s="41">
        <f t="shared" si="22"/>
        <v>1446.99</v>
      </c>
      <c r="Q63" s="41"/>
      <c r="R63" s="35">
        <v>3127</v>
      </c>
      <c r="S63" s="4">
        <v>303</v>
      </c>
      <c r="T63" s="70" t="s">
        <v>124</v>
      </c>
      <c r="U63" s="41"/>
      <c r="V63" s="41">
        <f>1127</f>
        <v>1127</v>
      </c>
      <c r="W63" s="41"/>
      <c r="X63" s="41">
        <f t="shared" si="20"/>
        <v>1127</v>
      </c>
      <c r="Y63" s="41"/>
      <c r="Z63" s="41"/>
      <c r="AA63" s="41"/>
      <c r="AB63" s="41"/>
      <c r="AC63" s="41">
        <f t="shared" si="21"/>
        <v>0</v>
      </c>
    </row>
    <row r="64" spans="1:29" ht="12.75">
      <c r="A64" s="35">
        <v>3122</v>
      </c>
      <c r="B64" s="4">
        <v>305</v>
      </c>
      <c r="C64" s="84" t="s">
        <v>213</v>
      </c>
      <c r="D64" s="41">
        <v>4920.51</v>
      </c>
      <c r="E64" s="41">
        <f>112.3+921+173.03</f>
        <v>1206.33</v>
      </c>
      <c r="F64" s="41">
        <f>114.85</f>
        <v>114.85</v>
      </c>
      <c r="G64" s="45"/>
      <c r="H64" s="41">
        <f t="shared" si="18"/>
        <v>6241.6900000000005</v>
      </c>
      <c r="I64" s="41"/>
      <c r="J64" s="41"/>
      <c r="K64" s="41"/>
      <c r="L64" s="41">
        <f t="shared" si="19"/>
        <v>0</v>
      </c>
      <c r="M64" s="41"/>
      <c r="N64" s="41">
        <v>327.23</v>
      </c>
      <c r="O64" s="41">
        <f>-26.2</f>
        <v>-26.2</v>
      </c>
      <c r="P64" s="41">
        <f t="shared" si="22"/>
        <v>301.03000000000003</v>
      </c>
      <c r="Q64" s="41"/>
      <c r="R64" s="35">
        <v>3122</v>
      </c>
      <c r="S64" s="4">
        <v>305</v>
      </c>
      <c r="T64" s="70" t="s">
        <v>85</v>
      </c>
      <c r="U64" s="41"/>
      <c r="V64" s="41"/>
      <c r="W64" s="41"/>
      <c r="X64" s="41">
        <f t="shared" si="20"/>
        <v>0</v>
      </c>
      <c r="Y64" s="41"/>
      <c r="Z64" s="41">
        <v>8000</v>
      </c>
      <c r="AA64" s="41">
        <f>522</f>
        <v>522</v>
      </c>
      <c r="AB64" s="41"/>
      <c r="AC64" s="41">
        <f t="shared" si="21"/>
        <v>8522</v>
      </c>
    </row>
    <row r="65" spans="1:29" ht="12.75">
      <c r="A65" s="35">
        <v>3122</v>
      </c>
      <c r="B65" s="4">
        <v>307</v>
      </c>
      <c r="C65" s="70" t="s">
        <v>208</v>
      </c>
      <c r="D65" s="41">
        <v>5182.3</v>
      </c>
      <c r="E65" s="41">
        <f>95+1323+85.83</f>
        <v>1503.83</v>
      </c>
      <c r="F65" s="41">
        <f>118.5</f>
        <v>118.5</v>
      </c>
      <c r="G65" s="45"/>
      <c r="H65" s="41">
        <f t="shared" si="18"/>
        <v>6804.63</v>
      </c>
      <c r="I65" s="41"/>
      <c r="J65" s="41">
        <v>185</v>
      </c>
      <c r="K65" s="41"/>
      <c r="L65" s="41">
        <f t="shared" si="19"/>
        <v>185</v>
      </c>
      <c r="M65" s="41"/>
      <c r="N65" s="41">
        <v>799.35</v>
      </c>
      <c r="O65" s="41">
        <f>69.2</f>
        <v>69.2</v>
      </c>
      <c r="P65" s="41">
        <f t="shared" si="22"/>
        <v>868.5500000000001</v>
      </c>
      <c r="Q65" s="41"/>
      <c r="R65" s="35">
        <v>3122</v>
      </c>
      <c r="S65" s="4">
        <v>307</v>
      </c>
      <c r="T65" s="70" t="s">
        <v>86</v>
      </c>
      <c r="U65" s="41"/>
      <c r="V65" s="45">
        <f>6721</f>
        <v>6721</v>
      </c>
      <c r="W65" s="41"/>
      <c r="X65" s="41">
        <f t="shared" si="20"/>
        <v>6721</v>
      </c>
      <c r="Y65" s="41"/>
      <c r="Z65" s="41">
        <v>5000</v>
      </c>
      <c r="AA65" s="45">
        <f>-5000+1500</f>
        <v>-3500</v>
      </c>
      <c r="AB65" s="41"/>
      <c r="AC65" s="41">
        <f t="shared" si="21"/>
        <v>1500</v>
      </c>
    </row>
    <row r="66" spans="1:29" ht="12.75">
      <c r="A66" s="35">
        <v>3127</v>
      </c>
      <c r="B66" s="4">
        <v>308</v>
      </c>
      <c r="C66" s="70" t="s">
        <v>215</v>
      </c>
      <c r="D66" s="41">
        <v>15307.8</v>
      </c>
      <c r="E66" s="41">
        <f>75+2474+2613.27</f>
        <v>5162.27</v>
      </c>
      <c r="F66" s="41">
        <f>160</f>
        <v>160</v>
      </c>
      <c r="G66" s="45"/>
      <c r="H66" s="41">
        <f t="shared" si="18"/>
        <v>20630.07</v>
      </c>
      <c r="I66" s="41"/>
      <c r="J66" s="41"/>
      <c r="K66" s="45">
        <f>55+1715</f>
        <v>1770</v>
      </c>
      <c r="L66" s="41">
        <f t="shared" si="19"/>
        <v>1770</v>
      </c>
      <c r="M66" s="41"/>
      <c r="N66" s="41">
        <v>1669.39</v>
      </c>
      <c r="O66" s="41">
        <f>490.22</f>
        <v>490.22</v>
      </c>
      <c r="P66" s="41">
        <f t="shared" si="22"/>
        <v>2159.61</v>
      </c>
      <c r="Q66" s="41"/>
      <c r="R66" s="35">
        <v>3127</v>
      </c>
      <c r="S66" s="4">
        <v>308</v>
      </c>
      <c r="T66" s="70" t="s">
        <v>87</v>
      </c>
      <c r="U66" s="41"/>
      <c r="V66" s="41"/>
      <c r="W66" s="41"/>
      <c r="X66" s="41">
        <f t="shared" si="20"/>
        <v>0</v>
      </c>
      <c r="Y66" s="41"/>
      <c r="Z66" s="41"/>
      <c r="AA66" s="41"/>
      <c r="AB66" s="41"/>
      <c r="AC66" s="41">
        <f t="shared" si="21"/>
        <v>0</v>
      </c>
    </row>
    <row r="67" spans="1:29" ht="25.5" customHeight="1">
      <c r="A67" s="35">
        <v>3127</v>
      </c>
      <c r="B67" s="4">
        <v>309</v>
      </c>
      <c r="C67" s="84" t="s">
        <v>207</v>
      </c>
      <c r="D67" s="41">
        <v>9952.4</v>
      </c>
      <c r="E67" s="41">
        <f>125.4+1562+1850.22</f>
        <v>3537.62</v>
      </c>
      <c r="F67" s="41">
        <f>118</f>
        <v>118</v>
      </c>
      <c r="G67" s="45">
        <f>36.3</f>
        <v>36.3</v>
      </c>
      <c r="H67" s="41">
        <f t="shared" si="18"/>
        <v>13644.32</v>
      </c>
      <c r="I67" s="41"/>
      <c r="J67" s="41"/>
      <c r="K67" s="41">
        <f>14095.77</f>
        <v>14095.77</v>
      </c>
      <c r="L67" s="41">
        <f t="shared" si="19"/>
        <v>14095.77</v>
      </c>
      <c r="M67" s="41"/>
      <c r="N67" s="41">
        <v>2572.63</v>
      </c>
      <c r="O67" s="41">
        <f>437.71</f>
        <v>437.71</v>
      </c>
      <c r="P67" s="41">
        <f t="shared" si="22"/>
        <v>3010.34</v>
      </c>
      <c r="Q67" s="41"/>
      <c r="R67" s="35">
        <v>3127</v>
      </c>
      <c r="S67" s="4">
        <v>309</v>
      </c>
      <c r="T67" s="70" t="s">
        <v>38</v>
      </c>
      <c r="U67" s="41"/>
      <c r="V67" s="41"/>
      <c r="W67" s="41"/>
      <c r="X67" s="41">
        <f t="shared" si="20"/>
        <v>0</v>
      </c>
      <c r="Y67" s="41"/>
      <c r="Z67" s="41"/>
      <c r="AA67" s="41">
        <f>142</f>
        <v>142</v>
      </c>
      <c r="AB67" s="41"/>
      <c r="AC67" s="41">
        <f t="shared" si="21"/>
        <v>142</v>
      </c>
    </row>
    <row r="68" spans="1:29" ht="12.75">
      <c r="A68" s="35">
        <v>3122</v>
      </c>
      <c r="B68" s="4">
        <v>312</v>
      </c>
      <c r="C68" s="70" t="s">
        <v>203</v>
      </c>
      <c r="D68" s="41">
        <v>6500.22</v>
      </c>
      <c r="E68" s="41">
        <f>540+20.61</f>
        <v>560.61</v>
      </c>
      <c r="F68" s="41">
        <f>201</f>
        <v>201</v>
      </c>
      <c r="G68" s="45"/>
      <c r="H68" s="41">
        <f t="shared" si="18"/>
        <v>7261.83</v>
      </c>
      <c r="I68" s="41"/>
      <c r="J68" s="41"/>
      <c r="K68" s="41"/>
      <c r="L68" s="41">
        <f t="shared" si="19"/>
        <v>0</v>
      </c>
      <c r="M68" s="41"/>
      <c r="N68" s="41">
        <v>1328.11</v>
      </c>
      <c r="O68" s="41">
        <f>4.51</f>
        <v>4.51</v>
      </c>
      <c r="P68" s="41">
        <f t="shared" si="22"/>
        <v>1332.62</v>
      </c>
      <c r="Q68" s="41"/>
      <c r="R68" s="35">
        <v>3122</v>
      </c>
      <c r="S68" s="4">
        <v>312</v>
      </c>
      <c r="T68" s="70" t="s">
        <v>88</v>
      </c>
      <c r="U68" s="41"/>
      <c r="V68" s="41"/>
      <c r="W68" s="41"/>
      <c r="X68" s="41">
        <f t="shared" si="20"/>
        <v>0</v>
      </c>
      <c r="Y68" s="41"/>
      <c r="Z68" s="41"/>
      <c r="AA68" s="41"/>
      <c r="AB68" s="41"/>
      <c r="AC68" s="41">
        <f t="shared" si="21"/>
        <v>0</v>
      </c>
    </row>
    <row r="69" spans="1:29" ht="12.75">
      <c r="A69" s="35">
        <v>3122</v>
      </c>
      <c r="B69" s="4">
        <v>314</v>
      </c>
      <c r="C69" s="70" t="s">
        <v>231</v>
      </c>
      <c r="D69" s="41">
        <v>7757.25</v>
      </c>
      <c r="E69" s="41">
        <f>35+875-140.81</f>
        <v>769.19</v>
      </c>
      <c r="F69" s="41">
        <f>185.5</f>
        <v>185.5</v>
      </c>
      <c r="G69" s="45"/>
      <c r="H69" s="41">
        <f t="shared" si="18"/>
        <v>8711.94</v>
      </c>
      <c r="I69" s="41"/>
      <c r="J69" s="41"/>
      <c r="K69" s="41">
        <f>80</f>
        <v>80</v>
      </c>
      <c r="L69" s="41">
        <f t="shared" si="19"/>
        <v>80</v>
      </c>
      <c r="M69" s="41"/>
      <c r="N69" s="41">
        <v>1020.46</v>
      </c>
      <c r="O69" s="41">
        <f>-125.3</f>
        <v>-125.3</v>
      </c>
      <c r="P69" s="41">
        <f t="shared" si="22"/>
        <v>895.1600000000001</v>
      </c>
      <c r="Q69" s="41"/>
      <c r="R69" s="35">
        <v>3122</v>
      </c>
      <c r="S69" s="4">
        <v>314</v>
      </c>
      <c r="T69" s="70" t="s">
        <v>89</v>
      </c>
      <c r="U69" s="41"/>
      <c r="V69" s="41"/>
      <c r="W69" s="41"/>
      <c r="X69" s="41">
        <f t="shared" si="20"/>
        <v>0</v>
      </c>
      <c r="Y69" s="41"/>
      <c r="Z69" s="41">
        <v>1000</v>
      </c>
      <c r="AA69" s="41">
        <f>1150+1500</f>
        <v>2650</v>
      </c>
      <c r="AB69" s="41"/>
      <c r="AC69" s="41">
        <f t="shared" si="21"/>
        <v>3650</v>
      </c>
    </row>
    <row r="70" spans="1:29" ht="12.75" customHeight="1">
      <c r="A70" s="35">
        <v>3127</v>
      </c>
      <c r="B70" s="5">
        <v>317</v>
      </c>
      <c r="C70" s="84" t="s">
        <v>226</v>
      </c>
      <c r="D70" s="41">
        <v>7867.44</v>
      </c>
      <c r="E70" s="46">
        <f>1445+28.94</f>
        <v>1473.94</v>
      </c>
      <c r="F70" s="46">
        <f>70.5</f>
        <v>70.5</v>
      </c>
      <c r="G70" s="53"/>
      <c r="H70" s="41">
        <f t="shared" si="18"/>
        <v>9411.88</v>
      </c>
      <c r="I70" s="46"/>
      <c r="J70" s="41"/>
      <c r="K70" s="46">
        <f>110</f>
        <v>110</v>
      </c>
      <c r="L70" s="41">
        <f t="shared" si="19"/>
        <v>110</v>
      </c>
      <c r="M70" s="46"/>
      <c r="N70" s="41">
        <v>1096.36</v>
      </c>
      <c r="O70" s="46">
        <f>23.27</f>
        <v>23.27</v>
      </c>
      <c r="P70" s="41">
        <f t="shared" si="22"/>
        <v>1119.6299999999999</v>
      </c>
      <c r="Q70" s="46"/>
      <c r="R70" s="35">
        <v>3127</v>
      </c>
      <c r="S70" s="5">
        <v>317</v>
      </c>
      <c r="T70" s="71" t="s">
        <v>90</v>
      </c>
      <c r="U70" s="41"/>
      <c r="V70" s="46">
        <f>310</f>
        <v>310</v>
      </c>
      <c r="W70" s="46"/>
      <c r="X70" s="41">
        <f t="shared" si="20"/>
        <v>310</v>
      </c>
      <c r="Y70" s="46"/>
      <c r="Z70" s="41">
        <v>600</v>
      </c>
      <c r="AA70" s="46"/>
      <c r="AB70" s="46"/>
      <c r="AC70" s="41">
        <f t="shared" si="21"/>
        <v>600</v>
      </c>
    </row>
    <row r="71" spans="1:29" ht="12.75">
      <c r="A71" s="35">
        <v>3127</v>
      </c>
      <c r="B71" s="4">
        <v>318</v>
      </c>
      <c r="C71" s="70" t="s">
        <v>223</v>
      </c>
      <c r="D71" s="41">
        <v>11139.9</v>
      </c>
      <c r="E71" s="41">
        <f>45.1+2236+352.68</f>
        <v>2633.7799999999997</v>
      </c>
      <c r="F71" s="41">
        <f>183</f>
        <v>183</v>
      </c>
      <c r="G71" s="45"/>
      <c r="H71" s="41">
        <f t="shared" si="18"/>
        <v>13956.68</v>
      </c>
      <c r="I71" s="41"/>
      <c r="J71" s="41"/>
      <c r="K71" s="41"/>
      <c r="L71" s="41">
        <f t="shared" si="19"/>
        <v>0</v>
      </c>
      <c r="M71" s="41"/>
      <c r="N71" s="41">
        <v>899.07</v>
      </c>
      <c r="O71" s="41">
        <f>49.8</f>
        <v>49.8</v>
      </c>
      <c r="P71" s="41">
        <f t="shared" si="22"/>
        <v>948.87</v>
      </c>
      <c r="Q71" s="41"/>
      <c r="R71" s="35">
        <v>3127</v>
      </c>
      <c r="S71" s="4">
        <v>318</v>
      </c>
      <c r="T71" s="70" t="s">
        <v>91</v>
      </c>
      <c r="U71" s="41"/>
      <c r="V71" s="41"/>
      <c r="W71" s="41"/>
      <c r="X71" s="41">
        <f t="shared" si="20"/>
        <v>0</v>
      </c>
      <c r="Y71" s="41"/>
      <c r="Z71" s="41"/>
      <c r="AA71" s="41">
        <f>50</f>
        <v>50</v>
      </c>
      <c r="AB71" s="41"/>
      <c r="AC71" s="41">
        <f t="shared" si="21"/>
        <v>50</v>
      </c>
    </row>
    <row r="72" spans="1:29" ht="12.75">
      <c r="A72" s="35">
        <v>3124</v>
      </c>
      <c r="B72" s="4">
        <v>319</v>
      </c>
      <c r="C72" s="70" t="s">
        <v>220</v>
      </c>
      <c r="D72" s="41">
        <v>6802.45</v>
      </c>
      <c r="E72" s="41">
        <f>106.2+1109+435.95</f>
        <v>1651.15</v>
      </c>
      <c r="F72" s="41">
        <f>159.5</f>
        <v>159.5</v>
      </c>
      <c r="G72" s="45"/>
      <c r="H72" s="41">
        <f t="shared" si="18"/>
        <v>8613.1</v>
      </c>
      <c r="I72" s="41"/>
      <c r="J72" s="41"/>
      <c r="K72" s="41"/>
      <c r="L72" s="41">
        <f t="shared" si="19"/>
        <v>0</v>
      </c>
      <c r="M72" s="41"/>
      <c r="N72" s="41">
        <v>1573.17</v>
      </c>
      <c r="O72" s="41">
        <f>65.6</f>
        <v>65.6</v>
      </c>
      <c r="P72" s="41">
        <f t="shared" si="22"/>
        <v>1638.77</v>
      </c>
      <c r="Q72" s="41"/>
      <c r="R72" s="35">
        <v>3124</v>
      </c>
      <c r="S72" s="4">
        <v>319</v>
      </c>
      <c r="T72" s="70" t="s">
        <v>92</v>
      </c>
      <c r="U72" s="41"/>
      <c r="V72" s="41"/>
      <c r="W72" s="41"/>
      <c r="X72" s="41">
        <f t="shared" si="20"/>
        <v>0</v>
      </c>
      <c r="Y72" s="41"/>
      <c r="Z72" s="41"/>
      <c r="AA72" s="41"/>
      <c r="AB72" s="41"/>
      <c r="AC72" s="41">
        <f t="shared" si="21"/>
        <v>0</v>
      </c>
    </row>
    <row r="73" spans="1:29" ht="12.75">
      <c r="A73" s="35">
        <v>3114</v>
      </c>
      <c r="B73" s="4">
        <v>320</v>
      </c>
      <c r="C73" s="70" t="s">
        <v>199</v>
      </c>
      <c r="D73" s="41">
        <v>5616.1</v>
      </c>
      <c r="E73" s="41">
        <f>10+1030+78.64</f>
        <v>1118.64</v>
      </c>
      <c r="F73" s="41">
        <f>30</f>
        <v>30</v>
      </c>
      <c r="G73" s="45"/>
      <c r="H73" s="41">
        <f t="shared" si="18"/>
        <v>6764.740000000001</v>
      </c>
      <c r="I73" s="41"/>
      <c r="J73" s="41"/>
      <c r="K73" s="41"/>
      <c r="L73" s="41">
        <f t="shared" si="19"/>
        <v>0</v>
      </c>
      <c r="M73" s="41"/>
      <c r="N73" s="41">
        <v>655.48</v>
      </c>
      <c r="O73" s="41">
        <f>76.83</f>
        <v>76.83</v>
      </c>
      <c r="P73" s="41">
        <f t="shared" si="22"/>
        <v>732.3100000000001</v>
      </c>
      <c r="Q73" s="41"/>
      <c r="R73" s="35">
        <v>3114</v>
      </c>
      <c r="S73" s="4">
        <v>320</v>
      </c>
      <c r="T73" s="70" t="s">
        <v>93</v>
      </c>
      <c r="U73" s="41"/>
      <c r="V73" s="41"/>
      <c r="W73" s="41"/>
      <c r="X73" s="41">
        <f t="shared" si="20"/>
        <v>0</v>
      </c>
      <c r="Y73" s="41"/>
      <c r="Z73" s="41"/>
      <c r="AA73" s="41">
        <f>715+500</f>
        <v>1215</v>
      </c>
      <c r="AB73" s="41"/>
      <c r="AC73" s="41">
        <f t="shared" si="21"/>
        <v>1215</v>
      </c>
    </row>
    <row r="74" spans="1:29" ht="12.75">
      <c r="A74" s="35">
        <v>3114</v>
      </c>
      <c r="B74" s="4">
        <v>321</v>
      </c>
      <c r="C74" s="84" t="s">
        <v>233</v>
      </c>
      <c r="D74" s="41">
        <v>9967.82</v>
      </c>
      <c r="E74" s="41">
        <f>82.3+1615-69</f>
        <v>1628.3</v>
      </c>
      <c r="F74" s="41">
        <f>108</f>
        <v>108</v>
      </c>
      <c r="G74" s="45"/>
      <c r="H74" s="41">
        <f t="shared" si="18"/>
        <v>11704.119999999999</v>
      </c>
      <c r="I74" s="41"/>
      <c r="J74" s="41"/>
      <c r="K74" s="41"/>
      <c r="L74" s="41">
        <f t="shared" si="19"/>
        <v>0</v>
      </c>
      <c r="M74" s="41"/>
      <c r="N74" s="41">
        <v>1205.15</v>
      </c>
      <c r="O74" s="41">
        <f>-55.49</f>
        <v>-55.49</v>
      </c>
      <c r="P74" s="41">
        <f t="shared" si="22"/>
        <v>1149.66</v>
      </c>
      <c r="Q74" s="41"/>
      <c r="R74" s="35">
        <v>3114</v>
      </c>
      <c r="S74" s="4">
        <v>321</v>
      </c>
      <c r="T74" s="70" t="s">
        <v>83</v>
      </c>
      <c r="U74" s="41"/>
      <c r="V74" s="41"/>
      <c r="W74" s="41"/>
      <c r="X74" s="41">
        <f t="shared" si="20"/>
        <v>0</v>
      </c>
      <c r="Y74" s="41"/>
      <c r="Z74" s="41"/>
      <c r="AA74" s="41">
        <f>1500</f>
        <v>1500</v>
      </c>
      <c r="AB74" s="41"/>
      <c r="AC74" s="41">
        <f t="shared" si="21"/>
        <v>1500</v>
      </c>
    </row>
    <row r="75" spans="1:29" ht="12.75">
      <c r="A75" s="35">
        <v>3133</v>
      </c>
      <c r="B75" s="4">
        <v>322</v>
      </c>
      <c r="C75" s="70" t="s">
        <v>179</v>
      </c>
      <c r="D75" s="41">
        <v>4556.19</v>
      </c>
      <c r="E75" s="41">
        <f>319-31.72</f>
        <v>287.28</v>
      </c>
      <c r="F75" s="41">
        <f>35</f>
        <v>35</v>
      </c>
      <c r="G75" s="45"/>
      <c r="H75" s="41">
        <f t="shared" si="18"/>
        <v>4878.469999999999</v>
      </c>
      <c r="I75" s="41"/>
      <c r="J75" s="41"/>
      <c r="K75" s="41"/>
      <c r="L75" s="41">
        <f t="shared" si="19"/>
        <v>0</v>
      </c>
      <c r="M75" s="41"/>
      <c r="N75" s="41">
        <v>225.57</v>
      </c>
      <c r="O75" s="41">
        <f>-25.51</f>
        <v>-25.51</v>
      </c>
      <c r="P75" s="41">
        <f t="shared" si="22"/>
        <v>200.06</v>
      </c>
      <c r="Q75" s="41"/>
      <c r="R75" s="35">
        <v>3133</v>
      </c>
      <c r="S75" s="4">
        <v>322</v>
      </c>
      <c r="T75" s="70" t="s">
        <v>40</v>
      </c>
      <c r="U75" s="41"/>
      <c r="V75" s="45"/>
      <c r="W75" s="41"/>
      <c r="X75" s="41">
        <f t="shared" si="20"/>
        <v>0</v>
      </c>
      <c r="Y75" s="41"/>
      <c r="Z75" s="41"/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0" t="s">
        <v>241</v>
      </c>
      <c r="D76" s="41">
        <v>1321.93</v>
      </c>
      <c r="E76" s="41">
        <f>9.7+128-2.86</f>
        <v>134.83999999999997</v>
      </c>
      <c r="F76" s="41">
        <f>19</f>
        <v>19</v>
      </c>
      <c r="G76" s="45"/>
      <c r="H76" s="41">
        <f t="shared" si="18"/>
        <v>1475.77</v>
      </c>
      <c r="I76" s="41"/>
      <c r="J76" s="41"/>
      <c r="K76" s="41"/>
      <c r="L76" s="41">
        <f t="shared" si="19"/>
        <v>0</v>
      </c>
      <c r="M76" s="41"/>
      <c r="N76" s="41">
        <v>16.59</v>
      </c>
      <c r="O76" s="41">
        <f>-2.3</f>
        <v>-2.3</v>
      </c>
      <c r="P76" s="41">
        <f t="shared" si="22"/>
        <v>14.29</v>
      </c>
      <c r="Q76" s="41"/>
      <c r="R76" s="35">
        <v>3114</v>
      </c>
      <c r="S76" s="4">
        <v>325</v>
      </c>
      <c r="T76" s="70" t="s">
        <v>94</v>
      </c>
      <c r="U76" s="41"/>
      <c r="V76" s="41"/>
      <c r="W76" s="41"/>
      <c r="X76" s="41">
        <f t="shared" si="20"/>
        <v>0</v>
      </c>
      <c r="Y76" s="41"/>
      <c r="Z76" s="41"/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0" t="s">
        <v>234</v>
      </c>
      <c r="D77" s="41">
        <v>494.07</v>
      </c>
      <c r="E77" s="41">
        <f>9.9+14</f>
        <v>23.9</v>
      </c>
      <c r="F77" s="41">
        <f>54</f>
        <v>54</v>
      </c>
      <c r="G77" s="45"/>
      <c r="H77" s="41">
        <f t="shared" si="18"/>
        <v>571.97</v>
      </c>
      <c r="I77" s="41"/>
      <c r="J77" s="41"/>
      <c r="K77" s="41"/>
      <c r="L77" s="41">
        <f t="shared" si="19"/>
        <v>0</v>
      </c>
      <c r="M77" s="41"/>
      <c r="N77" s="41">
        <v>0.3</v>
      </c>
      <c r="O77" s="41"/>
      <c r="P77" s="41">
        <f t="shared" si="22"/>
        <v>0.3</v>
      </c>
      <c r="Q77" s="41"/>
      <c r="R77" s="35">
        <v>3114</v>
      </c>
      <c r="S77" s="4">
        <v>327</v>
      </c>
      <c r="T77" s="70" t="s">
        <v>95</v>
      </c>
      <c r="U77" s="41"/>
      <c r="V77" s="41"/>
      <c r="W77" s="41"/>
      <c r="X77" s="41">
        <f t="shared" si="20"/>
        <v>0</v>
      </c>
      <c r="Y77" s="41"/>
      <c r="Z77" s="41"/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0" t="s">
        <v>184</v>
      </c>
      <c r="D78" s="41">
        <v>5156.32</v>
      </c>
      <c r="E78" s="41">
        <f>1684-11.52</f>
        <v>1672.48</v>
      </c>
      <c r="F78" s="41">
        <f>112</f>
        <v>112</v>
      </c>
      <c r="G78" s="59"/>
      <c r="H78" s="41">
        <f t="shared" si="18"/>
        <v>6940.799999999999</v>
      </c>
      <c r="I78" s="41"/>
      <c r="J78" s="41"/>
      <c r="K78" s="41"/>
      <c r="L78" s="41">
        <f t="shared" si="19"/>
        <v>0</v>
      </c>
      <c r="M78" s="41"/>
      <c r="N78" s="41">
        <v>1195.18</v>
      </c>
      <c r="O78" s="41">
        <f>-9.27</f>
        <v>-9.27</v>
      </c>
      <c r="P78" s="41">
        <f t="shared" si="22"/>
        <v>1185.91</v>
      </c>
      <c r="Q78" s="41"/>
      <c r="R78" s="35">
        <v>3147</v>
      </c>
      <c r="S78" s="4">
        <v>332</v>
      </c>
      <c r="T78" s="70" t="s">
        <v>41</v>
      </c>
      <c r="U78" s="41"/>
      <c r="V78" s="41"/>
      <c r="W78" s="41"/>
      <c r="X78" s="41">
        <f t="shared" si="20"/>
        <v>0</v>
      </c>
      <c r="Y78" s="41"/>
      <c r="Z78" s="41">
        <v>4000</v>
      </c>
      <c r="AA78" s="45">
        <f>203</f>
        <v>203</v>
      </c>
      <c r="AB78" s="41"/>
      <c r="AC78" s="41">
        <f t="shared" si="21"/>
        <v>4203</v>
      </c>
    </row>
    <row r="79" spans="1:29" ht="12.75">
      <c r="A79" s="35">
        <v>3141</v>
      </c>
      <c r="B79" s="4">
        <v>335</v>
      </c>
      <c r="C79" s="70" t="s">
        <v>39</v>
      </c>
      <c r="D79" s="41">
        <v>2613.9</v>
      </c>
      <c r="E79" s="41">
        <f>487+43.28</f>
        <v>530.28</v>
      </c>
      <c r="F79" s="41"/>
      <c r="G79" s="45"/>
      <c r="H79" s="41">
        <f t="shared" si="18"/>
        <v>3144.1800000000003</v>
      </c>
      <c r="I79" s="41"/>
      <c r="J79" s="41"/>
      <c r="K79" s="42"/>
      <c r="L79" s="41">
        <f t="shared" si="19"/>
        <v>0</v>
      </c>
      <c r="M79" s="41"/>
      <c r="N79" s="41">
        <v>753.11</v>
      </c>
      <c r="O79" s="41">
        <f>41.78</f>
        <v>41.78</v>
      </c>
      <c r="P79" s="41">
        <f t="shared" si="22"/>
        <v>794.89</v>
      </c>
      <c r="Q79" s="41"/>
      <c r="R79" s="35">
        <v>3141</v>
      </c>
      <c r="S79" s="4">
        <v>335</v>
      </c>
      <c r="T79" s="70" t="s">
        <v>39</v>
      </c>
      <c r="U79" s="41"/>
      <c r="V79" s="41"/>
      <c r="W79" s="41"/>
      <c r="X79" s="41">
        <f t="shared" si="20"/>
        <v>0</v>
      </c>
      <c r="Y79" s="41"/>
      <c r="Z79" s="41"/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0" t="s">
        <v>190</v>
      </c>
      <c r="D80" s="41">
        <v>2883.3</v>
      </c>
      <c r="E80" s="41">
        <f>96+766-31.23</f>
        <v>830.77</v>
      </c>
      <c r="F80" s="41">
        <f>84</f>
        <v>84</v>
      </c>
      <c r="G80" s="45"/>
      <c r="H80" s="41">
        <f t="shared" si="18"/>
        <v>3798.07</v>
      </c>
      <c r="I80" s="41"/>
      <c r="J80" s="41"/>
      <c r="K80" s="41"/>
      <c r="L80" s="41">
        <f t="shared" si="19"/>
        <v>0</v>
      </c>
      <c r="M80" s="41"/>
      <c r="N80" s="41">
        <v>153.44</v>
      </c>
      <c r="O80" s="41">
        <f>-25.12</f>
        <v>-25.12</v>
      </c>
      <c r="P80" s="41">
        <f t="shared" si="22"/>
        <v>128.32</v>
      </c>
      <c r="Q80" s="41"/>
      <c r="R80" s="35">
        <v>3121</v>
      </c>
      <c r="S80" s="4">
        <v>338</v>
      </c>
      <c r="T80" s="70" t="s">
        <v>7</v>
      </c>
      <c r="U80" s="41"/>
      <c r="V80" s="45"/>
      <c r="W80" s="41"/>
      <c r="X80" s="41">
        <f t="shared" si="20"/>
        <v>0</v>
      </c>
      <c r="Y80" s="41"/>
      <c r="Z80" s="41">
        <v>3500</v>
      </c>
      <c r="AA80" s="41">
        <f>2111</f>
        <v>2111</v>
      </c>
      <c r="AB80" s="41"/>
      <c r="AC80" s="41">
        <f t="shared" si="21"/>
        <v>5611</v>
      </c>
    </row>
    <row r="81" spans="1:29" ht="12.75">
      <c r="A81" s="35">
        <v>3121</v>
      </c>
      <c r="B81" s="4">
        <v>339</v>
      </c>
      <c r="C81" s="70" t="s">
        <v>189</v>
      </c>
      <c r="D81" s="41">
        <v>3270.04</v>
      </c>
      <c r="E81" s="41">
        <f>55.5+900+22.42</f>
        <v>977.92</v>
      </c>
      <c r="F81" s="41">
        <f>53.5</f>
        <v>53.5</v>
      </c>
      <c r="G81" s="45"/>
      <c r="H81" s="41">
        <f t="shared" si="18"/>
        <v>4301.46</v>
      </c>
      <c r="I81" s="41"/>
      <c r="J81" s="41"/>
      <c r="K81" s="41"/>
      <c r="L81" s="41">
        <f t="shared" si="19"/>
        <v>0</v>
      </c>
      <c r="M81" s="41"/>
      <c r="N81" s="41">
        <v>205.1</v>
      </c>
      <c r="O81" s="41">
        <f>18.02</f>
        <v>18.02</v>
      </c>
      <c r="P81" s="41">
        <f t="shared" si="22"/>
        <v>223.12</v>
      </c>
      <c r="Q81" s="41"/>
      <c r="R81" s="35">
        <v>3121</v>
      </c>
      <c r="S81" s="4">
        <v>339</v>
      </c>
      <c r="T81" s="70" t="s">
        <v>96</v>
      </c>
      <c r="U81" s="41"/>
      <c r="V81" s="45"/>
      <c r="W81" s="41"/>
      <c r="X81" s="41">
        <f t="shared" si="20"/>
        <v>0</v>
      </c>
      <c r="Y81" s="41"/>
      <c r="Z81" s="41"/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0" t="s">
        <v>195</v>
      </c>
      <c r="D82" s="41">
        <v>4172.75</v>
      </c>
      <c r="E82" s="41">
        <f>109.2+1599+15.36</f>
        <v>1723.56</v>
      </c>
      <c r="F82" s="41">
        <f>200</f>
        <v>200</v>
      </c>
      <c r="G82" s="45"/>
      <c r="H82" s="41">
        <f t="shared" si="18"/>
        <v>6096.3099999999995</v>
      </c>
      <c r="I82" s="41"/>
      <c r="J82" s="41"/>
      <c r="K82" s="41"/>
      <c r="L82" s="41">
        <f t="shared" si="19"/>
        <v>0</v>
      </c>
      <c r="M82" s="41"/>
      <c r="N82" s="41">
        <v>458.5</v>
      </c>
      <c r="O82" s="41">
        <f>12.35</f>
        <v>12.35</v>
      </c>
      <c r="P82" s="41">
        <f t="shared" si="22"/>
        <v>470.85</v>
      </c>
      <c r="Q82" s="41"/>
      <c r="R82" s="35">
        <v>3121</v>
      </c>
      <c r="S82" s="4">
        <v>340</v>
      </c>
      <c r="T82" s="70" t="s">
        <v>8</v>
      </c>
      <c r="U82" s="41">
        <v>3400</v>
      </c>
      <c r="V82" s="45">
        <f>102</f>
        <v>102</v>
      </c>
      <c r="W82" s="41"/>
      <c r="X82" s="41">
        <f t="shared" si="20"/>
        <v>3502</v>
      </c>
      <c r="Y82" s="41"/>
      <c r="Z82" s="41"/>
      <c r="AA82" s="41"/>
      <c r="AB82" s="41"/>
      <c r="AC82" s="41">
        <f t="shared" si="21"/>
        <v>0</v>
      </c>
    </row>
    <row r="83" spans="1:29" ht="12.75">
      <c r="A83" s="35">
        <v>3127</v>
      </c>
      <c r="B83" s="4">
        <v>345</v>
      </c>
      <c r="C83" s="70" t="s">
        <v>214</v>
      </c>
      <c r="D83" s="41">
        <v>16411.3</v>
      </c>
      <c r="E83" s="41">
        <f>457.3+6056+971.76-272.8</f>
        <v>7212.26</v>
      </c>
      <c r="F83" s="41">
        <f>53</f>
        <v>53</v>
      </c>
      <c r="G83" s="45"/>
      <c r="H83" s="41">
        <f t="shared" si="18"/>
        <v>23676.559999999998</v>
      </c>
      <c r="I83" s="41"/>
      <c r="J83" s="41"/>
      <c r="K83" s="41"/>
      <c r="L83" s="41">
        <f t="shared" si="19"/>
        <v>0</v>
      </c>
      <c r="M83" s="41"/>
      <c r="N83" s="41">
        <v>2369.9</v>
      </c>
      <c r="O83" s="41">
        <f>-21.99</f>
        <v>-21.99</v>
      </c>
      <c r="P83" s="41">
        <f t="shared" si="22"/>
        <v>2347.9100000000003</v>
      </c>
      <c r="Q83" s="41"/>
      <c r="R83" s="35">
        <v>3127</v>
      </c>
      <c r="S83" s="4">
        <v>345</v>
      </c>
      <c r="T83" s="70" t="s">
        <v>120</v>
      </c>
      <c r="U83" s="41"/>
      <c r="V83" s="41"/>
      <c r="W83" s="41"/>
      <c r="X83" s="41">
        <f t="shared" si="20"/>
        <v>0</v>
      </c>
      <c r="Y83" s="41"/>
      <c r="Z83" s="41"/>
      <c r="AA83" s="41">
        <f>1346</f>
        <v>1346</v>
      </c>
      <c r="AB83" s="41"/>
      <c r="AC83" s="41">
        <f t="shared" si="21"/>
        <v>1346</v>
      </c>
    </row>
    <row r="84" spans="1:29" ht="12.75">
      <c r="A84" s="35">
        <v>3114</v>
      </c>
      <c r="B84" s="4">
        <v>346</v>
      </c>
      <c r="C84" s="70" t="s">
        <v>183</v>
      </c>
      <c r="D84" s="41">
        <v>3899.75</v>
      </c>
      <c r="E84" s="41">
        <f>10+532-62.55</f>
        <v>479.45</v>
      </c>
      <c r="F84" s="41">
        <f>65</f>
        <v>65</v>
      </c>
      <c r="G84" s="45"/>
      <c r="H84" s="41">
        <f t="shared" si="18"/>
        <v>4444.2</v>
      </c>
      <c r="I84" s="41"/>
      <c r="J84" s="41"/>
      <c r="K84" s="41"/>
      <c r="L84" s="41">
        <f t="shared" si="19"/>
        <v>0</v>
      </c>
      <c r="M84" s="41"/>
      <c r="N84" s="41">
        <v>429.71</v>
      </c>
      <c r="O84" s="41">
        <f>-50.31</f>
        <v>-50.31</v>
      </c>
      <c r="P84" s="41">
        <f t="shared" si="22"/>
        <v>379.4</v>
      </c>
      <c r="Q84" s="41"/>
      <c r="R84" s="35">
        <v>3114</v>
      </c>
      <c r="S84" s="4">
        <v>346</v>
      </c>
      <c r="T84" s="70" t="s">
        <v>97</v>
      </c>
      <c r="U84" s="41"/>
      <c r="V84" s="41"/>
      <c r="W84" s="41"/>
      <c r="X84" s="41">
        <f t="shared" si="20"/>
        <v>0</v>
      </c>
      <c r="Y84" s="41"/>
      <c r="Z84" s="41">
        <v>2500</v>
      </c>
      <c r="AA84" s="41">
        <f>153</f>
        <v>153</v>
      </c>
      <c r="AB84" s="41"/>
      <c r="AC84" s="41">
        <f t="shared" si="21"/>
        <v>2653</v>
      </c>
    </row>
    <row r="85" spans="1:29" ht="12.75" customHeight="1">
      <c r="A85" s="35">
        <v>3114</v>
      </c>
      <c r="B85" s="4">
        <v>347</v>
      </c>
      <c r="C85" s="71" t="s">
        <v>238</v>
      </c>
      <c r="D85" s="41">
        <v>1901.84</v>
      </c>
      <c r="E85" s="41">
        <f>10+245+12.84</f>
        <v>267.84</v>
      </c>
      <c r="F85" s="41">
        <f>25.8</f>
        <v>25.8</v>
      </c>
      <c r="G85" s="45"/>
      <c r="H85" s="41">
        <f t="shared" si="18"/>
        <v>2195.48</v>
      </c>
      <c r="I85" s="41"/>
      <c r="J85" s="41"/>
      <c r="K85" s="41"/>
      <c r="L85" s="41">
        <f t="shared" si="19"/>
        <v>0</v>
      </c>
      <c r="M85" s="41"/>
      <c r="N85" s="41">
        <v>168.18</v>
      </c>
      <c r="O85" s="41">
        <f>10.32</f>
        <v>10.32</v>
      </c>
      <c r="P85" s="41">
        <f t="shared" si="22"/>
        <v>178.5</v>
      </c>
      <c r="Q85" s="41"/>
      <c r="R85" s="35">
        <v>3114</v>
      </c>
      <c r="S85" s="4">
        <v>347</v>
      </c>
      <c r="T85" s="71" t="s">
        <v>98</v>
      </c>
      <c r="U85" s="41"/>
      <c r="V85" s="41"/>
      <c r="W85" s="41"/>
      <c r="X85" s="41">
        <f t="shared" si="20"/>
        <v>0</v>
      </c>
      <c r="Y85" s="41"/>
      <c r="Z85" s="41"/>
      <c r="AA85" s="41"/>
      <c r="AB85" s="41"/>
      <c r="AC85" s="41">
        <f t="shared" si="21"/>
        <v>0</v>
      </c>
    </row>
    <row r="86" spans="1:29" ht="12.75" customHeight="1">
      <c r="A86" s="35">
        <v>3133</v>
      </c>
      <c r="B86" s="4">
        <v>349</v>
      </c>
      <c r="C86" s="70" t="s">
        <v>42</v>
      </c>
      <c r="D86" s="41">
        <v>6958.2</v>
      </c>
      <c r="E86" s="41">
        <f>821+30.39</f>
        <v>851.39</v>
      </c>
      <c r="F86" s="41"/>
      <c r="G86" s="45"/>
      <c r="H86" s="41">
        <f t="shared" si="18"/>
        <v>7809.59</v>
      </c>
      <c r="I86" s="41"/>
      <c r="J86" s="41"/>
      <c r="K86" s="41"/>
      <c r="L86" s="41">
        <f t="shared" si="19"/>
        <v>0</v>
      </c>
      <c r="M86" s="41"/>
      <c r="N86" s="41">
        <v>431.04</v>
      </c>
      <c r="O86" s="41">
        <f>29.34</f>
        <v>29.34</v>
      </c>
      <c r="P86" s="41">
        <f t="shared" si="22"/>
        <v>460.38</v>
      </c>
      <c r="Q86" s="41"/>
      <c r="R86" s="35">
        <v>3133</v>
      </c>
      <c r="S86" s="4">
        <v>349</v>
      </c>
      <c r="T86" s="70" t="s">
        <v>42</v>
      </c>
      <c r="U86" s="41"/>
      <c r="V86" s="41"/>
      <c r="W86" s="41"/>
      <c r="X86" s="41">
        <f t="shared" si="20"/>
        <v>0</v>
      </c>
      <c r="Y86" s="41"/>
      <c r="Z86" s="41"/>
      <c r="AA86" s="41"/>
      <c r="AB86" s="41"/>
      <c r="AC86" s="41">
        <f t="shared" si="21"/>
        <v>0</v>
      </c>
    </row>
    <row r="87" spans="1:29" ht="24.75" customHeight="1">
      <c r="A87" s="35">
        <v>3294</v>
      </c>
      <c r="B87" s="1">
        <v>352</v>
      </c>
      <c r="C87" s="84" t="s">
        <v>170</v>
      </c>
      <c r="D87" s="41">
        <f>7728.42+1843</f>
        <v>9571.42</v>
      </c>
      <c r="E87" s="45">
        <f>185+7.69</f>
        <v>192.69</v>
      </c>
      <c r="F87" s="41"/>
      <c r="G87" s="45">
        <f>500</f>
        <v>500</v>
      </c>
      <c r="H87" s="41">
        <f t="shared" si="18"/>
        <v>10264.11</v>
      </c>
      <c r="I87" s="41"/>
      <c r="J87" s="41"/>
      <c r="K87" s="41"/>
      <c r="L87" s="41">
        <f t="shared" si="19"/>
        <v>0</v>
      </c>
      <c r="M87" s="41"/>
      <c r="N87" s="41">
        <v>12.4</v>
      </c>
      <c r="O87" s="41">
        <f>6.18</f>
        <v>6.18</v>
      </c>
      <c r="P87" s="41">
        <f t="shared" si="22"/>
        <v>18.58</v>
      </c>
      <c r="Q87" s="41"/>
      <c r="R87" s="35">
        <v>3294</v>
      </c>
      <c r="S87" s="1">
        <v>352</v>
      </c>
      <c r="T87" s="84" t="s">
        <v>154</v>
      </c>
      <c r="U87" s="41"/>
      <c r="V87" s="41"/>
      <c r="W87" s="41"/>
      <c r="X87" s="41">
        <f t="shared" si="20"/>
        <v>0</v>
      </c>
      <c r="Y87" s="41"/>
      <c r="Z87" s="41"/>
      <c r="AA87" s="41"/>
      <c r="AB87" s="41"/>
      <c r="AC87" s="41">
        <f t="shared" si="21"/>
        <v>0</v>
      </c>
    </row>
    <row r="88" spans="1:29" ht="12.75" customHeight="1">
      <c r="A88" s="35">
        <v>3114</v>
      </c>
      <c r="B88" s="4">
        <v>358</v>
      </c>
      <c r="C88" s="70" t="s">
        <v>235</v>
      </c>
      <c r="D88" s="41">
        <v>1254.24</v>
      </c>
      <c r="E88" s="41">
        <f>10+343+4.8</f>
        <v>357.8</v>
      </c>
      <c r="F88" s="41">
        <f>49</f>
        <v>49</v>
      </c>
      <c r="G88" s="45"/>
      <c r="H88" s="41">
        <f t="shared" si="18"/>
        <v>1661.04</v>
      </c>
      <c r="I88" s="41"/>
      <c r="J88" s="41"/>
      <c r="K88" s="41"/>
      <c r="L88" s="41">
        <f t="shared" si="19"/>
        <v>0</v>
      </c>
      <c r="M88" s="41"/>
      <c r="N88" s="41">
        <v>100.88</v>
      </c>
      <c r="O88" s="41">
        <f>3.86</f>
        <v>3.86</v>
      </c>
      <c r="P88" s="41">
        <f t="shared" si="22"/>
        <v>104.74</v>
      </c>
      <c r="Q88" s="41"/>
      <c r="R88" s="35">
        <v>3114</v>
      </c>
      <c r="S88" s="4">
        <v>358</v>
      </c>
      <c r="T88" s="70" t="s">
        <v>121</v>
      </c>
      <c r="U88" s="41"/>
      <c r="V88" s="41"/>
      <c r="W88" s="41"/>
      <c r="X88" s="41">
        <f t="shared" si="20"/>
        <v>0</v>
      </c>
      <c r="Y88" s="41"/>
      <c r="Z88" s="41"/>
      <c r="AA88" s="41">
        <f>500</f>
        <v>500</v>
      </c>
      <c r="AB88" s="41"/>
      <c r="AC88" s="41">
        <f t="shared" si="21"/>
        <v>500</v>
      </c>
    </row>
    <row r="89" spans="1:29" ht="12.75" customHeight="1">
      <c r="A89" s="35">
        <v>3114</v>
      </c>
      <c r="B89" s="4">
        <v>363</v>
      </c>
      <c r="C89" s="70" t="s">
        <v>205</v>
      </c>
      <c r="D89" s="41">
        <v>4210.09</v>
      </c>
      <c r="E89" s="41">
        <f>20+476+41.34</f>
        <v>537.34</v>
      </c>
      <c r="F89" s="41">
        <f>58</f>
        <v>58</v>
      </c>
      <c r="G89" s="45"/>
      <c r="H89" s="41">
        <f t="shared" si="18"/>
        <v>4805.43</v>
      </c>
      <c r="I89" s="41"/>
      <c r="J89" s="41"/>
      <c r="K89" s="41"/>
      <c r="L89" s="41">
        <f t="shared" si="19"/>
        <v>0</v>
      </c>
      <c r="M89" s="41"/>
      <c r="N89" s="41">
        <v>242.85</v>
      </c>
      <c r="O89" s="41">
        <f>39.91</f>
        <v>39.91</v>
      </c>
      <c r="P89" s="41">
        <f t="shared" si="22"/>
        <v>282.76</v>
      </c>
      <c r="Q89" s="41"/>
      <c r="R89" s="35">
        <v>3114</v>
      </c>
      <c r="S89" s="4">
        <v>363</v>
      </c>
      <c r="T89" s="70" t="s">
        <v>150</v>
      </c>
      <c r="U89" s="41"/>
      <c r="V89" s="41"/>
      <c r="W89" s="41"/>
      <c r="X89" s="41">
        <f t="shared" si="20"/>
        <v>0</v>
      </c>
      <c r="Y89" s="41"/>
      <c r="Z89" s="41"/>
      <c r="AA89" s="41">
        <f>120</f>
        <v>120</v>
      </c>
      <c r="AB89" s="41"/>
      <c r="AC89" s="41">
        <f t="shared" si="21"/>
        <v>120</v>
      </c>
    </row>
    <row r="90" spans="1:29" ht="12.75" customHeight="1">
      <c r="A90" s="35">
        <v>3121</v>
      </c>
      <c r="B90" s="4">
        <v>367</v>
      </c>
      <c r="C90" s="71" t="s">
        <v>191</v>
      </c>
      <c r="D90" s="41">
        <v>4638.35</v>
      </c>
      <c r="E90" s="41">
        <f>86.1+1198+6.56</f>
        <v>1290.6599999999999</v>
      </c>
      <c r="F90" s="41">
        <f>85.5</f>
        <v>85.5</v>
      </c>
      <c r="G90" s="45"/>
      <c r="H90" s="41">
        <f t="shared" si="18"/>
        <v>6014.51</v>
      </c>
      <c r="I90" s="41"/>
      <c r="J90" s="41"/>
      <c r="K90" s="41"/>
      <c r="L90" s="41">
        <f t="shared" si="19"/>
        <v>0</v>
      </c>
      <c r="M90" s="41"/>
      <c r="N90" s="41">
        <v>429.95</v>
      </c>
      <c r="O90" s="41">
        <f>5.27</f>
        <v>5.27</v>
      </c>
      <c r="P90" s="41">
        <f t="shared" si="22"/>
        <v>435.21999999999997</v>
      </c>
      <c r="Q90" s="41"/>
      <c r="R90" s="35">
        <v>3121</v>
      </c>
      <c r="S90" s="4">
        <v>367</v>
      </c>
      <c r="T90" s="71" t="s">
        <v>125</v>
      </c>
      <c r="U90" s="41"/>
      <c r="V90" s="41">
        <f>50</f>
        <v>50</v>
      </c>
      <c r="W90" s="41"/>
      <c r="X90" s="41">
        <f t="shared" si="20"/>
        <v>50</v>
      </c>
      <c r="Y90" s="41"/>
      <c r="Z90" s="41"/>
      <c r="AA90" s="41">
        <f>2000</f>
        <v>2000</v>
      </c>
      <c r="AB90" s="41"/>
      <c r="AC90" s="41">
        <f t="shared" si="21"/>
        <v>2000</v>
      </c>
    </row>
    <row r="91" spans="1:29" ht="12.75" customHeight="1">
      <c r="A91" s="35">
        <v>3121</v>
      </c>
      <c r="B91" s="4">
        <v>368</v>
      </c>
      <c r="C91" s="70" t="s">
        <v>192</v>
      </c>
      <c r="D91" s="41">
        <v>2788.42</v>
      </c>
      <c r="E91" s="46">
        <f>68.3+535-1.2</f>
        <v>602.0999999999999</v>
      </c>
      <c r="F91" s="46">
        <f>58.5</f>
        <v>58.5</v>
      </c>
      <c r="G91" s="53"/>
      <c r="H91" s="41">
        <f t="shared" si="18"/>
        <v>3449.02</v>
      </c>
      <c r="I91" s="46"/>
      <c r="J91" s="41"/>
      <c r="K91" s="46"/>
      <c r="L91" s="41">
        <f t="shared" si="19"/>
        <v>0</v>
      </c>
      <c r="M91" s="46"/>
      <c r="N91" s="41">
        <v>415.13</v>
      </c>
      <c r="O91" s="46">
        <f>-0.97</f>
        <v>-0.97</v>
      </c>
      <c r="P91" s="41">
        <f t="shared" si="22"/>
        <v>414.15999999999997</v>
      </c>
      <c r="Q91" s="46"/>
      <c r="R91" s="35">
        <v>3121</v>
      </c>
      <c r="S91" s="4">
        <v>368</v>
      </c>
      <c r="T91" s="70" t="s">
        <v>9</v>
      </c>
      <c r="U91" s="41"/>
      <c r="V91" s="46"/>
      <c r="W91" s="46"/>
      <c r="X91" s="41">
        <f t="shared" si="20"/>
        <v>0</v>
      </c>
      <c r="Y91" s="46"/>
      <c r="Z91" s="41"/>
      <c r="AA91" s="46"/>
      <c r="AB91" s="46"/>
      <c r="AC91" s="41">
        <f t="shared" si="21"/>
        <v>0</v>
      </c>
    </row>
    <row r="92" spans="1:29" ht="12.75" customHeight="1">
      <c r="A92" s="35">
        <v>3122</v>
      </c>
      <c r="B92" s="5">
        <v>370</v>
      </c>
      <c r="C92" s="71" t="s">
        <v>210</v>
      </c>
      <c r="D92" s="41">
        <v>3679.2</v>
      </c>
      <c r="E92" s="50">
        <f>115+588+266.53</f>
        <v>969.53</v>
      </c>
      <c r="F92" s="41">
        <f>51.5</f>
        <v>51.5</v>
      </c>
      <c r="G92" s="45"/>
      <c r="H92" s="41">
        <f t="shared" si="18"/>
        <v>4700.23</v>
      </c>
      <c r="I92" s="41"/>
      <c r="J92" s="41"/>
      <c r="K92" s="41"/>
      <c r="L92" s="41">
        <f t="shared" si="19"/>
        <v>0</v>
      </c>
      <c r="M92" s="41"/>
      <c r="N92" s="41">
        <v>432.65</v>
      </c>
      <c r="O92" s="41">
        <f>9.03</f>
        <v>9.03</v>
      </c>
      <c r="P92" s="41">
        <f t="shared" si="22"/>
        <v>441.67999999999995</v>
      </c>
      <c r="Q92" s="41"/>
      <c r="R92" s="35">
        <v>3122</v>
      </c>
      <c r="S92" s="5">
        <v>370</v>
      </c>
      <c r="T92" s="71" t="s">
        <v>126</v>
      </c>
      <c r="U92" s="41"/>
      <c r="V92" s="41"/>
      <c r="W92" s="41"/>
      <c r="X92" s="41">
        <f t="shared" si="20"/>
        <v>0</v>
      </c>
      <c r="Y92" s="41"/>
      <c r="Z92" s="41">
        <v>5000</v>
      </c>
      <c r="AA92" s="41">
        <f>2719+1000</f>
        <v>3719</v>
      </c>
      <c r="AB92" s="41"/>
      <c r="AC92" s="41">
        <f t="shared" si="21"/>
        <v>8719</v>
      </c>
    </row>
    <row r="93" spans="1:29" ht="12.75" customHeight="1">
      <c r="A93" s="35">
        <v>3122</v>
      </c>
      <c r="B93" s="4">
        <v>371</v>
      </c>
      <c r="C93" s="71" t="s">
        <v>202</v>
      </c>
      <c r="D93" s="41">
        <v>3213.58</v>
      </c>
      <c r="E93" s="41">
        <f>91.3+690-27.9</f>
        <v>753.4</v>
      </c>
      <c r="F93" s="41">
        <f>198</f>
        <v>198</v>
      </c>
      <c r="G93" s="45"/>
      <c r="H93" s="41">
        <f t="shared" si="18"/>
        <v>4164.98</v>
      </c>
      <c r="I93" s="41"/>
      <c r="J93" s="41"/>
      <c r="K93" s="41"/>
      <c r="L93" s="41">
        <f t="shared" si="19"/>
        <v>0</v>
      </c>
      <c r="M93" s="41"/>
      <c r="N93" s="41">
        <v>163.95</v>
      </c>
      <c r="O93" s="41">
        <f>-34.5</f>
        <v>-34.5</v>
      </c>
      <c r="P93" s="41">
        <f t="shared" si="22"/>
        <v>129.45</v>
      </c>
      <c r="Q93" s="41"/>
      <c r="R93" s="35">
        <v>3122</v>
      </c>
      <c r="S93" s="4">
        <v>371</v>
      </c>
      <c r="T93" s="71" t="s">
        <v>99</v>
      </c>
      <c r="U93" s="41"/>
      <c r="V93" s="50"/>
      <c r="W93" s="41"/>
      <c r="X93" s="41">
        <f t="shared" si="20"/>
        <v>0</v>
      </c>
      <c r="Y93" s="41"/>
      <c r="Z93" s="41"/>
      <c r="AA93" s="45">
        <f>287</f>
        <v>287</v>
      </c>
      <c r="AB93" s="45"/>
      <c r="AC93" s="41">
        <f t="shared" si="21"/>
        <v>287</v>
      </c>
    </row>
    <row r="94" spans="1:29" ht="12.75" customHeight="1">
      <c r="A94" s="35">
        <v>3127</v>
      </c>
      <c r="B94" s="4">
        <v>372</v>
      </c>
      <c r="C94" s="71" t="s">
        <v>228</v>
      </c>
      <c r="D94" s="41">
        <v>7079.1</v>
      </c>
      <c r="E94" s="41">
        <f>107.5+1880+909.82</f>
        <v>2897.32</v>
      </c>
      <c r="F94" s="41">
        <f>78</f>
        <v>78</v>
      </c>
      <c r="G94" s="45"/>
      <c r="H94" s="41">
        <f t="shared" si="18"/>
        <v>10054.42</v>
      </c>
      <c r="I94" s="41"/>
      <c r="J94" s="41">
        <v>185</v>
      </c>
      <c r="K94" s="41"/>
      <c r="L94" s="41">
        <f t="shared" si="19"/>
        <v>185</v>
      </c>
      <c r="M94" s="41"/>
      <c r="N94" s="41">
        <v>1286.36</v>
      </c>
      <c r="O94" s="41">
        <f>69.38</f>
        <v>69.38</v>
      </c>
      <c r="P94" s="41">
        <f t="shared" si="22"/>
        <v>1355.7399999999998</v>
      </c>
      <c r="Q94" s="41"/>
      <c r="R94" s="35">
        <v>3127</v>
      </c>
      <c r="S94" s="4">
        <v>372</v>
      </c>
      <c r="T94" s="71" t="s">
        <v>122</v>
      </c>
      <c r="U94" s="41"/>
      <c r="V94" s="41"/>
      <c r="W94" s="41"/>
      <c r="X94" s="41">
        <f t="shared" si="20"/>
        <v>0</v>
      </c>
      <c r="Y94" s="41"/>
      <c r="Z94" s="41"/>
      <c r="AA94" s="45"/>
      <c r="AB94" s="45"/>
      <c r="AC94" s="41">
        <f t="shared" si="21"/>
        <v>0</v>
      </c>
    </row>
    <row r="95" spans="1:29" ht="12.75" customHeight="1">
      <c r="A95" s="35">
        <v>3133</v>
      </c>
      <c r="B95" s="4">
        <v>374</v>
      </c>
      <c r="C95" s="70" t="s">
        <v>58</v>
      </c>
      <c r="D95" s="41">
        <v>2681.02</v>
      </c>
      <c r="E95" s="41">
        <f>221</f>
        <v>221</v>
      </c>
      <c r="F95" s="41"/>
      <c r="G95" s="45"/>
      <c r="H95" s="41">
        <f t="shared" si="18"/>
        <v>2902.02</v>
      </c>
      <c r="I95" s="41"/>
      <c r="J95" s="41"/>
      <c r="K95" s="41"/>
      <c r="L95" s="41">
        <f t="shared" si="19"/>
        <v>0</v>
      </c>
      <c r="M95" s="41"/>
      <c r="N95" s="41">
        <v>156.99</v>
      </c>
      <c r="O95" s="41"/>
      <c r="P95" s="41">
        <f t="shared" si="22"/>
        <v>156.99</v>
      </c>
      <c r="Q95" s="41"/>
      <c r="R95" s="35">
        <v>3133</v>
      </c>
      <c r="S95" s="4">
        <v>374</v>
      </c>
      <c r="T95" s="70" t="s">
        <v>58</v>
      </c>
      <c r="U95" s="41"/>
      <c r="V95" s="41"/>
      <c r="W95" s="41"/>
      <c r="X95" s="41">
        <f t="shared" si="20"/>
        <v>0</v>
      </c>
      <c r="Y95" s="41"/>
      <c r="Z95" s="41"/>
      <c r="AA95" s="41"/>
      <c r="AB95" s="41"/>
      <c r="AC95" s="41">
        <f t="shared" si="21"/>
        <v>0</v>
      </c>
    </row>
    <row r="96" spans="1:29" ht="12.75" customHeight="1">
      <c r="A96" s="35">
        <v>3114</v>
      </c>
      <c r="B96" s="4">
        <v>379</v>
      </c>
      <c r="C96" s="70" t="s">
        <v>240</v>
      </c>
      <c r="D96" s="41">
        <v>698.81</v>
      </c>
      <c r="E96" s="41">
        <f>10+232+4.12</f>
        <v>246.12</v>
      </c>
      <c r="F96" s="41">
        <f>52</f>
        <v>52</v>
      </c>
      <c r="G96" s="45"/>
      <c r="H96" s="41">
        <f t="shared" si="18"/>
        <v>996.93</v>
      </c>
      <c r="I96" s="41"/>
      <c r="J96" s="41"/>
      <c r="K96" s="41"/>
      <c r="L96" s="41">
        <f t="shared" si="19"/>
        <v>0</v>
      </c>
      <c r="M96" s="41"/>
      <c r="N96" s="41">
        <v>44.64</v>
      </c>
      <c r="O96" s="41">
        <f>3.31</f>
        <v>3.31</v>
      </c>
      <c r="P96" s="41">
        <f t="shared" si="22"/>
        <v>47.95</v>
      </c>
      <c r="Q96" s="41"/>
      <c r="R96" s="35">
        <v>3114</v>
      </c>
      <c r="S96" s="4">
        <v>379</v>
      </c>
      <c r="T96" s="70" t="s">
        <v>48</v>
      </c>
      <c r="U96" s="41"/>
      <c r="V96" s="41"/>
      <c r="W96" s="41"/>
      <c r="X96" s="41">
        <f t="shared" si="20"/>
        <v>0</v>
      </c>
      <c r="Y96" s="41"/>
      <c r="Z96" s="41"/>
      <c r="AA96" s="41">
        <f>642</f>
        <v>642</v>
      </c>
      <c r="AB96" s="41"/>
      <c r="AC96" s="41">
        <f t="shared" si="21"/>
        <v>642</v>
      </c>
    </row>
    <row r="97" spans="1:29" ht="12.75" customHeight="1">
      <c r="A97" s="35">
        <v>3133</v>
      </c>
      <c r="B97" s="4">
        <v>380</v>
      </c>
      <c r="C97" s="70" t="s">
        <v>180</v>
      </c>
      <c r="D97" s="41">
        <v>4133.68</v>
      </c>
      <c r="E97" s="41">
        <f>258+20.04</f>
        <v>278.04</v>
      </c>
      <c r="F97" s="41">
        <f>31</f>
        <v>31</v>
      </c>
      <c r="G97" s="45"/>
      <c r="H97" s="41">
        <f t="shared" si="18"/>
        <v>4442.72</v>
      </c>
      <c r="I97" s="41"/>
      <c r="J97" s="41"/>
      <c r="K97" s="41"/>
      <c r="L97" s="41">
        <f t="shared" si="19"/>
        <v>0</v>
      </c>
      <c r="M97" s="41"/>
      <c r="N97" s="41">
        <v>179.15</v>
      </c>
      <c r="O97" s="41">
        <f>16.11</f>
        <v>16.11</v>
      </c>
      <c r="P97" s="41">
        <f t="shared" si="22"/>
        <v>195.26</v>
      </c>
      <c r="Q97" s="41"/>
      <c r="R97" s="35">
        <v>3133</v>
      </c>
      <c r="S97" s="4">
        <v>380</v>
      </c>
      <c r="T97" s="70" t="s">
        <v>43</v>
      </c>
      <c r="U97" s="41"/>
      <c r="V97" s="41"/>
      <c r="W97" s="41"/>
      <c r="X97" s="41">
        <f t="shared" si="20"/>
        <v>0</v>
      </c>
      <c r="Y97" s="41"/>
      <c r="Z97" s="41"/>
      <c r="AA97" s="41"/>
      <c r="AB97" s="41"/>
      <c r="AC97" s="41">
        <f t="shared" si="21"/>
        <v>0</v>
      </c>
    </row>
    <row r="98" spans="1:29" ht="12.75" customHeight="1">
      <c r="A98" s="35">
        <v>3114</v>
      </c>
      <c r="B98" s="4">
        <v>381</v>
      </c>
      <c r="C98" s="70" t="s">
        <v>237</v>
      </c>
      <c r="D98" s="41">
        <v>2019.28</v>
      </c>
      <c r="E98" s="41">
        <f>20+509+7.81</f>
        <v>536.81</v>
      </c>
      <c r="F98" s="41">
        <f>73.5</f>
        <v>73.5</v>
      </c>
      <c r="G98" s="45"/>
      <c r="H98" s="41">
        <f t="shared" si="18"/>
        <v>2629.59</v>
      </c>
      <c r="I98" s="41"/>
      <c r="J98" s="41"/>
      <c r="K98" s="41"/>
      <c r="L98" s="41">
        <f t="shared" si="19"/>
        <v>0</v>
      </c>
      <c r="M98" s="41"/>
      <c r="N98" s="41">
        <v>2.32</v>
      </c>
      <c r="O98" s="41">
        <f>6.28</f>
        <v>6.28</v>
      </c>
      <c r="P98" s="41">
        <f t="shared" si="22"/>
        <v>8.6</v>
      </c>
      <c r="Q98" s="41"/>
      <c r="R98" s="35">
        <v>3114</v>
      </c>
      <c r="S98" s="4">
        <v>381</v>
      </c>
      <c r="T98" s="70" t="s">
        <v>100</v>
      </c>
      <c r="U98" s="41"/>
      <c r="V98" s="41"/>
      <c r="W98" s="41"/>
      <c r="X98" s="41">
        <f t="shared" si="20"/>
        <v>0</v>
      </c>
      <c r="Y98" s="41"/>
      <c r="Z98" s="41"/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0" t="s">
        <v>197</v>
      </c>
      <c r="D99" s="41">
        <v>3791.94</v>
      </c>
      <c r="E99" s="41">
        <f>103.5+573+23.38</f>
        <v>699.88</v>
      </c>
      <c r="F99" s="41">
        <f>44</f>
        <v>44</v>
      </c>
      <c r="G99" s="45"/>
      <c r="H99" s="41">
        <f t="shared" si="18"/>
        <v>4535.82</v>
      </c>
      <c r="I99" s="41"/>
      <c r="J99" s="41"/>
      <c r="K99" s="50"/>
      <c r="L99" s="41">
        <f t="shared" si="19"/>
        <v>0</v>
      </c>
      <c r="M99" s="41"/>
      <c r="N99" s="41">
        <v>304.25</v>
      </c>
      <c r="O99" s="41">
        <f>6.73</f>
        <v>6.73</v>
      </c>
      <c r="P99" s="41">
        <f t="shared" si="22"/>
        <v>310.98</v>
      </c>
      <c r="Q99" s="41"/>
      <c r="R99" s="35">
        <v>3121</v>
      </c>
      <c r="S99" s="4">
        <v>390</v>
      </c>
      <c r="T99" s="70" t="s">
        <v>26</v>
      </c>
      <c r="U99" s="41"/>
      <c r="V99" s="41">
        <f>300</f>
        <v>300</v>
      </c>
      <c r="W99" s="41"/>
      <c r="X99" s="41">
        <f t="shared" si="20"/>
        <v>300</v>
      </c>
      <c r="Y99" s="41"/>
      <c r="Z99" s="41"/>
      <c r="AA99" s="41"/>
      <c r="AB99" s="41"/>
      <c r="AC99" s="41">
        <f t="shared" si="21"/>
        <v>0</v>
      </c>
    </row>
    <row r="100" spans="1:29" ht="12.75" customHeight="1">
      <c r="A100" s="35">
        <v>3127</v>
      </c>
      <c r="B100" s="4">
        <v>392</v>
      </c>
      <c r="C100" s="71" t="s">
        <v>185</v>
      </c>
      <c r="D100" s="41">
        <v>4489.41</v>
      </c>
      <c r="E100" s="41">
        <f>105+1483+37.63</f>
        <v>1625.63</v>
      </c>
      <c r="F100" s="41">
        <f>132</f>
        <v>132</v>
      </c>
      <c r="G100" s="45"/>
      <c r="H100" s="41">
        <f t="shared" si="18"/>
        <v>6247.04</v>
      </c>
      <c r="I100" s="41"/>
      <c r="J100" s="41"/>
      <c r="K100" s="41"/>
      <c r="L100" s="41">
        <f t="shared" si="19"/>
        <v>0</v>
      </c>
      <c r="M100" s="41"/>
      <c r="N100" s="41">
        <v>988.98</v>
      </c>
      <c r="O100" s="41">
        <f>18.19</f>
        <v>18.19</v>
      </c>
      <c r="P100" s="41">
        <f t="shared" si="22"/>
        <v>1007.1700000000001</v>
      </c>
      <c r="Q100" s="41"/>
      <c r="R100" s="35">
        <v>3127</v>
      </c>
      <c r="S100" s="4">
        <v>392</v>
      </c>
      <c r="T100" s="71" t="s">
        <v>101</v>
      </c>
      <c r="U100" s="41"/>
      <c r="V100" s="41">
        <f>1300</f>
        <v>1300</v>
      </c>
      <c r="W100" s="41"/>
      <c r="X100" s="41">
        <f t="shared" si="20"/>
        <v>1300</v>
      </c>
      <c r="Y100" s="41"/>
      <c r="Z100" s="41"/>
      <c r="AA100" s="41">
        <f>23</f>
        <v>23</v>
      </c>
      <c r="AB100" s="41"/>
      <c r="AC100" s="41">
        <f t="shared" si="21"/>
        <v>23</v>
      </c>
    </row>
    <row r="101" spans="1:29" ht="12.75" customHeight="1">
      <c r="A101" s="35">
        <v>3122</v>
      </c>
      <c r="B101" s="4">
        <v>393</v>
      </c>
      <c r="C101" s="70" t="s">
        <v>198</v>
      </c>
      <c r="D101" s="41">
        <v>2417.77</v>
      </c>
      <c r="E101" s="41">
        <f>35+591+23.57</f>
        <v>649.57</v>
      </c>
      <c r="F101" s="41">
        <f>46.5</f>
        <v>46.5</v>
      </c>
      <c r="G101" s="45"/>
      <c r="H101" s="41">
        <f t="shared" si="18"/>
        <v>3113.84</v>
      </c>
      <c r="I101" s="41"/>
      <c r="J101" s="41"/>
      <c r="K101" s="41">
        <f>53</f>
        <v>53</v>
      </c>
      <c r="L101" s="41">
        <f t="shared" si="19"/>
        <v>53</v>
      </c>
      <c r="M101" s="41"/>
      <c r="N101" s="41">
        <v>361.45</v>
      </c>
      <c r="O101" s="41">
        <f>6.89</f>
        <v>6.89</v>
      </c>
      <c r="P101" s="41">
        <f t="shared" si="22"/>
        <v>368.34</v>
      </c>
      <c r="Q101" s="41"/>
      <c r="R101" s="35">
        <v>3122</v>
      </c>
      <c r="S101" s="4">
        <v>393</v>
      </c>
      <c r="T101" s="70" t="s">
        <v>10</v>
      </c>
      <c r="U101" s="41"/>
      <c r="V101" s="41">
        <f>200</f>
        <v>200</v>
      </c>
      <c r="W101" s="41"/>
      <c r="X101" s="41">
        <f t="shared" si="20"/>
        <v>200</v>
      </c>
      <c r="Y101" s="41"/>
      <c r="Z101" s="41"/>
      <c r="AA101" s="41">
        <f>1000</f>
        <v>1000</v>
      </c>
      <c r="AB101" s="41"/>
      <c r="AC101" s="41">
        <f t="shared" si="21"/>
        <v>1000</v>
      </c>
    </row>
    <row r="102" spans="1:29" ht="12.75" customHeight="1">
      <c r="A102" s="35">
        <v>3127</v>
      </c>
      <c r="B102" s="4">
        <v>394</v>
      </c>
      <c r="C102" s="70" t="s">
        <v>229</v>
      </c>
      <c r="D102" s="41">
        <v>6025.6</v>
      </c>
      <c r="E102" s="41">
        <f>112.3+2020+1292.07</f>
        <v>3424.37</v>
      </c>
      <c r="F102" s="41">
        <f>171</f>
        <v>171</v>
      </c>
      <c r="G102" s="45"/>
      <c r="H102" s="41">
        <f t="shared" si="18"/>
        <v>9620.970000000001</v>
      </c>
      <c r="I102" s="41"/>
      <c r="J102" s="41"/>
      <c r="K102" s="41"/>
      <c r="L102" s="41">
        <f t="shared" si="19"/>
        <v>0</v>
      </c>
      <c r="M102" s="41"/>
      <c r="N102" s="41">
        <v>984.71</v>
      </c>
      <c r="O102" s="41">
        <f>275.09</f>
        <v>275.09</v>
      </c>
      <c r="P102" s="41">
        <f t="shared" si="22"/>
        <v>1259.8</v>
      </c>
      <c r="Q102" s="41"/>
      <c r="R102" s="35">
        <v>3127</v>
      </c>
      <c r="S102" s="4">
        <v>394</v>
      </c>
      <c r="T102" s="70" t="s">
        <v>127</v>
      </c>
      <c r="U102" s="41"/>
      <c r="V102" s="41">
        <f>219+4000</f>
        <v>4219</v>
      </c>
      <c r="W102" s="41"/>
      <c r="X102" s="41">
        <f t="shared" si="20"/>
        <v>4219</v>
      </c>
      <c r="Y102" s="41"/>
      <c r="Z102" s="41">
        <v>6500</v>
      </c>
      <c r="AA102" s="41">
        <f>2208</f>
        <v>2208</v>
      </c>
      <c r="AB102" s="41"/>
      <c r="AC102" s="41">
        <f t="shared" si="21"/>
        <v>8708</v>
      </c>
    </row>
    <row r="103" spans="1:29" ht="12.75" customHeight="1">
      <c r="A103" s="35">
        <v>3122</v>
      </c>
      <c r="B103" s="4">
        <v>395</v>
      </c>
      <c r="C103" s="70" t="s">
        <v>227</v>
      </c>
      <c r="D103" s="41">
        <v>4085.1</v>
      </c>
      <c r="E103" s="41">
        <f>237.7+1305+143.67+208.7</f>
        <v>1895.0700000000002</v>
      </c>
      <c r="F103" s="41">
        <f>65.3</f>
        <v>65.3</v>
      </c>
      <c r="G103" s="45"/>
      <c r="H103" s="41">
        <f t="shared" si="18"/>
        <v>6045.47</v>
      </c>
      <c r="I103" s="41"/>
      <c r="J103" s="41"/>
      <c r="K103" s="41">
        <f>100</f>
        <v>100</v>
      </c>
      <c r="L103" s="41">
        <f t="shared" si="19"/>
        <v>100</v>
      </c>
      <c r="M103" s="41"/>
      <c r="N103" s="41">
        <v>726.97</v>
      </c>
      <c r="O103" s="41">
        <f>6.73</f>
        <v>6.73</v>
      </c>
      <c r="P103" s="41">
        <f t="shared" si="22"/>
        <v>733.7</v>
      </c>
      <c r="Q103" s="41"/>
      <c r="R103" s="35">
        <v>3122</v>
      </c>
      <c r="S103" s="4">
        <v>395</v>
      </c>
      <c r="T103" s="70" t="s">
        <v>143</v>
      </c>
      <c r="U103" s="41"/>
      <c r="V103" s="41"/>
      <c r="W103" s="41"/>
      <c r="X103" s="41">
        <f t="shared" si="20"/>
        <v>0</v>
      </c>
      <c r="Y103" s="41"/>
      <c r="Z103" s="41">
        <v>8000</v>
      </c>
      <c r="AA103" s="41">
        <f>4517+1000</f>
        <v>5517</v>
      </c>
      <c r="AB103" s="41"/>
      <c r="AC103" s="41">
        <f t="shared" si="21"/>
        <v>13517</v>
      </c>
    </row>
    <row r="104" spans="1:29" ht="12.75" customHeight="1">
      <c r="A104" s="35">
        <v>3127</v>
      </c>
      <c r="B104" s="4">
        <v>397</v>
      </c>
      <c r="C104" s="71" t="s">
        <v>225</v>
      </c>
      <c r="D104" s="41">
        <v>6731.98</v>
      </c>
      <c r="E104" s="41">
        <f>90+3245+283.69</f>
        <v>3618.69</v>
      </c>
      <c r="F104" s="41">
        <f>62</f>
        <v>62</v>
      </c>
      <c r="G104" s="45"/>
      <c r="H104" s="41">
        <f t="shared" si="18"/>
        <v>10412.67</v>
      </c>
      <c r="I104" s="41"/>
      <c r="J104" s="41"/>
      <c r="K104" s="41"/>
      <c r="L104" s="41">
        <f t="shared" si="19"/>
        <v>0</v>
      </c>
      <c r="M104" s="41"/>
      <c r="N104" s="41">
        <v>1285.14</v>
      </c>
      <c r="O104" s="41">
        <f>-68.45</f>
        <v>-68.45</v>
      </c>
      <c r="P104" s="41">
        <f t="shared" si="22"/>
        <v>1216.69</v>
      </c>
      <c r="Q104" s="41"/>
      <c r="R104" s="35">
        <v>3127</v>
      </c>
      <c r="S104" s="4">
        <v>397</v>
      </c>
      <c r="T104" s="71" t="s">
        <v>102</v>
      </c>
      <c r="U104" s="41"/>
      <c r="V104" s="41"/>
      <c r="W104" s="41"/>
      <c r="X104" s="41">
        <f t="shared" si="20"/>
        <v>0</v>
      </c>
      <c r="Y104" s="41"/>
      <c r="Z104" s="41"/>
      <c r="AA104" s="41"/>
      <c r="AB104" s="41"/>
      <c r="AC104" s="41">
        <f t="shared" si="21"/>
        <v>0</v>
      </c>
    </row>
    <row r="105" spans="1:29" ht="12.75" customHeight="1">
      <c r="A105" s="35">
        <v>3127</v>
      </c>
      <c r="B105" s="4">
        <v>400</v>
      </c>
      <c r="C105" s="71" t="s">
        <v>218</v>
      </c>
      <c r="D105" s="41">
        <v>6192.4</v>
      </c>
      <c r="E105" s="41">
        <f>70.49+787+343.14</f>
        <v>1200.63</v>
      </c>
      <c r="F105" s="41">
        <f>123.2</f>
        <v>123.2</v>
      </c>
      <c r="G105" s="45"/>
      <c r="H105" s="41">
        <f t="shared" si="18"/>
        <v>7516.23</v>
      </c>
      <c r="I105" s="41"/>
      <c r="J105" s="41"/>
      <c r="K105" s="41"/>
      <c r="L105" s="41">
        <f t="shared" si="19"/>
        <v>0</v>
      </c>
      <c r="M105" s="41"/>
      <c r="N105" s="41">
        <v>735.02</v>
      </c>
      <c r="O105" s="41">
        <f>256.4</f>
        <v>256.4</v>
      </c>
      <c r="P105" s="41">
        <f t="shared" si="22"/>
        <v>991.42</v>
      </c>
      <c r="Q105" s="41"/>
      <c r="R105" s="35">
        <v>3127</v>
      </c>
      <c r="S105" s="4">
        <v>400</v>
      </c>
      <c r="T105" s="71" t="s">
        <v>103</v>
      </c>
      <c r="U105" s="41"/>
      <c r="V105" s="41"/>
      <c r="W105" s="41"/>
      <c r="X105" s="41">
        <f t="shared" si="20"/>
        <v>0</v>
      </c>
      <c r="Y105" s="41"/>
      <c r="Z105" s="41">
        <v>13000</v>
      </c>
      <c r="AA105" s="41">
        <f>10549+10000</f>
        <v>20549</v>
      </c>
      <c r="AB105" s="41"/>
      <c r="AC105" s="41">
        <f t="shared" si="21"/>
        <v>33549</v>
      </c>
    </row>
    <row r="106" spans="1:29" ht="12.75" customHeight="1">
      <c r="A106" s="35">
        <v>3124</v>
      </c>
      <c r="B106" s="4">
        <v>401</v>
      </c>
      <c r="C106" s="70" t="s">
        <v>221</v>
      </c>
      <c r="D106" s="41">
        <v>3518.81</v>
      </c>
      <c r="E106" s="41">
        <f>38.6+1023+636.18</f>
        <v>1697.7799999999997</v>
      </c>
      <c r="F106" s="41">
        <f>22</f>
        <v>22</v>
      </c>
      <c r="G106" s="45"/>
      <c r="H106" s="41">
        <f t="shared" si="18"/>
        <v>5238.59</v>
      </c>
      <c r="I106" s="41"/>
      <c r="J106" s="41"/>
      <c r="K106" s="41"/>
      <c r="L106" s="41">
        <f t="shared" si="19"/>
        <v>0</v>
      </c>
      <c r="M106" s="41"/>
      <c r="N106" s="41">
        <v>146.69</v>
      </c>
      <c r="O106" s="41">
        <f>408.75</f>
        <v>408.75</v>
      </c>
      <c r="P106" s="41">
        <f t="shared" si="22"/>
        <v>555.44</v>
      </c>
      <c r="Q106" s="41"/>
      <c r="R106" s="35">
        <v>3124</v>
      </c>
      <c r="S106" s="4">
        <v>401</v>
      </c>
      <c r="T106" s="70" t="s">
        <v>104</v>
      </c>
      <c r="U106" s="41"/>
      <c r="V106" s="41"/>
      <c r="W106" s="41"/>
      <c r="X106" s="41">
        <f t="shared" si="20"/>
        <v>0</v>
      </c>
      <c r="Y106" s="41"/>
      <c r="Z106" s="41"/>
      <c r="AA106" s="41"/>
      <c r="AB106" s="41"/>
      <c r="AC106" s="41">
        <f t="shared" si="21"/>
        <v>0</v>
      </c>
    </row>
    <row r="107" spans="1:29" ht="12.75" customHeight="1">
      <c r="A107" s="35">
        <v>3121</v>
      </c>
      <c r="B107" s="4">
        <v>409</v>
      </c>
      <c r="C107" s="70" t="s">
        <v>193</v>
      </c>
      <c r="D107" s="41">
        <v>2761.1</v>
      </c>
      <c r="E107" s="41">
        <f>96.8+806+31.38</f>
        <v>934.18</v>
      </c>
      <c r="F107" s="41">
        <f>40.7</f>
        <v>40.7</v>
      </c>
      <c r="G107" s="45"/>
      <c r="H107" s="41">
        <f t="shared" si="18"/>
        <v>3735.9799999999996</v>
      </c>
      <c r="I107" s="41"/>
      <c r="J107" s="41"/>
      <c r="K107" s="41"/>
      <c r="L107" s="41">
        <f t="shared" si="19"/>
        <v>0</v>
      </c>
      <c r="M107" s="41"/>
      <c r="N107" s="41">
        <v>37.08</v>
      </c>
      <c r="O107" s="41">
        <f>13.17</f>
        <v>13.17</v>
      </c>
      <c r="P107" s="41">
        <f t="shared" si="22"/>
        <v>50.25</v>
      </c>
      <c r="Q107" s="41"/>
      <c r="R107" s="35">
        <v>3121</v>
      </c>
      <c r="S107" s="4">
        <v>409</v>
      </c>
      <c r="T107" s="70" t="s">
        <v>11</v>
      </c>
      <c r="U107" s="41"/>
      <c r="V107" s="41"/>
      <c r="W107" s="41"/>
      <c r="X107" s="41">
        <f t="shared" si="20"/>
        <v>0</v>
      </c>
      <c r="Y107" s="41"/>
      <c r="Z107" s="41"/>
      <c r="AA107" s="41"/>
      <c r="AB107" s="41"/>
      <c r="AC107" s="41">
        <f t="shared" si="21"/>
        <v>0</v>
      </c>
    </row>
    <row r="108" spans="1:29" ht="12.75" customHeight="1">
      <c r="A108" s="35">
        <v>3121</v>
      </c>
      <c r="B108" s="4">
        <v>410</v>
      </c>
      <c r="C108" s="84" t="s">
        <v>194</v>
      </c>
      <c r="D108" s="41">
        <v>6818.21</v>
      </c>
      <c r="E108" s="41">
        <f>116.8+1353-166.62</f>
        <v>1303.1799999999998</v>
      </c>
      <c r="F108" s="41">
        <f>98.9</f>
        <v>98.9</v>
      </c>
      <c r="G108" s="45"/>
      <c r="H108" s="41">
        <f t="shared" si="18"/>
        <v>8220.289999999999</v>
      </c>
      <c r="I108" s="41"/>
      <c r="J108" s="41"/>
      <c r="K108" s="41">
        <f>60</f>
        <v>60</v>
      </c>
      <c r="L108" s="41">
        <f t="shared" si="19"/>
        <v>60</v>
      </c>
      <c r="M108" s="41"/>
      <c r="N108" s="41">
        <v>957.78</v>
      </c>
      <c r="O108" s="41">
        <f>-85.75</f>
        <v>-85.75</v>
      </c>
      <c r="P108" s="41">
        <f t="shared" si="22"/>
        <v>872.03</v>
      </c>
      <c r="Q108" s="41"/>
      <c r="R108" s="35">
        <v>3121</v>
      </c>
      <c r="S108" s="4">
        <v>410</v>
      </c>
      <c r="T108" s="70" t="s">
        <v>12</v>
      </c>
      <c r="U108" s="41"/>
      <c r="V108" s="41"/>
      <c r="W108" s="41"/>
      <c r="X108" s="41">
        <f t="shared" si="20"/>
        <v>0</v>
      </c>
      <c r="Y108" s="41"/>
      <c r="Z108" s="41"/>
      <c r="AA108" s="41"/>
      <c r="AB108" s="41"/>
      <c r="AC108" s="41">
        <f t="shared" si="21"/>
        <v>0</v>
      </c>
    </row>
    <row r="109" spans="1:29" ht="12.75" customHeight="1">
      <c r="A109" s="35">
        <v>3127</v>
      </c>
      <c r="B109" s="4">
        <v>413</v>
      </c>
      <c r="C109" s="70" t="s">
        <v>196</v>
      </c>
      <c r="D109" s="41">
        <v>7017.63</v>
      </c>
      <c r="E109" s="41">
        <f>118.2+2983+16.99</f>
        <v>3118.1899999999996</v>
      </c>
      <c r="F109" s="41">
        <f>252.5</f>
        <v>252.5</v>
      </c>
      <c r="G109" s="45"/>
      <c r="H109" s="41">
        <f t="shared" si="18"/>
        <v>10388.32</v>
      </c>
      <c r="I109" s="41"/>
      <c r="J109" s="41"/>
      <c r="K109" s="41">
        <f>300</f>
        <v>300</v>
      </c>
      <c r="L109" s="41">
        <f t="shared" si="19"/>
        <v>300</v>
      </c>
      <c r="M109" s="41"/>
      <c r="N109" s="41">
        <v>708.18</v>
      </c>
      <c r="O109" s="41">
        <f>1.6</f>
        <v>1.6</v>
      </c>
      <c r="P109" s="41">
        <f t="shared" si="22"/>
        <v>709.78</v>
      </c>
      <c r="Q109" s="41"/>
      <c r="R109" s="35">
        <v>3127</v>
      </c>
      <c r="S109" s="4">
        <v>413</v>
      </c>
      <c r="T109" s="70" t="s">
        <v>128</v>
      </c>
      <c r="U109" s="41"/>
      <c r="V109" s="41">
        <f>1376</f>
        <v>1376</v>
      </c>
      <c r="W109" s="41"/>
      <c r="X109" s="41">
        <f t="shared" si="20"/>
        <v>1376</v>
      </c>
      <c r="Y109" s="41"/>
      <c r="Z109" s="41">
        <v>1500</v>
      </c>
      <c r="AA109" s="41">
        <f>439</f>
        <v>439</v>
      </c>
      <c r="AB109" s="41"/>
      <c r="AC109" s="41">
        <f t="shared" si="21"/>
        <v>1939</v>
      </c>
    </row>
    <row r="110" spans="1:29" ht="12.75" customHeight="1">
      <c r="A110" s="35">
        <v>3122</v>
      </c>
      <c r="B110" s="4">
        <v>415</v>
      </c>
      <c r="C110" s="71" t="s">
        <v>232</v>
      </c>
      <c r="D110" s="41">
        <v>9032.24</v>
      </c>
      <c r="E110" s="41">
        <f>168+1609+1000+198.5-28.2</f>
        <v>2947.3</v>
      </c>
      <c r="F110" s="41">
        <f>313</f>
        <v>313</v>
      </c>
      <c r="G110" s="45"/>
      <c r="H110" s="41">
        <f t="shared" si="18"/>
        <v>12292.54</v>
      </c>
      <c r="I110" s="41"/>
      <c r="J110" s="41"/>
      <c r="K110" s="41">
        <f>84</f>
        <v>84</v>
      </c>
      <c r="L110" s="41">
        <f t="shared" si="19"/>
        <v>84</v>
      </c>
      <c r="M110" s="41"/>
      <c r="N110" s="41">
        <v>1999.61</v>
      </c>
      <c r="O110" s="41">
        <f>-52.68</f>
        <v>-52.68</v>
      </c>
      <c r="P110" s="41">
        <f t="shared" si="22"/>
        <v>1946.9299999999998</v>
      </c>
      <c r="Q110" s="41"/>
      <c r="R110" s="35">
        <v>3122</v>
      </c>
      <c r="S110" s="4">
        <v>415</v>
      </c>
      <c r="T110" s="71" t="s">
        <v>151</v>
      </c>
      <c r="U110" s="41"/>
      <c r="V110" s="41">
        <f>3700</f>
        <v>3700</v>
      </c>
      <c r="W110" s="41"/>
      <c r="X110" s="41">
        <f t="shared" si="20"/>
        <v>3700</v>
      </c>
      <c r="Y110" s="41"/>
      <c r="Z110" s="41"/>
      <c r="AA110" s="41"/>
      <c r="AB110" s="41"/>
      <c r="AC110" s="41">
        <f t="shared" si="21"/>
        <v>0</v>
      </c>
    </row>
    <row r="111" spans="1:29" ht="12.75" customHeight="1">
      <c r="A111" s="35">
        <v>3127</v>
      </c>
      <c r="B111" s="4">
        <v>416</v>
      </c>
      <c r="C111" s="84" t="s">
        <v>178</v>
      </c>
      <c r="D111" s="41">
        <v>15329.33</v>
      </c>
      <c r="E111" s="41">
        <f>2551+497.95</f>
        <v>3048.95</v>
      </c>
      <c r="F111" s="41">
        <f>102</f>
        <v>102</v>
      </c>
      <c r="G111" s="45"/>
      <c r="H111" s="41">
        <f t="shared" si="18"/>
        <v>18480.28</v>
      </c>
      <c r="I111" s="41"/>
      <c r="J111" s="41">
        <v>185</v>
      </c>
      <c r="K111" s="50">
        <f>110</f>
        <v>110</v>
      </c>
      <c r="L111" s="41">
        <f t="shared" si="19"/>
        <v>295</v>
      </c>
      <c r="M111" s="41"/>
      <c r="N111" s="41">
        <v>2826.21</v>
      </c>
      <c r="O111" s="41">
        <f>206.58</f>
        <v>206.58</v>
      </c>
      <c r="P111" s="41">
        <f t="shared" si="22"/>
        <v>3032.79</v>
      </c>
      <c r="Q111" s="41"/>
      <c r="R111" s="35">
        <v>3127</v>
      </c>
      <c r="S111" s="4">
        <v>416</v>
      </c>
      <c r="T111" s="70" t="s">
        <v>105</v>
      </c>
      <c r="U111" s="41"/>
      <c r="V111" s="41">
        <f>250</f>
        <v>250</v>
      </c>
      <c r="W111" s="41"/>
      <c r="X111" s="41">
        <f t="shared" si="20"/>
        <v>250</v>
      </c>
      <c r="Y111" s="41"/>
      <c r="Z111" s="41"/>
      <c r="AA111" s="45">
        <f>2657</f>
        <v>2657</v>
      </c>
      <c r="AB111" s="45"/>
      <c r="AC111" s="41">
        <f t="shared" si="21"/>
        <v>2657</v>
      </c>
    </row>
    <row r="112" spans="1:29" ht="12.75" customHeight="1">
      <c r="A112" s="35">
        <v>3127</v>
      </c>
      <c r="B112" s="4">
        <v>418</v>
      </c>
      <c r="C112" s="71" t="s">
        <v>209</v>
      </c>
      <c r="D112" s="41">
        <v>8296.63</v>
      </c>
      <c r="E112" s="41">
        <f>256.9+2777+186.38+102</f>
        <v>3322.28</v>
      </c>
      <c r="F112" s="50">
        <f>295.5</f>
        <v>295.5</v>
      </c>
      <c r="G112" s="45"/>
      <c r="H112" s="41">
        <f t="shared" si="18"/>
        <v>11914.41</v>
      </c>
      <c r="I112" s="41"/>
      <c r="J112" s="41"/>
      <c r="K112" s="50"/>
      <c r="L112" s="41">
        <f t="shared" si="19"/>
        <v>0</v>
      </c>
      <c r="M112" s="41"/>
      <c r="N112" s="41">
        <v>1068.05</v>
      </c>
      <c r="O112" s="41">
        <f>182.09</f>
        <v>182.09</v>
      </c>
      <c r="P112" s="41">
        <f t="shared" si="22"/>
        <v>1250.1399999999999</v>
      </c>
      <c r="Q112" s="41"/>
      <c r="R112" s="35">
        <v>3127</v>
      </c>
      <c r="S112" s="4">
        <v>418</v>
      </c>
      <c r="T112" s="71" t="s">
        <v>144</v>
      </c>
      <c r="U112" s="41"/>
      <c r="V112" s="45"/>
      <c r="W112" s="45"/>
      <c r="X112" s="41">
        <f t="shared" si="20"/>
        <v>0</v>
      </c>
      <c r="Y112" s="41"/>
      <c r="Z112" s="41">
        <v>6500</v>
      </c>
      <c r="AA112" s="41">
        <f>8378+500</f>
        <v>8878</v>
      </c>
      <c r="AB112" s="41"/>
      <c r="AC112" s="41">
        <f t="shared" si="21"/>
        <v>15378</v>
      </c>
    </row>
    <row r="113" spans="1:29" ht="12.75" customHeight="1">
      <c r="A113" s="35">
        <v>3127</v>
      </c>
      <c r="B113" s="4">
        <v>419</v>
      </c>
      <c r="C113" s="89" t="s">
        <v>216</v>
      </c>
      <c r="D113" s="41">
        <v>9310.7</v>
      </c>
      <c r="E113" s="41">
        <f>112.7+811+1797.7</f>
        <v>2721.4</v>
      </c>
      <c r="F113" s="41">
        <f>66.2</f>
        <v>66.2</v>
      </c>
      <c r="G113" s="45"/>
      <c r="H113" s="41">
        <f t="shared" si="18"/>
        <v>12098.300000000001</v>
      </c>
      <c r="I113" s="41"/>
      <c r="J113" s="41"/>
      <c r="K113" s="42"/>
      <c r="L113" s="41">
        <f t="shared" si="19"/>
        <v>0</v>
      </c>
      <c r="M113" s="41"/>
      <c r="N113" s="41">
        <v>2131.06</v>
      </c>
      <c r="O113" s="41">
        <f>438.96</f>
        <v>438.96</v>
      </c>
      <c r="P113" s="41">
        <f t="shared" si="22"/>
        <v>2570.02</v>
      </c>
      <c r="Q113" s="41"/>
      <c r="R113" s="35">
        <v>3127</v>
      </c>
      <c r="S113" s="4">
        <v>419</v>
      </c>
      <c r="T113" s="70" t="s">
        <v>44</v>
      </c>
      <c r="U113" s="41"/>
      <c r="V113" s="41">
        <f>1084+500</f>
        <v>1584</v>
      </c>
      <c r="W113" s="41"/>
      <c r="X113" s="41">
        <f t="shared" si="20"/>
        <v>1584</v>
      </c>
      <c r="Y113" s="41"/>
      <c r="Z113" s="41">
        <v>7000</v>
      </c>
      <c r="AA113" s="41">
        <f>-500</f>
        <v>-500</v>
      </c>
      <c r="AB113" s="41"/>
      <c r="AC113" s="41">
        <f t="shared" si="21"/>
        <v>6500</v>
      </c>
    </row>
    <row r="114" spans="1:29" ht="12.75" customHeight="1">
      <c r="A114" s="35">
        <v>3124</v>
      </c>
      <c r="B114" s="4">
        <v>423</v>
      </c>
      <c r="C114" s="70" t="s">
        <v>217</v>
      </c>
      <c r="D114" s="41">
        <v>4151.53</v>
      </c>
      <c r="E114" s="41">
        <f>916+63.58</f>
        <v>979.58</v>
      </c>
      <c r="F114" s="41">
        <f>102</f>
        <v>102</v>
      </c>
      <c r="G114" s="45"/>
      <c r="H114" s="41">
        <f t="shared" si="18"/>
        <v>5233.11</v>
      </c>
      <c r="I114" s="41"/>
      <c r="J114" s="41"/>
      <c r="K114" s="41"/>
      <c r="L114" s="41">
        <f t="shared" si="19"/>
        <v>0</v>
      </c>
      <c r="M114" s="41"/>
      <c r="N114" s="41">
        <v>372.68</v>
      </c>
      <c r="O114" s="41">
        <f>-11.92</f>
        <v>-11.92</v>
      </c>
      <c r="P114" s="41">
        <f t="shared" si="22"/>
        <v>360.76</v>
      </c>
      <c r="Q114" s="41"/>
      <c r="R114" s="35">
        <v>3124</v>
      </c>
      <c r="S114" s="4">
        <v>423</v>
      </c>
      <c r="T114" s="70" t="s">
        <v>106</v>
      </c>
      <c r="U114" s="41">
        <v>4000</v>
      </c>
      <c r="V114" s="41">
        <f>21</f>
        <v>21</v>
      </c>
      <c r="W114" s="41"/>
      <c r="X114" s="41">
        <f t="shared" si="20"/>
        <v>4021</v>
      </c>
      <c r="Y114" s="41"/>
      <c r="Z114" s="41"/>
      <c r="AA114" s="41"/>
      <c r="AB114" s="41"/>
      <c r="AC114" s="41">
        <f t="shared" si="21"/>
        <v>0</v>
      </c>
    </row>
    <row r="115" spans="1:29" ht="12.75" customHeight="1">
      <c r="A115" s="35">
        <v>3112</v>
      </c>
      <c r="B115" s="4">
        <v>425</v>
      </c>
      <c r="C115" s="70" t="s">
        <v>200</v>
      </c>
      <c r="D115" s="41">
        <v>1423.88</v>
      </c>
      <c r="E115" s="41">
        <f>273-2.51</f>
        <v>270.49</v>
      </c>
      <c r="F115" s="41">
        <f>10.5</f>
        <v>10.5</v>
      </c>
      <c r="G115" s="45"/>
      <c r="H115" s="41">
        <f t="shared" si="18"/>
        <v>1704.8700000000001</v>
      </c>
      <c r="I115" s="41"/>
      <c r="J115" s="41"/>
      <c r="K115" s="41"/>
      <c r="L115" s="41">
        <f t="shared" si="19"/>
        <v>0</v>
      </c>
      <c r="M115" s="41"/>
      <c r="N115" s="41">
        <v>20.33</v>
      </c>
      <c r="O115" s="41">
        <f>-2.02</f>
        <v>-2.02</v>
      </c>
      <c r="P115" s="41">
        <f t="shared" si="22"/>
        <v>18.31</v>
      </c>
      <c r="Q115" s="41"/>
      <c r="R115" s="35">
        <v>3112</v>
      </c>
      <c r="S115" s="4">
        <v>425</v>
      </c>
      <c r="T115" s="70" t="s">
        <v>107</v>
      </c>
      <c r="U115" s="41"/>
      <c r="V115" s="41"/>
      <c r="W115" s="41"/>
      <c r="X115" s="41">
        <f t="shared" si="20"/>
        <v>0</v>
      </c>
      <c r="Y115" s="41"/>
      <c r="Z115" s="41"/>
      <c r="AA115" s="41"/>
      <c r="AB115" s="41"/>
      <c r="AC115" s="41">
        <f t="shared" si="21"/>
        <v>0</v>
      </c>
    </row>
    <row r="116" spans="1:29" ht="12.75" customHeight="1">
      <c r="A116" s="35">
        <v>3114</v>
      </c>
      <c r="B116" s="4">
        <v>426</v>
      </c>
      <c r="C116" s="70" t="s">
        <v>236</v>
      </c>
      <c r="D116" s="41">
        <v>1110.54</v>
      </c>
      <c r="E116" s="41">
        <f>10+145</f>
        <v>155</v>
      </c>
      <c r="F116" s="41">
        <f>25.5</f>
        <v>25.5</v>
      </c>
      <c r="G116" s="45"/>
      <c r="H116" s="41">
        <f t="shared" si="18"/>
        <v>1291.04</v>
      </c>
      <c r="I116" s="41"/>
      <c r="J116" s="41"/>
      <c r="K116" s="41"/>
      <c r="L116" s="41">
        <f t="shared" si="19"/>
        <v>0</v>
      </c>
      <c r="M116" s="41"/>
      <c r="N116" s="41">
        <v>0.03</v>
      </c>
      <c r="O116" s="41"/>
      <c r="P116" s="41">
        <f t="shared" si="22"/>
        <v>0.03</v>
      </c>
      <c r="Q116" s="41"/>
      <c r="R116" s="35">
        <v>3114</v>
      </c>
      <c r="S116" s="4">
        <v>426</v>
      </c>
      <c r="T116" s="70" t="s">
        <v>45</v>
      </c>
      <c r="U116" s="41"/>
      <c r="V116" s="41"/>
      <c r="W116" s="41"/>
      <c r="X116" s="41">
        <f t="shared" si="20"/>
        <v>0</v>
      </c>
      <c r="Y116" s="41"/>
      <c r="Z116" s="41"/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0" t="s">
        <v>181</v>
      </c>
      <c r="D117" s="41">
        <v>3210.07</v>
      </c>
      <c r="E117" s="41">
        <f>238+7.61</f>
        <v>245.61</v>
      </c>
      <c r="F117" s="41">
        <f>89</f>
        <v>89</v>
      </c>
      <c r="G117" s="45"/>
      <c r="H117" s="41">
        <f t="shared" si="18"/>
        <v>3544.6800000000003</v>
      </c>
      <c r="I117" s="41"/>
      <c r="J117" s="41"/>
      <c r="K117" s="41"/>
      <c r="L117" s="41">
        <f t="shared" si="19"/>
        <v>0</v>
      </c>
      <c r="M117" s="41"/>
      <c r="N117" s="41">
        <v>69.62</v>
      </c>
      <c r="O117" s="41">
        <f>6.11</f>
        <v>6.11</v>
      </c>
      <c r="P117" s="41">
        <f t="shared" si="22"/>
        <v>75.73</v>
      </c>
      <c r="Q117" s="41"/>
      <c r="R117" s="35">
        <v>3133</v>
      </c>
      <c r="S117" s="4">
        <v>427</v>
      </c>
      <c r="T117" s="70" t="s">
        <v>46</v>
      </c>
      <c r="U117" s="41"/>
      <c r="V117" s="41"/>
      <c r="W117" s="41"/>
      <c r="X117" s="41">
        <f t="shared" si="20"/>
        <v>0</v>
      </c>
      <c r="Y117" s="41"/>
      <c r="Z117" s="41"/>
      <c r="AA117" s="41"/>
      <c r="AB117" s="41"/>
      <c r="AC117" s="41">
        <f t="shared" si="21"/>
        <v>0</v>
      </c>
    </row>
    <row r="118" spans="1:29" ht="12.75" customHeight="1">
      <c r="A118" s="35">
        <v>3133</v>
      </c>
      <c r="B118" s="4">
        <v>428</v>
      </c>
      <c r="C118" s="70" t="s">
        <v>182</v>
      </c>
      <c r="D118" s="41">
        <v>3968.6</v>
      </c>
      <c r="E118" s="41">
        <f>9.9+451+94.37</f>
        <v>555.27</v>
      </c>
      <c r="F118" s="41">
        <f>66</f>
        <v>66</v>
      </c>
      <c r="G118" s="45"/>
      <c r="H118" s="41">
        <f t="shared" si="18"/>
        <v>4589.87</v>
      </c>
      <c r="I118" s="41"/>
      <c r="J118" s="41"/>
      <c r="K118" s="41"/>
      <c r="L118" s="41">
        <f t="shared" si="19"/>
        <v>0</v>
      </c>
      <c r="M118" s="41"/>
      <c r="N118" s="41">
        <v>262.96</v>
      </c>
      <c r="O118" s="41">
        <f>92.2</f>
        <v>92.2</v>
      </c>
      <c r="P118" s="41">
        <f t="shared" si="22"/>
        <v>355.15999999999997</v>
      </c>
      <c r="Q118" s="41"/>
      <c r="R118" s="35">
        <v>3133</v>
      </c>
      <c r="S118" s="4">
        <v>428</v>
      </c>
      <c r="T118" s="70" t="s">
        <v>108</v>
      </c>
      <c r="U118" s="41"/>
      <c r="V118" s="41">
        <f>350</f>
        <v>350</v>
      </c>
      <c r="W118" s="41"/>
      <c r="X118" s="41">
        <f t="shared" si="20"/>
        <v>350</v>
      </c>
      <c r="Y118" s="41"/>
      <c r="Z118" s="41"/>
      <c r="AA118" s="41">
        <f>1800</f>
        <v>1800</v>
      </c>
      <c r="AB118" s="41"/>
      <c r="AC118" s="41">
        <f t="shared" si="21"/>
        <v>1800</v>
      </c>
    </row>
    <row r="119" spans="1:29" ht="12.75" customHeight="1">
      <c r="A119" s="35">
        <v>3114</v>
      </c>
      <c r="B119" s="4">
        <v>431</v>
      </c>
      <c r="C119" s="70" t="s">
        <v>206</v>
      </c>
      <c r="D119" s="41">
        <v>1908.5</v>
      </c>
      <c r="E119" s="41">
        <f>20+310+13.2</f>
        <v>343.2</v>
      </c>
      <c r="F119" s="41">
        <f>17</f>
        <v>17</v>
      </c>
      <c r="G119" s="45"/>
      <c r="H119" s="41">
        <f t="shared" si="18"/>
        <v>2268.7</v>
      </c>
      <c r="I119" s="41"/>
      <c r="J119" s="41"/>
      <c r="K119" s="41"/>
      <c r="L119" s="41">
        <f t="shared" si="19"/>
        <v>0</v>
      </c>
      <c r="M119" s="41"/>
      <c r="N119" s="41">
        <v>248.49</v>
      </c>
      <c r="O119" s="41">
        <f>10.61</f>
        <v>10.61</v>
      </c>
      <c r="P119" s="41">
        <f t="shared" si="22"/>
        <v>259.1</v>
      </c>
      <c r="Q119" s="41"/>
      <c r="R119" s="35">
        <v>3114</v>
      </c>
      <c r="S119" s="4">
        <v>431</v>
      </c>
      <c r="T119" s="70" t="s">
        <v>109</v>
      </c>
      <c r="U119" s="41"/>
      <c r="V119" s="41"/>
      <c r="W119" s="41"/>
      <c r="X119" s="41">
        <f t="shared" si="20"/>
        <v>0</v>
      </c>
      <c r="Y119" s="41"/>
      <c r="Z119" s="41"/>
      <c r="AA119" s="41"/>
      <c r="AB119" s="41"/>
      <c r="AC119" s="41">
        <f t="shared" si="21"/>
        <v>0</v>
      </c>
    </row>
    <row r="120" spans="1:29" ht="12.75" customHeight="1">
      <c r="A120" s="35">
        <v>3114</v>
      </c>
      <c r="B120" s="4">
        <v>432</v>
      </c>
      <c r="C120" s="80" t="s">
        <v>201</v>
      </c>
      <c r="D120" s="41">
        <v>2599.57</v>
      </c>
      <c r="E120" s="41">
        <f>10+544</f>
        <v>554</v>
      </c>
      <c r="F120" s="41">
        <f>11</f>
        <v>11</v>
      </c>
      <c r="G120" s="45"/>
      <c r="H120" s="41">
        <f t="shared" si="18"/>
        <v>3164.57</v>
      </c>
      <c r="I120" s="41"/>
      <c r="J120" s="41"/>
      <c r="K120" s="41"/>
      <c r="L120" s="41">
        <f t="shared" si="19"/>
        <v>0</v>
      </c>
      <c r="M120" s="41"/>
      <c r="N120" s="41">
        <v>6.81</v>
      </c>
      <c r="O120" s="41"/>
      <c r="P120" s="41">
        <f t="shared" si="22"/>
        <v>6.81</v>
      </c>
      <c r="Q120" s="41"/>
      <c r="R120" s="35">
        <v>3114</v>
      </c>
      <c r="S120" s="4">
        <v>432</v>
      </c>
      <c r="T120" s="80" t="s">
        <v>110</v>
      </c>
      <c r="U120" s="41"/>
      <c r="V120" s="41"/>
      <c r="W120" s="41"/>
      <c r="X120" s="41">
        <f t="shared" si="20"/>
        <v>0</v>
      </c>
      <c r="Y120" s="41"/>
      <c r="Z120" s="41"/>
      <c r="AA120" s="41"/>
      <c r="AB120" s="41"/>
      <c r="AC120" s="41">
        <f t="shared" si="21"/>
        <v>0</v>
      </c>
    </row>
    <row r="121" spans="1:29" ht="12.75" customHeight="1">
      <c r="A121" s="35">
        <v>3114</v>
      </c>
      <c r="B121" s="4">
        <v>433</v>
      </c>
      <c r="C121" s="70" t="s">
        <v>239</v>
      </c>
      <c r="D121" s="41">
        <v>680.7</v>
      </c>
      <c r="E121" s="41">
        <f>10+122</f>
        <v>132</v>
      </c>
      <c r="F121" s="41">
        <f>19</f>
        <v>19</v>
      </c>
      <c r="G121" s="45"/>
      <c r="H121" s="41">
        <f t="shared" si="18"/>
        <v>831.7</v>
      </c>
      <c r="I121" s="41"/>
      <c r="J121" s="41"/>
      <c r="K121" s="41"/>
      <c r="L121" s="41">
        <f t="shared" si="19"/>
        <v>0</v>
      </c>
      <c r="M121" s="41"/>
      <c r="N121" s="41"/>
      <c r="O121" s="41"/>
      <c r="P121" s="41">
        <f t="shared" si="22"/>
        <v>0</v>
      </c>
      <c r="Q121" s="41"/>
      <c r="R121" s="35">
        <v>3114</v>
      </c>
      <c r="S121" s="4">
        <v>433</v>
      </c>
      <c r="T121" s="70" t="s">
        <v>152</v>
      </c>
      <c r="U121" s="41"/>
      <c r="V121" s="41"/>
      <c r="W121" s="41"/>
      <c r="X121" s="41">
        <f t="shared" si="20"/>
        <v>0</v>
      </c>
      <c r="Y121" s="41"/>
      <c r="Z121" s="41"/>
      <c r="AA121" s="41"/>
      <c r="AB121" s="41"/>
      <c r="AC121" s="41">
        <f t="shared" si="21"/>
        <v>0</v>
      </c>
    </row>
    <row r="122" spans="1:29" ht="12.75" customHeight="1">
      <c r="A122" s="35">
        <v>3114</v>
      </c>
      <c r="B122" s="4">
        <v>436</v>
      </c>
      <c r="C122" s="71" t="s">
        <v>111</v>
      </c>
      <c r="D122" s="41">
        <v>2575.4</v>
      </c>
      <c r="E122" s="41">
        <f>584</f>
        <v>584</v>
      </c>
      <c r="F122" s="41"/>
      <c r="G122" s="45"/>
      <c r="H122" s="41">
        <f t="shared" si="18"/>
        <v>3159.4</v>
      </c>
      <c r="I122" s="41"/>
      <c r="J122" s="41"/>
      <c r="K122" s="41"/>
      <c r="L122" s="41">
        <f t="shared" si="19"/>
        <v>0</v>
      </c>
      <c r="M122" s="41"/>
      <c r="N122" s="41"/>
      <c r="O122" s="41"/>
      <c r="P122" s="41">
        <f t="shared" si="22"/>
        <v>0</v>
      </c>
      <c r="Q122" s="41"/>
      <c r="R122" s="35">
        <v>3114</v>
      </c>
      <c r="S122" s="4">
        <v>436</v>
      </c>
      <c r="T122" s="71" t="s">
        <v>111</v>
      </c>
      <c r="U122" s="41"/>
      <c r="V122" s="41"/>
      <c r="W122" s="41"/>
      <c r="X122" s="41">
        <f t="shared" si="20"/>
        <v>0</v>
      </c>
      <c r="Y122" s="41"/>
      <c r="Z122" s="41"/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1" t="s">
        <v>224</v>
      </c>
      <c r="D123" s="41">
        <v>9001.06</v>
      </c>
      <c r="E123" s="41">
        <f>71.6+2639+1374.05</f>
        <v>4084.6499999999996</v>
      </c>
      <c r="F123" s="41">
        <f>146</f>
        <v>146</v>
      </c>
      <c r="G123" s="45"/>
      <c r="H123" s="41">
        <f t="shared" si="18"/>
        <v>13231.71</v>
      </c>
      <c r="I123" s="41"/>
      <c r="J123" s="41"/>
      <c r="K123" s="41">
        <f>44</f>
        <v>44</v>
      </c>
      <c r="L123" s="41">
        <f t="shared" si="19"/>
        <v>44</v>
      </c>
      <c r="M123" s="41"/>
      <c r="N123" s="41">
        <v>1187.98</v>
      </c>
      <c r="O123" s="41">
        <f>179.91</f>
        <v>179.91</v>
      </c>
      <c r="P123" s="41">
        <f t="shared" si="22"/>
        <v>1367.89</v>
      </c>
      <c r="Q123" s="41"/>
      <c r="R123" s="35">
        <v>3127</v>
      </c>
      <c r="S123" s="4">
        <v>445</v>
      </c>
      <c r="T123" s="71" t="s">
        <v>112</v>
      </c>
      <c r="U123" s="41"/>
      <c r="V123" s="41"/>
      <c r="W123" s="41"/>
      <c r="X123" s="41">
        <f t="shared" si="20"/>
        <v>0</v>
      </c>
      <c r="Y123" s="41"/>
      <c r="Z123" s="41">
        <v>3000</v>
      </c>
      <c r="AA123" s="45">
        <f>4831+400</f>
        <v>5231</v>
      </c>
      <c r="AB123" s="41"/>
      <c r="AC123" s="41">
        <f t="shared" si="21"/>
        <v>8231</v>
      </c>
    </row>
    <row r="124" spans="1:29" ht="12.75" customHeight="1">
      <c r="A124" s="35">
        <v>3127</v>
      </c>
      <c r="B124" s="4">
        <v>447</v>
      </c>
      <c r="C124" s="70" t="s">
        <v>222</v>
      </c>
      <c r="D124" s="41">
        <v>4440.01</v>
      </c>
      <c r="E124" s="54">
        <f>168.4+2208+301.05+116.1</f>
        <v>2793.55</v>
      </c>
      <c r="F124" s="54">
        <f>95.25</f>
        <v>95.25</v>
      </c>
      <c r="G124" s="54"/>
      <c r="H124" s="41">
        <f t="shared" si="18"/>
        <v>7328.81</v>
      </c>
      <c r="I124" s="54"/>
      <c r="J124" s="41"/>
      <c r="K124" s="54"/>
      <c r="L124" s="41">
        <f t="shared" si="19"/>
        <v>0</v>
      </c>
      <c r="M124" s="54"/>
      <c r="N124" s="41">
        <v>500.52</v>
      </c>
      <c r="O124" s="54">
        <f>190.95</f>
        <v>190.95</v>
      </c>
      <c r="P124" s="41">
        <f t="shared" si="22"/>
        <v>691.47</v>
      </c>
      <c r="Q124" s="54"/>
      <c r="R124" s="35">
        <v>3127</v>
      </c>
      <c r="S124" s="4">
        <v>447</v>
      </c>
      <c r="T124" s="70" t="s">
        <v>47</v>
      </c>
      <c r="U124" s="41"/>
      <c r="V124" s="54">
        <f>88</f>
        <v>88</v>
      </c>
      <c r="W124" s="54"/>
      <c r="X124" s="41">
        <f t="shared" si="20"/>
        <v>88</v>
      </c>
      <c r="Y124" s="54"/>
      <c r="Z124" s="41">
        <v>9000</v>
      </c>
      <c r="AA124" s="85">
        <f>670</f>
        <v>670</v>
      </c>
      <c r="AB124" s="54"/>
      <c r="AC124" s="41">
        <f t="shared" si="21"/>
        <v>9670</v>
      </c>
    </row>
    <row r="125" spans="1:29" ht="12.75" customHeight="1">
      <c r="A125" s="35">
        <v>3114</v>
      </c>
      <c r="B125" s="4">
        <v>452</v>
      </c>
      <c r="C125" s="80" t="s">
        <v>113</v>
      </c>
      <c r="D125" s="41">
        <v>2013.7</v>
      </c>
      <c r="E125" s="41">
        <f>9.28+224+0.27</f>
        <v>233.55</v>
      </c>
      <c r="F125" s="41"/>
      <c r="G125" s="41"/>
      <c r="H125" s="41">
        <f aca="true" t="shared" si="23" ref="H125:H132">D125+E125+F125+G125</f>
        <v>2247.25</v>
      </c>
      <c r="I125" s="41"/>
      <c r="J125" s="41"/>
      <c r="K125" s="41"/>
      <c r="L125" s="41">
        <f aca="true" t="shared" si="24" ref="L125:L132">J125+K125</f>
        <v>0</v>
      </c>
      <c r="M125" s="41"/>
      <c r="N125" s="41">
        <v>2.41</v>
      </c>
      <c r="O125" s="41">
        <f>0.21</f>
        <v>0.21</v>
      </c>
      <c r="P125" s="41">
        <f t="shared" si="22"/>
        <v>2.62</v>
      </c>
      <c r="Q125" s="41"/>
      <c r="R125" s="35">
        <v>3114</v>
      </c>
      <c r="S125" s="4">
        <v>452</v>
      </c>
      <c r="T125" s="80" t="s">
        <v>113</v>
      </c>
      <c r="U125" s="41"/>
      <c r="V125" s="41"/>
      <c r="W125" s="41"/>
      <c r="X125" s="41">
        <f aca="true" t="shared" si="25" ref="X125:X132">SUM(U125:W125)</f>
        <v>0</v>
      </c>
      <c r="Y125" s="41"/>
      <c r="Z125" s="41"/>
      <c r="AA125" s="41"/>
      <c r="AB125" s="41"/>
      <c r="AC125" s="41">
        <f aca="true" t="shared" si="26" ref="AC125:AC132">SUM(Z125:AB125)</f>
        <v>0</v>
      </c>
    </row>
    <row r="126" spans="1:29" ht="12.75" customHeight="1">
      <c r="A126" s="35">
        <v>3127</v>
      </c>
      <c r="B126" s="4">
        <v>454</v>
      </c>
      <c r="C126" s="70" t="s">
        <v>230</v>
      </c>
      <c r="D126" s="41">
        <v>14441.8</v>
      </c>
      <c r="E126" s="41">
        <f>112.85+3272+519.57</f>
        <v>3904.42</v>
      </c>
      <c r="F126" s="41">
        <f>85</f>
        <v>85</v>
      </c>
      <c r="G126" s="41"/>
      <c r="H126" s="41">
        <f t="shared" si="23"/>
        <v>18431.22</v>
      </c>
      <c r="I126" s="41"/>
      <c r="J126" s="41"/>
      <c r="K126" s="50">
        <f>10000</f>
        <v>10000</v>
      </c>
      <c r="L126" s="41">
        <f t="shared" si="24"/>
        <v>10000</v>
      </c>
      <c r="M126" s="41"/>
      <c r="N126" s="41">
        <v>5041.37</v>
      </c>
      <c r="O126" s="41">
        <f>-143.49</f>
        <v>-143.49</v>
      </c>
      <c r="P126" s="41">
        <f aca="true" t="shared" si="27" ref="P126:P132">N126+O126</f>
        <v>4897.88</v>
      </c>
      <c r="Q126" s="41"/>
      <c r="R126" s="35">
        <v>3127</v>
      </c>
      <c r="S126" s="4">
        <v>454</v>
      </c>
      <c r="T126" s="70" t="s">
        <v>114</v>
      </c>
      <c r="U126" s="41"/>
      <c r="V126" s="41">
        <f>3500+1000</f>
        <v>4500</v>
      </c>
      <c r="W126" s="41"/>
      <c r="X126" s="41">
        <f t="shared" si="25"/>
        <v>4500</v>
      </c>
      <c r="Y126" s="41"/>
      <c r="Z126" s="41">
        <v>1000</v>
      </c>
      <c r="AA126" s="41">
        <f>438+1300</f>
        <v>1738</v>
      </c>
      <c r="AB126" s="41"/>
      <c r="AC126" s="41">
        <f t="shared" si="26"/>
        <v>2738</v>
      </c>
    </row>
    <row r="127" spans="1:29" ht="12.75" customHeight="1">
      <c r="A127" s="35">
        <v>3146</v>
      </c>
      <c r="B127" s="4">
        <v>455</v>
      </c>
      <c r="C127" s="70" t="s">
        <v>204</v>
      </c>
      <c r="D127" s="41">
        <v>6762.23</v>
      </c>
      <c r="E127" s="62">
        <f>1217+15.73</f>
        <v>1232.73</v>
      </c>
      <c r="F127" s="62">
        <f>24</f>
        <v>24</v>
      </c>
      <c r="G127" s="62"/>
      <c r="H127" s="41">
        <f t="shared" si="23"/>
        <v>8018.959999999999</v>
      </c>
      <c r="I127" s="62"/>
      <c r="J127" s="62"/>
      <c r="K127" s="62"/>
      <c r="L127" s="41">
        <f t="shared" si="24"/>
        <v>0</v>
      </c>
      <c r="M127" s="62"/>
      <c r="N127" s="41">
        <v>585.79</v>
      </c>
      <c r="O127" s="62">
        <f>12.64</f>
        <v>12.64</v>
      </c>
      <c r="P127" s="41">
        <f t="shared" si="27"/>
        <v>598.43</v>
      </c>
      <c r="Q127" s="62"/>
      <c r="R127" s="35">
        <v>3146</v>
      </c>
      <c r="S127" s="4">
        <v>455</v>
      </c>
      <c r="T127" s="70" t="s">
        <v>115</v>
      </c>
      <c r="U127" s="54"/>
      <c r="V127" s="62"/>
      <c r="W127" s="62"/>
      <c r="X127" s="41">
        <f t="shared" si="25"/>
        <v>0</v>
      </c>
      <c r="Y127" s="54"/>
      <c r="Z127" s="54"/>
      <c r="AA127" s="54"/>
      <c r="AB127" s="54"/>
      <c r="AC127" s="41">
        <f t="shared" si="26"/>
        <v>0</v>
      </c>
    </row>
    <row r="128" spans="1:29" ht="12.75" customHeight="1">
      <c r="A128" s="68">
        <v>3127</v>
      </c>
      <c r="B128" s="69">
        <v>456</v>
      </c>
      <c r="C128" s="72" t="s">
        <v>242</v>
      </c>
      <c r="D128" s="41">
        <v>14153.65</v>
      </c>
      <c r="E128" s="41">
        <f>21+3755+842.29</f>
        <v>4618.29</v>
      </c>
      <c r="F128" s="41">
        <f>226.5</f>
        <v>226.5</v>
      </c>
      <c r="G128" s="41"/>
      <c r="H128" s="41">
        <f t="shared" si="23"/>
        <v>18998.44</v>
      </c>
      <c r="I128" s="41"/>
      <c r="J128" s="41">
        <v>185</v>
      </c>
      <c r="K128" s="41">
        <f>90.63</f>
        <v>90.63</v>
      </c>
      <c r="L128" s="41">
        <f t="shared" si="24"/>
        <v>275.63</v>
      </c>
      <c r="M128" s="41"/>
      <c r="N128" s="41">
        <v>2540.18</v>
      </c>
      <c r="O128" s="41">
        <f>513.01</f>
        <v>513.01</v>
      </c>
      <c r="P128" s="41">
        <f t="shared" si="27"/>
        <v>3053.1899999999996</v>
      </c>
      <c r="Q128" s="41"/>
      <c r="R128" s="68">
        <v>3127</v>
      </c>
      <c r="S128" s="69">
        <v>456</v>
      </c>
      <c r="T128" s="72" t="s">
        <v>129</v>
      </c>
      <c r="U128" s="41"/>
      <c r="V128" s="41"/>
      <c r="W128" s="41"/>
      <c r="X128" s="41">
        <f t="shared" si="25"/>
        <v>0</v>
      </c>
      <c r="Y128" s="41"/>
      <c r="Z128" s="41"/>
      <c r="AA128" s="41">
        <f>2211+3600</f>
        <v>5811</v>
      </c>
      <c r="AB128" s="41"/>
      <c r="AC128" s="41">
        <f t="shared" si="26"/>
        <v>5811</v>
      </c>
    </row>
    <row r="129" spans="1:29" ht="12.75" customHeight="1">
      <c r="A129" s="34">
        <v>3127</v>
      </c>
      <c r="B129" s="2">
        <v>457</v>
      </c>
      <c r="C129" s="73" t="s">
        <v>130</v>
      </c>
      <c r="D129" s="41">
        <v>5957.06</v>
      </c>
      <c r="E129" s="41">
        <f>115+1199+1414.92</f>
        <v>2728.92</v>
      </c>
      <c r="F129" s="41"/>
      <c r="G129" s="41"/>
      <c r="H129" s="41">
        <f t="shared" si="23"/>
        <v>8685.98</v>
      </c>
      <c r="I129" s="41"/>
      <c r="J129" s="41"/>
      <c r="K129" s="41"/>
      <c r="L129" s="41">
        <f t="shared" si="24"/>
        <v>0</v>
      </c>
      <c r="M129" s="41"/>
      <c r="N129" s="41">
        <v>395.86</v>
      </c>
      <c r="O129" s="41">
        <f>9.9</f>
        <v>9.9</v>
      </c>
      <c r="P129" s="41">
        <f t="shared" si="27"/>
        <v>405.76</v>
      </c>
      <c r="Q129" s="41"/>
      <c r="R129" s="34">
        <v>3127</v>
      </c>
      <c r="S129" s="2">
        <v>457</v>
      </c>
      <c r="T129" s="73" t="s">
        <v>130</v>
      </c>
      <c r="U129" s="41"/>
      <c r="V129" s="41"/>
      <c r="W129" s="41"/>
      <c r="X129" s="41">
        <f t="shared" si="25"/>
        <v>0</v>
      </c>
      <c r="Y129" s="41"/>
      <c r="Z129" s="41"/>
      <c r="AA129" s="41"/>
      <c r="AB129" s="41"/>
      <c r="AC129" s="41">
        <f t="shared" si="26"/>
        <v>0</v>
      </c>
    </row>
    <row r="130" spans="1:29" ht="12.75" customHeight="1">
      <c r="A130" s="34">
        <v>3127</v>
      </c>
      <c r="B130" s="2">
        <v>458</v>
      </c>
      <c r="C130" s="73" t="s">
        <v>211</v>
      </c>
      <c r="D130" s="41">
        <v>10546.84</v>
      </c>
      <c r="E130" s="41">
        <f>75+3036+1326.58</f>
        <v>4437.58</v>
      </c>
      <c r="F130" s="41">
        <f>77.8</f>
        <v>77.8</v>
      </c>
      <c r="G130" s="41"/>
      <c r="H130" s="41">
        <f t="shared" si="23"/>
        <v>15062.22</v>
      </c>
      <c r="I130" s="41"/>
      <c r="J130" s="41"/>
      <c r="K130" s="41">
        <f>45</f>
        <v>45</v>
      </c>
      <c r="L130" s="41">
        <f t="shared" si="24"/>
        <v>45</v>
      </c>
      <c r="M130" s="41"/>
      <c r="N130" s="41">
        <v>1964.95</v>
      </c>
      <c r="O130" s="41">
        <f>262.98</f>
        <v>262.98</v>
      </c>
      <c r="P130" s="41">
        <f t="shared" si="27"/>
        <v>2227.9300000000003</v>
      </c>
      <c r="Q130" s="41"/>
      <c r="R130" s="34">
        <v>3127</v>
      </c>
      <c r="S130" s="2">
        <v>458</v>
      </c>
      <c r="T130" s="73" t="s">
        <v>146</v>
      </c>
      <c r="U130" s="41"/>
      <c r="V130" s="41"/>
      <c r="W130" s="41"/>
      <c r="X130" s="41">
        <f t="shared" si="25"/>
        <v>0</v>
      </c>
      <c r="Y130" s="41"/>
      <c r="Z130" s="41"/>
      <c r="AA130" s="41">
        <f>1571+3500</f>
        <v>5071</v>
      </c>
      <c r="AB130" s="41"/>
      <c r="AC130" s="41">
        <f t="shared" si="26"/>
        <v>5071</v>
      </c>
    </row>
    <row r="131" spans="1:29" ht="12.75" customHeight="1">
      <c r="A131" s="34">
        <v>3127</v>
      </c>
      <c r="B131" s="2">
        <v>459</v>
      </c>
      <c r="C131" s="86" t="s">
        <v>212</v>
      </c>
      <c r="D131" s="41">
        <v>8607.45</v>
      </c>
      <c r="E131" s="41">
        <f>1354.9+2252+670.54+980.6</f>
        <v>5258.040000000001</v>
      </c>
      <c r="F131" s="41">
        <f>64</f>
        <v>64</v>
      </c>
      <c r="G131" s="41"/>
      <c r="H131" s="41">
        <f t="shared" si="23"/>
        <v>13929.490000000002</v>
      </c>
      <c r="I131" s="41"/>
      <c r="J131" s="41"/>
      <c r="K131" s="41">
        <f>114.8</f>
        <v>114.8</v>
      </c>
      <c r="L131" s="41">
        <f t="shared" si="24"/>
        <v>114.8</v>
      </c>
      <c r="M131" s="41"/>
      <c r="N131" s="41">
        <v>1651.81</v>
      </c>
      <c r="O131" s="41">
        <f>333.87</f>
        <v>333.87</v>
      </c>
      <c r="P131" s="41">
        <f t="shared" si="27"/>
        <v>1985.6799999999998</v>
      </c>
      <c r="Q131" s="41"/>
      <c r="R131" s="34">
        <v>3127</v>
      </c>
      <c r="S131" s="2">
        <v>459</v>
      </c>
      <c r="T131" s="73" t="s">
        <v>131</v>
      </c>
      <c r="U131" s="41"/>
      <c r="V131" s="41"/>
      <c r="W131" s="41"/>
      <c r="X131" s="41">
        <f t="shared" si="25"/>
        <v>0</v>
      </c>
      <c r="Y131" s="41"/>
      <c r="Z131" s="41"/>
      <c r="AA131" s="41"/>
      <c r="AB131" s="41"/>
      <c r="AC131" s="41">
        <f t="shared" si="26"/>
        <v>0</v>
      </c>
    </row>
    <row r="132" spans="1:29" ht="12.75" customHeight="1" thickBot="1">
      <c r="A132" s="63">
        <v>3127</v>
      </c>
      <c r="B132" s="64">
        <v>460</v>
      </c>
      <c r="C132" s="74" t="s">
        <v>219</v>
      </c>
      <c r="D132" s="65">
        <v>10668.92</v>
      </c>
      <c r="E132" s="65">
        <f>97.2+1936+377.72</f>
        <v>2410.92</v>
      </c>
      <c r="F132" s="65">
        <f>219</f>
        <v>219</v>
      </c>
      <c r="G132" s="65"/>
      <c r="H132" s="65">
        <f t="shared" si="23"/>
        <v>13298.84</v>
      </c>
      <c r="I132" s="65"/>
      <c r="J132" s="65"/>
      <c r="K132" s="65"/>
      <c r="L132" s="65">
        <f t="shared" si="24"/>
        <v>0</v>
      </c>
      <c r="M132" s="65"/>
      <c r="N132" s="65">
        <v>837.4</v>
      </c>
      <c r="O132" s="65">
        <f>-8.59</f>
        <v>-8.59</v>
      </c>
      <c r="P132" s="65">
        <f t="shared" si="27"/>
        <v>828.81</v>
      </c>
      <c r="Q132" s="65"/>
      <c r="R132" s="63">
        <v>3127</v>
      </c>
      <c r="S132" s="64">
        <v>460</v>
      </c>
      <c r="T132" s="74" t="s">
        <v>145</v>
      </c>
      <c r="U132" s="65"/>
      <c r="V132" s="65"/>
      <c r="W132" s="65"/>
      <c r="X132" s="65">
        <f t="shared" si="25"/>
        <v>0</v>
      </c>
      <c r="Y132" s="65"/>
      <c r="Z132" s="65"/>
      <c r="AA132" s="65"/>
      <c r="AB132" s="65"/>
      <c r="AC132" s="65">
        <f t="shared" si="26"/>
        <v>0</v>
      </c>
    </row>
    <row r="133" spans="4:15" ht="12.75">
      <c r="D133" s="66"/>
      <c r="E133" s="66"/>
      <c r="F133" s="66"/>
      <c r="G133" s="66"/>
      <c r="N133" s="83"/>
      <c r="O133" s="66"/>
    </row>
    <row r="134" spans="4:15" ht="12.75">
      <c r="D134" s="66"/>
      <c r="E134" s="66"/>
      <c r="F134" s="66"/>
      <c r="G134" s="66"/>
      <c r="N134" s="66"/>
      <c r="O134" s="66"/>
    </row>
    <row r="135" spans="4:15" ht="12.75">
      <c r="D135" s="66"/>
      <c r="E135" s="66"/>
      <c r="F135" s="66"/>
      <c r="G135" s="66"/>
      <c r="N135" s="66"/>
      <c r="O135" s="66"/>
    </row>
    <row r="136" spans="4:15" ht="12.75">
      <c r="D136" s="66"/>
      <c r="E136" s="66"/>
      <c r="F136" s="66"/>
      <c r="G136" s="66"/>
      <c r="N136" s="66"/>
      <c r="O136" s="66"/>
    </row>
    <row r="137" spans="4:15" ht="12.75">
      <c r="D137" s="66"/>
      <c r="E137" s="66"/>
      <c r="F137" s="66"/>
      <c r="G137" s="66"/>
      <c r="N137" s="66"/>
      <c r="O137" s="66"/>
    </row>
    <row r="138" spans="4:15" ht="12.75">
      <c r="D138" s="66"/>
      <c r="E138" s="66"/>
      <c r="F138" s="66"/>
      <c r="G138" s="66"/>
      <c r="N138" s="66"/>
      <c r="O138" s="66"/>
    </row>
    <row r="139" spans="4:15" ht="12.75">
      <c r="D139" s="66"/>
      <c r="E139" s="66"/>
      <c r="F139" s="66"/>
      <c r="G139" s="66"/>
      <c r="N139" s="66"/>
      <c r="O139" s="66"/>
    </row>
    <row r="140" spans="14:15" ht="12.75">
      <c r="N140" s="66"/>
      <c r="O140" s="66"/>
    </row>
    <row r="141" spans="14:15" ht="12.75">
      <c r="N141" s="66"/>
      <c r="O141" s="66"/>
    </row>
    <row r="142" spans="14:15" ht="12.75">
      <c r="N142" s="66"/>
      <c r="O142" s="66"/>
    </row>
    <row r="143" spans="14:15" ht="12.75">
      <c r="N143" s="66"/>
      <c r="O143" s="66"/>
    </row>
    <row r="144" spans="14:15" ht="12.75">
      <c r="N144" s="66"/>
      <c r="O144" s="66"/>
    </row>
    <row r="145" spans="14:15" ht="12.75">
      <c r="N145" s="66"/>
      <c r="O145" s="66"/>
    </row>
    <row r="146" spans="14:15" ht="12.75">
      <c r="N146" s="66"/>
      <c r="O146" s="66"/>
    </row>
    <row r="147" spans="14:15" ht="12.75">
      <c r="N147" s="66"/>
      <c r="O147" s="66"/>
    </row>
    <row r="148" spans="14:15" ht="12.75">
      <c r="N148" s="66"/>
      <c r="O148" s="66"/>
    </row>
    <row r="149" spans="14:15" ht="12.75">
      <c r="N149" s="66"/>
      <c r="O149" s="66"/>
    </row>
    <row r="150" spans="14:15" ht="12.75">
      <c r="N150" s="66"/>
      <c r="O150" s="66"/>
    </row>
    <row r="151" spans="14:15" ht="12.75">
      <c r="N151" s="66"/>
      <c r="O151" s="66"/>
    </row>
    <row r="152" spans="14:15" ht="12.75">
      <c r="N152" s="66"/>
      <c r="O152" s="66"/>
    </row>
    <row r="153" spans="14:15" ht="12.75">
      <c r="N153" s="66"/>
      <c r="O153" s="66"/>
    </row>
    <row r="154" spans="14:15" ht="12.75">
      <c r="N154" s="66"/>
      <c r="O154" s="66"/>
    </row>
    <row r="155" spans="14:15" ht="12.75">
      <c r="N155" s="66"/>
      <c r="O155" s="66"/>
    </row>
    <row r="156" spans="14:15" ht="12.75">
      <c r="N156" s="66"/>
      <c r="O156" s="66"/>
    </row>
    <row r="157" spans="14:15" ht="12.75">
      <c r="N157" s="66"/>
      <c r="O157" s="66"/>
    </row>
    <row r="158" spans="14:15" ht="12.75">
      <c r="N158" s="66"/>
      <c r="O158" s="66"/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2024-04-18T06:25:23Z</cp:lastPrinted>
  <dcterms:created xsi:type="dcterms:W3CDTF">2002-08-26T10:16:33Z</dcterms:created>
  <dcterms:modified xsi:type="dcterms:W3CDTF">2024-04-18T06:25:35Z</dcterms:modified>
  <cp:category/>
  <cp:version/>
  <cp:contentType/>
  <cp:contentStatus/>
</cp:coreProperties>
</file>