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925" windowWidth="19260" windowHeight="5955" activeTab="0"/>
  </bookViews>
  <sheets>
    <sheet name="nápočet komponent" sheetId="1" r:id="rId1"/>
    <sheet name="souběh výkonů ŠJ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<sst xmlns="http://schemas.openxmlformats.org/spreadsheetml/2006/main" count="193" uniqueCount="111">
  <si>
    <t>parametry regresní funkce</t>
  </si>
  <si>
    <t>výkony pro výpoč</t>
  </si>
  <si>
    <t>hodnota
Np, No</t>
  </si>
  <si>
    <t>Norm. úv.
 zaměst.</t>
  </si>
  <si>
    <t>interval
(velikost)</t>
  </si>
  <si>
    <t>a0</t>
  </si>
  <si>
    <t>a1</t>
  </si>
  <si>
    <t>a2</t>
  </si>
  <si>
    <t>a3</t>
  </si>
  <si>
    <t>a4</t>
  </si>
  <si>
    <t>a5</t>
  </si>
  <si>
    <t>a6</t>
  </si>
  <si>
    <t>max (extr):</t>
  </si>
  <si>
    <t>Mateřské školy</t>
  </si>
  <si>
    <t xml:space="preserve">MŠ </t>
  </si>
  <si>
    <t>Np</t>
  </si>
  <si>
    <t>do 13 dětí</t>
  </si>
  <si>
    <t>učitelé</t>
  </si>
  <si>
    <t>MŠ</t>
  </si>
  <si>
    <t>No</t>
  </si>
  <si>
    <t>provozní z.</t>
  </si>
  <si>
    <t>107 a více</t>
  </si>
  <si>
    <t>platy/ žáka ped / nep.</t>
  </si>
  <si>
    <t>Kč</t>
  </si>
  <si>
    <t>Kpedag:</t>
  </si>
  <si>
    <t>Kneped:</t>
  </si>
  <si>
    <t>MŠ plat indiv.</t>
  </si>
  <si>
    <t>Kped</t>
  </si>
  <si>
    <t>Základní školy s 1.-5.r.</t>
  </si>
  <si>
    <t>ZŠ 1-5r.,</t>
  </si>
  <si>
    <t>do 10 žáků</t>
  </si>
  <si>
    <t>10-18 ž.</t>
  </si>
  <si>
    <t>10-94 ž.</t>
  </si>
  <si>
    <t>95 a více</t>
  </si>
  <si>
    <t>ZŠ 1-5r. indiv</t>
  </si>
  <si>
    <t>Základní školy s 1.-9.r., práce pedagogů pro 1. stupeň</t>
  </si>
  <si>
    <t>ZŠ 1.-9.r.</t>
  </si>
  <si>
    <t>do 85 žáků</t>
  </si>
  <si>
    <t>učitelé 1.st.</t>
  </si>
  <si>
    <t>85- 200 ž.</t>
  </si>
  <si>
    <t>401 a více ž.</t>
  </si>
  <si>
    <t>Základní školy s 1.-9.r., práce pedagogů pro 2. stupeň</t>
  </si>
  <si>
    <t>do 68 žáků</t>
  </si>
  <si>
    <t>učitelé 2. st.</t>
  </si>
  <si>
    <t>68 - 400 ž.</t>
  </si>
  <si>
    <t>Základní školy s 1.-9.r., práce nepedagogů (1.+ 2. stupeň)</t>
  </si>
  <si>
    <t>ZŠ 1-9.,</t>
  </si>
  <si>
    <t>do 153 ž.</t>
  </si>
  <si>
    <t>provozní zam.</t>
  </si>
  <si>
    <t>153-747 ž.</t>
  </si>
  <si>
    <t>748 a více ž.</t>
  </si>
  <si>
    <t>platy neped/žáka</t>
  </si>
  <si>
    <t xml:space="preserve">Školní družina </t>
  </si>
  <si>
    <t>vych. ŠD</t>
  </si>
  <si>
    <t>do 10 ž.</t>
  </si>
  <si>
    <t>do 1067 str.</t>
  </si>
  <si>
    <t>1067 a více</t>
  </si>
  <si>
    <t>Školní jídelna - pro stravované děti, které se vzdělávají v MŠ</t>
  </si>
  <si>
    <t>ŠJ MŠ</t>
  </si>
  <si>
    <t>Domov mládeže - pro  ubytované žáky, kteří se vzdělávají v SŠ</t>
  </si>
  <si>
    <t>do 20 ubyt.</t>
  </si>
  <si>
    <t>20-405 ubyt.</t>
  </si>
  <si>
    <t>405 a více</t>
  </si>
  <si>
    <t>pedag. DM</t>
  </si>
  <si>
    <t>normativ</t>
  </si>
  <si>
    <t>platy pedag./ žáka 1.st</t>
  </si>
  <si>
    <t>platy pedag./ žáka 2.st</t>
  </si>
  <si>
    <t>platy pedag./ žáka v ŠD</t>
  </si>
  <si>
    <t>platy/ ubyt. ped./neped</t>
  </si>
  <si>
    <t>platy neped./ stravov.</t>
  </si>
  <si>
    <t>ŠJ ZŠ, SŠ</t>
  </si>
  <si>
    <t>norm.
kompon.</t>
  </si>
  <si>
    <r>
      <t>Školní jídelna - pro stravované žáky, kteří se vzdělávají v ZŠ, SŠ</t>
    </r>
    <r>
      <rPr>
        <sz val="12"/>
        <rFont val="Arial"/>
        <family val="2"/>
      </rPr>
      <t xml:space="preserve"> - se souběhem s dětmi MŠ, celodenním stravováním</t>
    </r>
  </si>
  <si>
    <t>děti MŠ -obědy +dopl.j.</t>
  </si>
  <si>
    <t>žáci ZŠ - obědy</t>
  </si>
  <si>
    <t>žáci SŠ+VOŠ - obědy</t>
  </si>
  <si>
    <t>strávníci - žáci ZŠ, SŠ</t>
  </si>
  <si>
    <t>strávníci - děti MŠ</t>
  </si>
  <si>
    <t>strávníci</t>
  </si>
  <si>
    <t>hodnota
No</t>
  </si>
  <si>
    <t>úv. NPo</t>
  </si>
  <si>
    <t>Knep.</t>
  </si>
  <si>
    <t>celodenní strav - děti MŠ</t>
  </si>
  <si>
    <t>celodenní strav- ZŠ, SŠ, VOŠ</t>
  </si>
  <si>
    <t>celod. strav. bez obědů MŠ</t>
  </si>
  <si>
    <t>celod. strav. bez obědů ost</t>
  </si>
  <si>
    <t>CELKEM</t>
  </si>
  <si>
    <t>vývařovna - obědy pro MŠ</t>
  </si>
  <si>
    <t>vývařovna - obědy ZŠ, SŠ</t>
  </si>
  <si>
    <t>Školní jídelna - pro stravované děti, které se vzdělávají v MŠ - oběd a doplňková jídla</t>
  </si>
  <si>
    <r>
      <t>Školní jídelna - pro stravované žáky, kteří se vzdělávají v ZŠ, SŠ - obědy</t>
    </r>
    <r>
      <rPr>
        <sz val="12"/>
        <rFont val="Arial"/>
        <family val="2"/>
      </rPr>
      <t xml:space="preserve"> (bez souběhu s dětmi MŠ, celodenním stravováním)</t>
    </r>
  </si>
  <si>
    <t>Výpočet pro školní jídelnu se stravováním více typů strávníků (souběh více normativů)</t>
  </si>
  <si>
    <t xml:space="preserve">k vyplnění </t>
  </si>
  <si>
    <t>výkony dle normativů</t>
  </si>
  <si>
    <t>platy</t>
  </si>
  <si>
    <t>tis. Kč</t>
  </si>
  <si>
    <t>13 -106 dětí</t>
  </si>
  <si>
    <t>201 -400 ž.</t>
  </si>
  <si>
    <t>10-249 ž.</t>
  </si>
  <si>
    <t>250 ž. a více</t>
  </si>
  <si>
    <t>Pozn.:  pro korektní výpočet musí být vyplněny všechny výkony - nevyužitá políčka musí obsahovat 0</t>
  </si>
  <si>
    <t>13 - 33 dětí</t>
  </si>
  <si>
    <t>34 -160 dětí</t>
  </si>
  <si>
    <t>161 a více</t>
  </si>
  <si>
    <t>19-163 ž.</t>
  </si>
  <si>
    <t>164 a více</t>
  </si>
  <si>
    <t>Výpočet hodnot normativů potřeby práce pro rok 2019, normativní objem mzdových prostředků na jednotku výkonů</t>
  </si>
  <si>
    <t>155 ž. a více</t>
  </si>
  <si>
    <t>10-154 ž.</t>
  </si>
  <si>
    <t>Školní jídelna - celodenní stravování bez obědů</t>
  </si>
  <si>
    <t>Školní jídelna - celodenní stravování včetně obědů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</si>
</sst>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E+00"/>
    <numFmt numFmtId="166" formatCode="0.0000"/>
    <numFmt numFmtId="167" formatCode="0.0000000"/>
    <numFmt numFmtId="168" formatCode="0.0"/>
    <numFmt numFmtId="169" formatCode="0.000000"/>
    <numFmt numFmtId="170" formatCode="0.0000000E+00"/>
    <numFmt numFmtId="171" formatCode="0.00000E+00"/>
    <numFmt numFmtId="172" formatCode="0.000E+00"/>
    <numFmt numFmtId="173" formatCode="0.0000000000"/>
    <numFmt numFmtId="174" formatCode="0.00000000000"/>
    <numFmt numFmtId="175" formatCode="0.000000000"/>
    <numFmt numFmtId="176" formatCode="0.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Arial CE"/>
      <family val="2"/>
    </font>
    <font>
      <b/>
      <sz val="10"/>
      <name val="Times New Roman CE"/>
      <family val="1"/>
    </font>
    <font>
      <b/>
      <sz val="11"/>
      <name val="Arial CE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9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 CE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3" tint="-0.24997000396251678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 C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3EDED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/>
      <protection locked="0"/>
    </xf>
    <xf numFmtId="164" fontId="5" fillId="34" borderId="16" xfId="0" applyNumberFormat="1" applyFont="1" applyFill="1" applyBorder="1" applyAlignment="1" applyProtection="1">
      <alignment/>
      <protection/>
    </xf>
    <xf numFmtId="164" fontId="3" fillId="34" borderId="17" xfId="0" applyNumberFormat="1" applyFont="1" applyFill="1" applyBorder="1" applyAlignment="1" applyProtection="1">
      <alignment/>
      <protection/>
    </xf>
    <xf numFmtId="164" fontId="4" fillId="34" borderId="18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right"/>
      <protection/>
    </xf>
    <xf numFmtId="0" fontId="11" fillId="0" borderId="19" xfId="0" applyFont="1" applyFill="1" applyBorder="1" applyAlignment="1" applyProtection="1">
      <alignment horizontal="right"/>
      <protection/>
    </xf>
    <xf numFmtId="0" fontId="11" fillId="0" borderId="20" xfId="0" applyFont="1" applyBorder="1" applyAlignment="1" applyProtection="1">
      <alignment horizontal="right"/>
      <protection/>
    </xf>
    <xf numFmtId="2" fontId="0" fillId="0" borderId="21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/>
      <protection/>
    </xf>
    <xf numFmtId="164" fontId="0" fillId="34" borderId="24" xfId="0" applyNumberFormat="1" applyFill="1" applyBorder="1" applyAlignment="1" applyProtection="1">
      <alignment/>
      <protection/>
    </xf>
    <xf numFmtId="164" fontId="3" fillId="34" borderId="25" xfId="0" applyNumberFormat="1" applyFont="1" applyFill="1" applyBorder="1" applyAlignment="1" applyProtection="1">
      <alignment/>
      <protection/>
    </xf>
    <xf numFmtId="164" fontId="4" fillId="34" borderId="24" xfId="0" applyNumberFormat="1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 horizontal="right"/>
      <protection/>
    </xf>
    <xf numFmtId="0" fontId="10" fillId="0" borderId="27" xfId="0" applyFont="1" applyBorder="1" applyAlignment="1" applyProtection="1">
      <alignment horizontal="right"/>
      <protection/>
    </xf>
    <xf numFmtId="164" fontId="0" fillId="34" borderId="28" xfId="0" applyNumberFormat="1" applyFill="1" applyBorder="1" applyAlignment="1" applyProtection="1">
      <alignment/>
      <protection/>
    </xf>
    <xf numFmtId="164" fontId="3" fillId="34" borderId="29" xfId="0" applyNumberFormat="1" applyFont="1" applyFill="1" applyBorder="1" applyAlignment="1" applyProtection="1">
      <alignment/>
      <protection/>
    </xf>
    <xf numFmtId="164" fontId="4" fillId="34" borderId="30" xfId="0" applyNumberFormat="1" applyFont="1" applyFill="1" applyBorder="1" applyAlignment="1" applyProtection="1">
      <alignment/>
      <protection/>
    </xf>
    <xf numFmtId="165" fontId="10" fillId="0" borderId="26" xfId="0" applyNumberFormat="1" applyFont="1" applyFill="1" applyBorder="1" applyAlignment="1" applyProtection="1">
      <alignment horizontal="right"/>
      <protection/>
    </xf>
    <xf numFmtId="164" fontId="5" fillId="34" borderId="31" xfId="0" applyNumberFormat="1" applyFont="1" applyFill="1" applyBorder="1" applyAlignment="1" applyProtection="1">
      <alignment/>
      <protection/>
    </xf>
    <xf numFmtId="164" fontId="3" fillId="34" borderId="32" xfId="0" applyNumberFormat="1" applyFont="1" applyFill="1" applyBorder="1" applyAlignment="1" applyProtection="1">
      <alignment/>
      <protection/>
    </xf>
    <xf numFmtId="164" fontId="4" fillId="34" borderId="28" xfId="0" applyNumberFormat="1" applyFont="1" applyFill="1" applyBorder="1" applyAlignment="1" applyProtection="1">
      <alignment/>
      <protection/>
    </xf>
    <xf numFmtId="0" fontId="11" fillId="0" borderId="26" xfId="0" applyFont="1" applyFill="1" applyBorder="1" applyAlignment="1" applyProtection="1">
      <alignment horizontal="right"/>
      <protection/>
    </xf>
    <xf numFmtId="0" fontId="11" fillId="0" borderId="27" xfId="0" applyFont="1" applyBorder="1" applyAlignment="1" applyProtection="1">
      <alignment horizontal="right"/>
      <protection/>
    </xf>
    <xf numFmtId="166" fontId="0" fillId="34" borderId="24" xfId="0" applyNumberFormat="1" applyFill="1" applyBorder="1" applyAlignment="1" applyProtection="1">
      <alignment/>
      <protection/>
    </xf>
    <xf numFmtId="164" fontId="4" fillId="34" borderId="31" xfId="0" applyNumberFormat="1" applyFont="1" applyFill="1" applyBorder="1" applyAlignment="1" applyProtection="1">
      <alignment/>
      <protection/>
    </xf>
    <xf numFmtId="167" fontId="10" fillId="0" borderId="26" xfId="0" applyNumberFormat="1" applyFont="1" applyFill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center"/>
      <protection/>
    </xf>
    <xf numFmtId="0" fontId="0" fillId="35" borderId="34" xfId="0" applyFill="1" applyBorder="1" applyAlignment="1" applyProtection="1">
      <alignment/>
      <protection/>
    </xf>
    <xf numFmtId="166" fontId="0" fillId="34" borderId="35" xfId="0" applyNumberFormat="1" applyFill="1" applyBorder="1" applyAlignment="1" applyProtection="1">
      <alignment/>
      <protection/>
    </xf>
    <xf numFmtId="164" fontId="3" fillId="34" borderId="36" xfId="0" applyNumberFormat="1" applyFont="1" applyFill="1" applyBorder="1" applyAlignment="1" applyProtection="1">
      <alignment/>
      <protection/>
    </xf>
    <xf numFmtId="164" fontId="4" fillId="34" borderId="37" xfId="0" applyNumberFormat="1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 horizontal="right"/>
      <protection/>
    </xf>
    <xf numFmtId="0" fontId="11" fillId="0" borderId="38" xfId="0" applyFont="1" applyFill="1" applyBorder="1" applyAlignment="1" applyProtection="1">
      <alignment horizontal="right"/>
      <protection/>
    </xf>
    <xf numFmtId="0" fontId="11" fillId="0" borderId="39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0" fontId="13" fillId="0" borderId="12" xfId="0" applyFont="1" applyBorder="1" applyAlignment="1" applyProtection="1">
      <alignment/>
      <protection/>
    </xf>
    <xf numFmtId="1" fontId="13" fillId="0" borderId="12" xfId="0" applyNumberFormat="1" applyFont="1" applyBorder="1" applyAlignment="1" applyProtection="1">
      <alignment/>
      <protection/>
    </xf>
    <xf numFmtId="169" fontId="13" fillId="0" borderId="12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horizontal="center"/>
      <protection/>
    </xf>
    <xf numFmtId="0" fontId="0" fillId="35" borderId="43" xfId="0" applyFill="1" applyBorder="1" applyAlignment="1" applyProtection="1">
      <alignment/>
      <protection locked="0"/>
    </xf>
    <xf numFmtId="1" fontId="0" fillId="34" borderId="41" xfId="0" applyNumberFormat="1" applyFill="1" applyBorder="1" applyAlignment="1" applyProtection="1">
      <alignment/>
      <protection/>
    </xf>
    <xf numFmtId="164" fontId="3" fillId="34" borderId="40" xfId="0" applyNumberFormat="1" applyFont="1" applyFill="1" applyBorder="1" applyAlignment="1" applyProtection="1">
      <alignment/>
      <protection/>
    </xf>
    <xf numFmtId="164" fontId="6" fillId="34" borderId="41" xfId="0" applyNumberFormat="1" applyFont="1" applyFill="1" applyBorder="1" applyAlignment="1" applyProtection="1">
      <alignment/>
      <protection/>
    </xf>
    <xf numFmtId="0" fontId="11" fillId="0" borderId="44" xfId="0" applyFont="1" applyFill="1" applyBorder="1" applyAlignment="1" applyProtection="1">
      <alignment horizontal="right"/>
      <protection/>
    </xf>
    <xf numFmtId="0" fontId="11" fillId="0" borderId="43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center"/>
      <protection/>
    </xf>
    <xf numFmtId="1" fontId="5" fillId="33" borderId="15" xfId="0" applyNumberFormat="1" applyFont="1" applyFill="1" applyBorder="1" applyAlignment="1" applyProtection="1">
      <alignment/>
      <protection locked="0"/>
    </xf>
    <xf numFmtId="164" fontId="4" fillId="34" borderId="45" xfId="0" applyNumberFormat="1" applyFont="1" applyFill="1" applyBorder="1" applyAlignment="1" applyProtection="1">
      <alignment/>
      <protection/>
    </xf>
    <xf numFmtId="0" fontId="10" fillId="0" borderId="45" xfId="0" applyFont="1" applyFill="1" applyBorder="1" applyAlignment="1" applyProtection="1">
      <alignment horizontal="right"/>
      <protection/>
    </xf>
    <xf numFmtId="0" fontId="10" fillId="0" borderId="20" xfId="0" applyFont="1" applyBorder="1" applyAlignment="1" applyProtection="1">
      <alignment horizontal="right"/>
      <protection/>
    </xf>
    <xf numFmtId="0" fontId="0" fillId="0" borderId="46" xfId="0" applyBorder="1" applyAlignment="1" applyProtection="1">
      <alignment horizontal="center"/>
      <protection/>
    </xf>
    <xf numFmtId="0" fontId="0" fillId="35" borderId="25" xfId="0" applyFill="1" applyBorder="1" applyAlignment="1" applyProtection="1">
      <alignment/>
      <protection/>
    </xf>
    <xf numFmtId="164" fontId="4" fillId="34" borderId="47" xfId="0" applyNumberFormat="1" applyFont="1" applyFill="1" applyBorder="1" applyAlignment="1" applyProtection="1">
      <alignment/>
      <protection/>
    </xf>
    <xf numFmtId="171" fontId="10" fillId="0" borderId="26" xfId="0" applyNumberFormat="1" applyFont="1" applyFill="1" applyBorder="1" applyAlignment="1" applyProtection="1">
      <alignment horizontal="right"/>
      <protection/>
    </xf>
    <xf numFmtId="0" fontId="10" fillId="0" borderId="27" xfId="0" applyFont="1" applyBorder="1" applyAlignment="1" applyProtection="1">
      <alignment horizontal="right"/>
      <protection/>
    </xf>
    <xf numFmtId="166" fontId="0" fillId="34" borderId="28" xfId="0" applyNumberFormat="1" applyFill="1" applyBorder="1" applyAlignment="1" applyProtection="1">
      <alignment/>
      <protection/>
    </xf>
    <xf numFmtId="164" fontId="4" fillId="34" borderId="48" xfId="0" applyNumberFormat="1" applyFont="1" applyFill="1" applyBorder="1" applyAlignment="1" applyProtection="1">
      <alignment/>
      <protection/>
    </xf>
    <xf numFmtId="0" fontId="10" fillId="0" borderId="49" xfId="0" applyFont="1" applyFill="1" applyBorder="1" applyAlignment="1" applyProtection="1">
      <alignment horizontal="right"/>
      <protection/>
    </xf>
    <xf numFmtId="0" fontId="10" fillId="0" borderId="50" xfId="0" applyFont="1" applyFill="1" applyBorder="1" applyAlignment="1" applyProtection="1">
      <alignment horizontal="right"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164" fontId="4" fillId="34" borderId="49" xfId="0" applyNumberFormat="1" applyFont="1" applyFill="1" applyBorder="1" applyAlignment="1" applyProtection="1">
      <alignment/>
      <protection/>
    </xf>
    <xf numFmtId="2" fontId="10" fillId="0" borderId="49" xfId="0" applyNumberFormat="1" applyFont="1" applyFill="1" applyBorder="1" applyAlignment="1" applyProtection="1">
      <alignment horizontal="right"/>
      <protection/>
    </xf>
    <xf numFmtId="0" fontId="10" fillId="0" borderId="51" xfId="0" applyFont="1" applyBorder="1" applyAlignment="1" applyProtection="1">
      <alignment horizontal="right"/>
      <protection/>
    </xf>
    <xf numFmtId="172" fontId="13" fillId="0" borderId="12" xfId="0" applyNumberFormat="1" applyFont="1" applyBorder="1" applyAlignment="1" applyProtection="1">
      <alignment/>
      <protection/>
    </xf>
    <xf numFmtId="2" fontId="0" fillId="0" borderId="52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/>
    </xf>
    <xf numFmtId="1" fontId="0" fillId="35" borderId="43" xfId="0" applyNumberFormat="1" applyFill="1" applyBorder="1" applyAlignment="1" applyProtection="1">
      <alignment/>
      <protection locked="0"/>
    </xf>
    <xf numFmtId="2" fontId="10" fillId="0" borderId="19" xfId="0" applyNumberFormat="1" applyFont="1" applyFill="1" applyBorder="1" applyAlignment="1" applyProtection="1">
      <alignment horizontal="right"/>
      <protection/>
    </xf>
    <xf numFmtId="165" fontId="10" fillId="0" borderId="26" xfId="0" applyNumberFormat="1" applyFont="1" applyFill="1" applyBorder="1" applyAlignment="1" applyProtection="1">
      <alignment horizontal="right"/>
      <protection/>
    </xf>
    <xf numFmtId="0" fontId="0" fillId="0" borderId="53" xfId="0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/>
      <protection/>
    </xf>
    <xf numFmtId="164" fontId="4" fillId="34" borderId="54" xfId="0" applyNumberFormat="1" applyFont="1" applyFill="1" applyBorder="1" applyAlignment="1" applyProtection="1">
      <alignment/>
      <protection/>
    </xf>
    <xf numFmtId="0" fontId="10" fillId="0" borderId="53" xfId="0" applyFont="1" applyFill="1" applyBorder="1" applyAlignment="1" applyProtection="1">
      <alignment horizontal="right"/>
      <protection/>
    </xf>
    <xf numFmtId="165" fontId="10" fillId="0" borderId="53" xfId="0" applyNumberFormat="1" applyFont="1" applyFill="1" applyBorder="1" applyAlignment="1" applyProtection="1">
      <alignment horizontal="right"/>
      <protection/>
    </xf>
    <xf numFmtId="0" fontId="10" fillId="0" borderId="34" xfId="0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171" fontId="10" fillId="0" borderId="19" xfId="0" applyNumberFormat="1" applyFont="1" applyFill="1" applyBorder="1" applyAlignment="1" applyProtection="1">
      <alignment horizontal="right"/>
      <protection/>
    </xf>
    <xf numFmtId="0" fontId="10" fillId="0" borderId="47" xfId="0" applyFont="1" applyFill="1" applyBorder="1" applyAlignment="1" applyProtection="1">
      <alignment horizontal="right"/>
      <protection/>
    </xf>
    <xf numFmtId="164" fontId="4" fillId="34" borderId="55" xfId="0" applyNumberFormat="1" applyFont="1" applyFill="1" applyBorder="1" applyAlignment="1" applyProtection="1">
      <alignment/>
      <protection/>
    </xf>
    <xf numFmtId="164" fontId="4" fillId="34" borderId="56" xfId="0" applyNumberFormat="1" applyFont="1" applyFill="1" applyBorder="1" applyAlignment="1" applyProtection="1">
      <alignment/>
      <protection/>
    </xf>
    <xf numFmtId="0" fontId="10" fillId="0" borderId="39" xfId="0" applyFont="1" applyBorder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horizontal="right"/>
      <protection/>
    </xf>
    <xf numFmtId="0" fontId="10" fillId="0" borderId="40" xfId="0" applyFont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13" xfId="0" applyNumberFormat="1" applyFill="1" applyBorder="1" applyAlignment="1" applyProtection="1">
      <alignment horizontal="center"/>
      <protection/>
    </xf>
    <xf numFmtId="164" fontId="10" fillId="0" borderId="45" xfId="0" applyNumberFormat="1" applyFont="1" applyFill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center"/>
      <protection/>
    </xf>
    <xf numFmtId="164" fontId="5" fillId="34" borderId="24" xfId="0" applyNumberFormat="1" applyFont="1" applyFill="1" applyBorder="1" applyAlignment="1" applyProtection="1">
      <alignment/>
      <protection/>
    </xf>
    <xf numFmtId="0" fontId="10" fillId="0" borderId="56" xfId="0" applyFont="1" applyFill="1" applyBorder="1" applyAlignment="1" applyProtection="1">
      <alignment horizontal="right"/>
      <protection/>
    </xf>
    <xf numFmtId="0" fontId="10" fillId="0" borderId="46" xfId="0" applyFont="1" applyFill="1" applyBorder="1" applyAlignment="1" applyProtection="1">
      <alignment horizontal="right"/>
      <protection/>
    </xf>
    <xf numFmtId="173" fontId="10" fillId="0" borderId="46" xfId="0" applyNumberFormat="1" applyFont="1" applyFill="1" applyBorder="1" applyAlignment="1" applyProtection="1">
      <alignment horizontal="right"/>
      <protection/>
    </xf>
    <xf numFmtId="171" fontId="10" fillId="0" borderId="46" xfId="0" applyNumberFormat="1" applyFont="1" applyFill="1" applyBorder="1" applyAlignment="1" applyProtection="1">
      <alignment horizontal="right"/>
      <protection/>
    </xf>
    <xf numFmtId="165" fontId="10" fillId="0" borderId="46" xfId="0" applyNumberFormat="1" applyFont="1" applyFill="1" applyBorder="1" applyAlignment="1" applyProtection="1">
      <alignment horizontal="right"/>
      <protection/>
    </xf>
    <xf numFmtId="0" fontId="10" fillId="0" borderId="23" xfId="0" applyFont="1" applyBorder="1" applyAlignment="1" applyProtection="1">
      <alignment horizontal="right"/>
      <protection/>
    </xf>
    <xf numFmtId="164" fontId="4" fillId="34" borderId="57" xfId="0" applyNumberFormat="1" applyFont="1" applyFill="1" applyBorder="1" applyAlignment="1" applyProtection="1">
      <alignment/>
      <protection/>
    </xf>
    <xf numFmtId="2" fontId="10" fillId="0" borderId="57" xfId="0" applyNumberFormat="1" applyFont="1" applyFill="1" applyBorder="1" applyAlignment="1" applyProtection="1">
      <alignment horizontal="right"/>
      <protection/>
    </xf>
    <xf numFmtId="173" fontId="10" fillId="0" borderId="38" xfId="0" applyNumberFormat="1" applyFont="1" applyFill="1" applyBorder="1" applyAlignment="1" applyProtection="1">
      <alignment horizontal="right"/>
      <protection/>
    </xf>
    <xf numFmtId="170" fontId="10" fillId="0" borderId="38" xfId="0" applyNumberFormat="1" applyFont="1" applyFill="1" applyBorder="1" applyAlignment="1" applyProtection="1">
      <alignment horizontal="right"/>
      <protection/>
    </xf>
    <xf numFmtId="165" fontId="10" fillId="0" borderId="38" xfId="0" applyNumberFormat="1" applyFont="1" applyFill="1" applyBorder="1" applyAlignment="1" applyProtection="1">
      <alignment horizontal="right"/>
      <protection/>
    </xf>
    <xf numFmtId="0" fontId="0" fillId="0" borderId="52" xfId="0" applyBorder="1" applyAlignment="1" applyProtection="1">
      <alignment/>
      <protection/>
    </xf>
    <xf numFmtId="0" fontId="6" fillId="0" borderId="58" xfId="0" applyFont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/>
      <protection locked="0"/>
    </xf>
    <xf numFmtId="164" fontId="3" fillId="34" borderId="59" xfId="0" applyNumberFormat="1" applyFont="1" applyFill="1" applyBorder="1" applyAlignment="1" applyProtection="1">
      <alignment/>
      <protection/>
    </xf>
    <xf numFmtId="167" fontId="10" fillId="0" borderId="19" xfId="0" applyNumberFormat="1" applyFont="1" applyFill="1" applyBorder="1" applyAlignment="1" applyProtection="1">
      <alignment horizontal="right"/>
      <protection/>
    </xf>
    <xf numFmtId="173" fontId="10" fillId="0" borderId="19" xfId="0" applyNumberFormat="1" applyFont="1" applyFill="1" applyBorder="1" applyAlignment="1" applyProtection="1">
      <alignment horizontal="right"/>
      <protection/>
    </xf>
    <xf numFmtId="165" fontId="10" fillId="0" borderId="19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 horizontal="center"/>
      <protection/>
    </xf>
    <xf numFmtId="164" fontId="0" fillId="34" borderId="35" xfId="0" applyNumberFormat="1" applyFill="1" applyBorder="1" applyAlignment="1" applyProtection="1">
      <alignment/>
      <protection/>
    </xf>
    <xf numFmtId="164" fontId="3" fillId="34" borderId="34" xfId="0" applyNumberFormat="1" applyFont="1" applyFill="1" applyBorder="1" applyAlignment="1" applyProtection="1">
      <alignment/>
      <protection/>
    </xf>
    <xf numFmtId="2" fontId="10" fillId="0" borderId="37" xfId="0" applyNumberFormat="1" applyFont="1" applyFill="1" applyBorder="1" applyAlignment="1" applyProtection="1">
      <alignment horizontal="right"/>
      <protection/>
    </xf>
    <xf numFmtId="174" fontId="10" fillId="0" borderId="38" xfId="0" applyNumberFormat="1" applyFont="1" applyFill="1" applyBorder="1" applyAlignment="1" applyProtection="1">
      <alignment horizontal="right"/>
      <protection/>
    </xf>
    <xf numFmtId="1" fontId="10" fillId="0" borderId="38" xfId="0" applyNumberFormat="1" applyFont="1" applyFill="1" applyBorder="1" applyAlignment="1" applyProtection="1">
      <alignment horizontal="right"/>
      <protection/>
    </xf>
    <xf numFmtId="2" fontId="0" fillId="0" borderId="60" xfId="0" applyNumberForma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5" fillId="33" borderId="61" xfId="0" applyFont="1" applyFill="1" applyBorder="1" applyAlignment="1" applyProtection="1">
      <alignment/>
      <protection locked="0"/>
    </xf>
    <xf numFmtId="164" fontId="5" fillId="34" borderId="37" xfId="0" applyNumberFormat="1" applyFont="1" applyFill="1" applyBorder="1" applyAlignment="1" applyProtection="1">
      <alignment/>
      <protection/>
    </xf>
    <xf numFmtId="164" fontId="3" fillId="34" borderId="61" xfId="0" applyNumberFormat="1" applyFont="1" applyFill="1" applyBorder="1" applyAlignment="1" applyProtection="1">
      <alignment/>
      <protection/>
    </xf>
    <xf numFmtId="164" fontId="6" fillId="34" borderId="37" xfId="0" applyNumberFormat="1" applyFont="1" applyFill="1" applyBorder="1" applyAlignment="1" applyProtection="1">
      <alignment/>
      <protection/>
    </xf>
    <xf numFmtId="166" fontId="10" fillId="0" borderId="57" xfId="0" applyNumberFormat="1" applyFont="1" applyFill="1" applyBorder="1" applyAlignment="1" applyProtection="1">
      <alignment/>
      <protection/>
    </xf>
    <xf numFmtId="167" fontId="10" fillId="0" borderId="38" xfId="0" applyNumberFormat="1" applyFont="1" applyFill="1" applyBorder="1" applyAlignment="1" applyProtection="1">
      <alignment/>
      <protection/>
    </xf>
    <xf numFmtId="175" fontId="10" fillId="0" borderId="38" xfId="0" applyNumberFormat="1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  <xf numFmtId="1" fontId="10" fillId="0" borderId="39" xfId="0" applyNumberFormat="1" applyFont="1" applyBorder="1" applyAlignment="1" applyProtection="1">
      <alignment/>
      <protection/>
    </xf>
    <xf numFmtId="2" fontId="0" fillId="0" borderId="62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69" fontId="13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4" fontId="10" fillId="0" borderId="18" xfId="0" applyNumberFormat="1" applyFont="1" applyFill="1" applyBorder="1" applyAlignment="1" applyProtection="1">
      <alignment horizontal="right"/>
      <protection/>
    </xf>
    <xf numFmtId="169" fontId="10" fillId="0" borderId="19" xfId="0" applyNumberFormat="1" applyFont="1" applyFill="1" applyBorder="1" applyAlignment="1" applyProtection="1">
      <alignment horizontal="right"/>
      <protection/>
    </xf>
    <xf numFmtId="164" fontId="3" fillId="34" borderId="23" xfId="0" applyNumberFormat="1" applyFont="1" applyFill="1" applyBorder="1" applyAlignment="1" applyProtection="1">
      <alignment/>
      <protection/>
    </xf>
    <xf numFmtId="0" fontId="5" fillId="0" borderId="33" xfId="0" applyFont="1" applyBorder="1" applyAlignment="1" applyProtection="1">
      <alignment horizontal="center"/>
      <protection/>
    </xf>
    <xf numFmtId="164" fontId="10" fillId="0" borderId="37" xfId="0" applyNumberFormat="1" applyFont="1" applyFill="1" applyBorder="1" applyAlignment="1" applyProtection="1">
      <alignment horizontal="right"/>
      <protection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35" borderId="59" xfId="0" applyFill="1" applyBorder="1" applyAlignment="1" applyProtection="1">
      <alignment/>
      <protection/>
    </xf>
    <xf numFmtId="0" fontId="42" fillId="0" borderId="64" xfId="0" applyFont="1" applyBorder="1" applyAlignment="1">
      <alignment/>
    </xf>
    <xf numFmtId="0" fontId="42" fillId="0" borderId="0" xfId="0" applyFont="1" applyAlignment="1">
      <alignment/>
    </xf>
    <xf numFmtId="0" fontId="0" fillId="0" borderId="53" xfId="0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1" fontId="0" fillId="35" borderId="17" xfId="0" applyNumberFormat="1" applyFill="1" applyBorder="1" applyAlignment="1" applyProtection="1">
      <alignment/>
      <protection/>
    </xf>
    <xf numFmtId="0" fontId="42" fillId="0" borderId="63" xfId="0" applyFont="1" applyBorder="1" applyAlignment="1">
      <alignment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35" borderId="27" xfId="0" applyFont="1" applyFill="1" applyBorder="1" applyAlignment="1" applyProtection="1">
      <alignment horizontal="center" vertical="center" wrapText="1"/>
      <protection/>
    </xf>
    <xf numFmtId="0" fontId="12" fillId="36" borderId="67" xfId="0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168" fontId="5" fillId="36" borderId="12" xfId="0" applyNumberFormat="1" applyFont="1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168" fontId="5" fillId="36" borderId="11" xfId="0" applyNumberFormat="1" applyFont="1" applyFill="1" applyBorder="1" applyAlignment="1" applyProtection="1">
      <alignment/>
      <protection/>
    </xf>
    <xf numFmtId="168" fontId="42" fillId="36" borderId="12" xfId="0" applyNumberFormat="1" applyFont="1" applyFill="1" applyBorder="1" applyAlignment="1" applyProtection="1">
      <alignment/>
      <protection/>
    </xf>
    <xf numFmtId="164" fontId="15" fillId="34" borderId="17" xfId="0" applyNumberFormat="1" applyFont="1" applyFill="1" applyBorder="1" applyAlignment="1" applyProtection="1">
      <alignment horizontal="center" wrapText="1"/>
      <protection/>
    </xf>
    <xf numFmtId="164" fontId="16" fillId="34" borderId="16" xfId="0" applyNumberFormat="1" applyFont="1" applyFill="1" applyBorder="1" applyAlignment="1" applyProtection="1">
      <alignment horizontal="center" wrapText="1"/>
      <protection/>
    </xf>
    <xf numFmtId="164" fontId="16" fillId="34" borderId="17" xfId="0" applyNumberFormat="1" applyFont="1" applyFill="1" applyBorder="1" applyAlignment="1" applyProtection="1">
      <alignment horizontal="center" wrapText="1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42" fillId="0" borderId="67" xfId="0" applyFont="1" applyBorder="1" applyAlignment="1">
      <alignment/>
    </xf>
    <xf numFmtId="0" fontId="6" fillId="0" borderId="44" xfId="0" applyFont="1" applyBorder="1" applyAlignment="1" applyProtection="1">
      <alignment horizontal="center"/>
      <protection/>
    </xf>
    <xf numFmtId="166" fontId="10" fillId="0" borderId="68" xfId="0" applyNumberFormat="1" applyFont="1" applyFill="1" applyBorder="1" applyAlignment="1" applyProtection="1">
      <alignment/>
      <protection/>
    </xf>
    <xf numFmtId="167" fontId="10" fillId="0" borderId="44" xfId="0" applyNumberFormat="1" applyFont="1" applyFill="1" applyBorder="1" applyAlignment="1" applyProtection="1">
      <alignment/>
      <protection/>
    </xf>
    <xf numFmtId="175" fontId="10" fillId="0" borderId="44" xfId="0" applyNumberFormat="1" applyFont="1" applyFill="1" applyBorder="1" applyAlignment="1" applyProtection="1">
      <alignment/>
      <protection/>
    </xf>
    <xf numFmtId="0" fontId="10" fillId="0" borderId="44" xfId="0" applyFont="1" applyFill="1" applyBorder="1" applyAlignment="1" applyProtection="1">
      <alignment/>
      <protection/>
    </xf>
    <xf numFmtId="1" fontId="10" fillId="0" borderId="43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5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7" borderId="69" xfId="0" applyNumberFormat="1" applyFill="1" applyBorder="1" applyAlignment="1">
      <alignment horizontal="center"/>
    </xf>
    <xf numFmtId="2" fontId="0" fillId="37" borderId="70" xfId="0" applyNumberFormat="1" applyFill="1" applyBorder="1" applyAlignment="1">
      <alignment horizontal="center"/>
    </xf>
    <xf numFmtId="2" fontId="0" fillId="37" borderId="71" xfId="0" applyNumberFormat="1" applyFill="1" applyBorder="1" applyAlignment="1">
      <alignment horizontal="center"/>
    </xf>
    <xf numFmtId="164" fontId="3" fillId="34" borderId="59" xfId="0" applyNumberFormat="1" applyFont="1" applyFill="1" applyBorder="1" applyAlignment="1" applyProtection="1">
      <alignment horizontal="center"/>
      <protection/>
    </xf>
    <xf numFmtId="164" fontId="3" fillId="34" borderId="40" xfId="0" applyNumberFormat="1" applyFont="1" applyFill="1" applyBorder="1" applyAlignment="1" applyProtection="1">
      <alignment horizontal="center"/>
      <protection/>
    </xf>
    <xf numFmtId="164" fontId="5" fillId="34" borderId="16" xfId="0" applyNumberFormat="1" applyFont="1" applyFill="1" applyBorder="1" applyAlignment="1" applyProtection="1">
      <alignment horizontal="center"/>
      <protection/>
    </xf>
    <xf numFmtId="164" fontId="5" fillId="34" borderId="41" xfId="0" applyNumberFormat="1" applyFont="1" applyFill="1" applyBorder="1" applyAlignment="1" applyProtection="1">
      <alignment horizontal="center"/>
      <protection/>
    </xf>
    <xf numFmtId="0" fontId="0" fillId="38" borderId="69" xfId="0" applyFill="1" applyBorder="1" applyAlignment="1" applyProtection="1">
      <alignment/>
      <protection locked="0"/>
    </xf>
    <xf numFmtId="0" fontId="0" fillId="38" borderId="70" xfId="0" applyFill="1" applyBorder="1" applyAlignment="1" applyProtection="1">
      <alignment/>
      <protection locked="0"/>
    </xf>
    <xf numFmtId="0" fontId="0" fillId="38" borderId="71" xfId="0" applyFill="1" applyBorder="1" applyAlignment="1" applyProtection="1">
      <alignment/>
      <protection locked="0"/>
    </xf>
    <xf numFmtId="0" fontId="59" fillId="0" borderId="0" xfId="0" applyFont="1" applyAlignment="1">
      <alignment/>
    </xf>
    <xf numFmtId="168" fontId="5" fillId="33" borderId="17" xfId="0" applyNumberFormat="1" applyFont="1" applyFill="1" applyBorder="1" applyAlignment="1" applyProtection="1">
      <alignment/>
      <protection/>
    </xf>
    <xf numFmtId="168" fontId="5" fillId="33" borderId="40" xfId="0" applyNumberFormat="1" applyFont="1" applyFill="1" applyBorder="1" applyAlignment="1" applyProtection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2" fillId="38" borderId="0" xfId="0" applyFont="1" applyFill="1" applyAlignment="1">
      <alignment/>
    </xf>
    <xf numFmtId="2" fontId="42" fillId="0" borderId="0" xfId="0" applyNumberFormat="1" applyFont="1" applyAlignment="1">
      <alignment horizontal="center"/>
    </xf>
    <xf numFmtId="2" fontId="42" fillId="37" borderId="0" xfId="0" applyNumberFormat="1" applyFont="1" applyFill="1" applyBorder="1" applyAlignment="1">
      <alignment horizontal="center"/>
    </xf>
    <xf numFmtId="166" fontId="10" fillId="0" borderId="26" xfId="0" applyNumberFormat="1" applyFont="1" applyFill="1" applyBorder="1" applyAlignment="1" applyProtection="1">
      <alignment horizontal="right"/>
      <protection/>
    </xf>
    <xf numFmtId="166" fontId="10" fillId="0" borderId="24" xfId="0" applyNumberFormat="1" applyFont="1" applyFill="1" applyBorder="1" applyAlignment="1" applyProtection="1">
      <alignment horizontal="right"/>
      <protection/>
    </xf>
    <xf numFmtId="166" fontId="10" fillId="0" borderId="18" xfId="0" applyNumberFormat="1" applyFont="1" applyFill="1" applyBorder="1" applyAlignment="1" applyProtection="1">
      <alignment horizontal="right"/>
      <protection/>
    </xf>
    <xf numFmtId="1" fontId="0" fillId="0" borderId="21" xfId="0" applyNumberFormat="1" applyBorder="1" applyAlignment="1" applyProtection="1">
      <alignment horizontal="center"/>
      <protection/>
    </xf>
    <xf numFmtId="167" fontId="10" fillId="0" borderId="46" xfId="0" applyNumberFormat="1" applyFont="1" applyFill="1" applyBorder="1" applyAlignment="1" applyProtection="1">
      <alignment horizontal="right"/>
      <protection/>
    </xf>
    <xf numFmtId="165" fontId="10" fillId="0" borderId="44" xfId="0" applyNumberFormat="1" applyFont="1" applyFill="1" applyBorder="1" applyAlignment="1" applyProtection="1">
      <alignment horizontal="right"/>
      <protection/>
    </xf>
    <xf numFmtId="1" fontId="1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5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6" fontId="10" fillId="0" borderId="0" xfId="0" applyNumberFormat="1" applyFont="1" applyFill="1" applyBorder="1" applyAlignment="1" applyProtection="1">
      <alignment horizontal="right"/>
      <protection/>
    </xf>
    <xf numFmtId="167" fontId="10" fillId="0" borderId="0" xfId="0" applyNumberFormat="1" applyFont="1" applyFill="1" applyBorder="1" applyAlignment="1" applyProtection="1">
      <alignment horizontal="right"/>
      <protection/>
    </xf>
    <xf numFmtId="165" fontId="10" fillId="0" borderId="0" xfId="0" applyNumberFormat="1" applyFont="1" applyFill="1" applyBorder="1" applyAlignment="1" applyProtection="1">
      <alignment horizontal="right"/>
      <protection/>
    </xf>
    <xf numFmtId="11" fontId="10" fillId="0" borderId="0" xfId="0" applyNumberFormat="1" applyFont="1" applyFill="1" applyBorder="1" applyAlignment="1" applyProtection="1">
      <alignment horizontal="right"/>
      <protection/>
    </xf>
    <xf numFmtId="173" fontId="10" fillId="0" borderId="26" xfId="0" applyNumberFormat="1" applyFont="1" applyFill="1" applyBorder="1" applyAlignment="1" applyProtection="1">
      <alignment horizontal="right"/>
      <protection/>
    </xf>
    <xf numFmtId="176" fontId="10" fillId="0" borderId="26" xfId="0" applyNumberFormat="1" applyFont="1" applyFill="1" applyBorder="1" applyAlignment="1" applyProtection="1">
      <alignment horizontal="right"/>
      <protection/>
    </xf>
    <xf numFmtId="0" fontId="62" fillId="0" borderId="68" xfId="0" applyFont="1" applyFill="1" applyBorder="1" applyAlignment="1" applyProtection="1">
      <alignment horizontal="right"/>
      <protection/>
    </xf>
    <xf numFmtId="0" fontId="18" fillId="0" borderId="44" xfId="0" applyFont="1" applyFill="1" applyBorder="1" applyAlignment="1" applyProtection="1">
      <alignment horizontal="right"/>
      <protection/>
    </xf>
    <xf numFmtId="2" fontId="0" fillId="0" borderId="50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0" borderId="72" xfId="0" applyNumberFormat="1" applyBorder="1" applyAlignment="1">
      <alignment/>
    </xf>
    <xf numFmtId="2" fontId="42" fillId="0" borderId="0" xfId="0" applyNumberFormat="1" applyFont="1" applyAlignment="1">
      <alignment/>
    </xf>
    <xf numFmtId="0" fontId="5" fillId="33" borderId="59" xfId="0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="90" zoomScaleNormal="9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" sqref="A2"/>
    </sheetView>
  </sheetViews>
  <sheetFormatPr defaultColWidth="9.140625" defaultRowHeight="15"/>
  <cols>
    <col min="1" max="1" width="10.7109375" style="0" customWidth="1"/>
    <col min="7" max="7" width="10.7109375" style="0" customWidth="1"/>
    <col min="8" max="8" width="11.140625" style="0" customWidth="1"/>
    <col min="9" max="9" width="11.421875" style="0" customWidth="1"/>
    <col min="10" max="10" width="12.140625" style="0" customWidth="1"/>
    <col min="11" max="12" width="11.57421875" style="0" customWidth="1"/>
    <col min="13" max="13" width="7.00390625" style="0" customWidth="1"/>
  </cols>
  <sheetData>
    <row r="1" spans="1:15" ht="15.75">
      <c r="A1" s="1" t="s">
        <v>106</v>
      </c>
      <c r="B1" s="2"/>
      <c r="C1" s="2"/>
      <c r="D1" s="2"/>
      <c r="E1" s="3"/>
      <c r="F1" s="4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>
      <c r="A2" s="5"/>
      <c r="B2" s="2"/>
      <c r="C2" s="2"/>
      <c r="D2" s="2"/>
      <c r="E2" s="3"/>
      <c r="F2" s="4"/>
      <c r="G2" s="2" t="s">
        <v>0</v>
      </c>
      <c r="H2" s="2"/>
      <c r="I2" s="2"/>
      <c r="J2" s="2"/>
      <c r="K2" s="2"/>
      <c r="L2" s="2"/>
      <c r="M2" s="2"/>
      <c r="N2" s="2"/>
      <c r="O2" s="2"/>
    </row>
    <row r="3" spans="1:15" ht="26.25" thickBot="1">
      <c r="A3" s="180" t="s">
        <v>64</v>
      </c>
      <c r="B3" s="181" t="s">
        <v>71</v>
      </c>
      <c r="C3" s="182" t="s">
        <v>1</v>
      </c>
      <c r="D3" s="190" t="s">
        <v>2</v>
      </c>
      <c r="E3" s="191" t="s">
        <v>3</v>
      </c>
      <c r="F3" s="189" t="s">
        <v>4</v>
      </c>
      <c r="G3" s="192" t="s">
        <v>5</v>
      </c>
      <c r="H3" s="193" t="s">
        <v>6</v>
      </c>
      <c r="I3" s="193" t="s">
        <v>7</v>
      </c>
      <c r="J3" s="193" t="s">
        <v>8</v>
      </c>
      <c r="K3" s="193" t="s">
        <v>9</v>
      </c>
      <c r="L3" s="193" t="s">
        <v>10</v>
      </c>
      <c r="M3" s="193" t="s">
        <v>11</v>
      </c>
      <c r="N3" s="6"/>
      <c r="O3" s="7" t="s">
        <v>12</v>
      </c>
    </row>
    <row r="4" spans="1:15" ht="16.5" thickBot="1">
      <c r="A4" s="8" t="s">
        <v>13</v>
      </c>
      <c r="B4" s="9"/>
      <c r="C4" s="10"/>
      <c r="D4" s="11"/>
      <c r="E4" s="11"/>
      <c r="F4" s="12"/>
      <c r="G4" s="13"/>
      <c r="H4" s="13"/>
      <c r="I4" s="13"/>
      <c r="J4" s="13"/>
      <c r="K4" s="13"/>
      <c r="L4" s="13"/>
      <c r="M4" s="13"/>
      <c r="N4" s="6"/>
      <c r="O4" s="14"/>
    </row>
    <row r="5" spans="1:15" ht="15.75" thickBot="1">
      <c r="A5" s="170" t="s">
        <v>14</v>
      </c>
      <c r="B5" s="15" t="s">
        <v>15</v>
      </c>
      <c r="C5" s="16">
        <v>15</v>
      </c>
      <c r="D5" s="17">
        <f>ROUND(IF(C5&lt;O5,G5,IF(C5&lt;O6,G6+H6*C5+I6*C5^2+J6*C5^3+K6*C5^4+L6*C5^5+M6*C5^6,IF(C5&lt;O7,G7+H7*C5+I7*C5^2+J7*C5^3+K7*C5^4+L7*C5^5+M7*C5^6,G8))),2)</f>
        <v>9.24</v>
      </c>
      <c r="E5" s="18">
        <f>ROUND(C5/D5,2)</f>
        <v>1.62</v>
      </c>
      <c r="F5" s="19" t="s">
        <v>16</v>
      </c>
      <c r="G5" s="20">
        <v>8.72</v>
      </c>
      <c r="H5" s="20"/>
      <c r="I5" s="20"/>
      <c r="J5" s="21"/>
      <c r="K5" s="21"/>
      <c r="L5" s="21"/>
      <c r="M5" s="22"/>
      <c r="N5" s="2"/>
      <c r="O5" s="23">
        <v>13</v>
      </c>
    </row>
    <row r="6" spans="1:15" ht="15">
      <c r="A6" s="174" t="s">
        <v>17</v>
      </c>
      <c r="B6" s="24"/>
      <c r="C6" s="25"/>
      <c r="D6" s="26"/>
      <c r="E6" s="27"/>
      <c r="F6" s="28" t="s">
        <v>101</v>
      </c>
      <c r="G6" s="29">
        <v>7.2414</v>
      </c>
      <c r="H6" s="29">
        <v>-0.1518512</v>
      </c>
      <c r="I6" s="29">
        <v>0.03172556</v>
      </c>
      <c r="J6" s="240">
        <v>-0.0009884751</v>
      </c>
      <c r="K6" s="34">
        <v>9.357373E-06</v>
      </c>
      <c r="L6" s="34"/>
      <c r="M6" s="30">
        <v>0</v>
      </c>
      <c r="N6" s="2"/>
      <c r="O6" s="23">
        <v>34</v>
      </c>
    </row>
    <row r="7" spans="1:15" ht="15">
      <c r="A7" s="171"/>
      <c r="B7" s="24"/>
      <c r="C7" s="25"/>
      <c r="D7" s="26"/>
      <c r="E7" s="27"/>
      <c r="F7" s="33" t="s">
        <v>102</v>
      </c>
      <c r="G7" s="29">
        <v>11.4409</v>
      </c>
      <c r="H7" s="241">
        <v>0.03625918</v>
      </c>
      <c r="I7" s="34">
        <v>-0.0002827303</v>
      </c>
      <c r="J7" s="34">
        <v>7.958737E-07</v>
      </c>
      <c r="K7" s="34"/>
      <c r="L7" s="34"/>
      <c r="M7" s="30">
        <v>0</v>
      </c>
      <c r="N7" s="2"/>
      <c r="O7" s="23">
        <v>160</v>
      </c>
    </row>
    <row r="8" spans="1:15" ht="15.75" thickBot="1">
      <c r="A8" s="172"/>
      <c r="B8" s="43"/>
      <c r="C8" s="44"/>
      <c r="D8" s="31"/>
      <c r="E8" s="32"/>
      <c r="F8" s="37" t="s">
        <v>103</v>
      </c>
      <c r="G8" s="29">
        <v>13.26</v>
      </c>
      <c r="H8" s="42"/>
      <c r="I8" s="29"/>
      <c r="J8" s="34"/>
      <c r="K8" s="34"/>
      <c r="L8" s="34"/>
      <c r="M8" s="30"/>
      <c r="N8" s="2"/>
      <c r="O8" s="23"/>
    </row>
    <row r="9" spans="1:15" ht="15">
      <c r="A9" s="170" t="s">
        <v>18</v>
      </c>
      <c r="B9" s="66" t="s">
        <v>19</v>
      </c>
      <c r="C9" s="173">
        <f>C5</f>
        <v>15</v>
      </c>
      <c r="D9" s="35">
        <f>ROUND(IF(C9&lt;13,G9,IF(C9&lt;O10,G10+H10*C9+I10*C9^2+J10*C9^3+K10*C9^4+L10*C9^5+M10*C9^6,G10+H10*O10+I10*O10^2+J10*O10^3+K10*O10^4+L10*O10^5+M10*O10^6)),2)</f>
        <v>32.7</v>
      </c>
      <c r="E9" s="36">
        <f>ROUND(C9/D9,2)</f>
        <v>0.46</v>
      </c>
      <c r="F9" s="37" t="s">
        <v>16</v>
      </c>
      <c r="G9" s="29">
        <v>32.51</v>
      </c>
      <c r="H9" s="29"/>
      <c r="I9" s="29"/>
      <c r="J9" s="38"/>
      <c r="K9" s="38"/>
      <c r="L9" s="38"/>
      <c r="M9" s="39"/>
      <c r="N9" s="2"/>
      <c r="O9" s="23"/>
    </row>
    <row r="10" spans="1:15" ht="15">
      <c r="A10" s="174" t="s">
        <v>20</v>
      </c>
      <c r="B10" s="24"/>
      <c r="C10" s="25"/>
      <c r="D10" s="40"/>
      <c r="E10" s="27"/>
      <c r="F10" s="41" t="s">
        <v>96</v>
      </c>
      <c r="G10" s="29">
        <v>31.154999999999998</v>
      </c>
      <c r="H10" s="42">
        <v>0.11085149999999998</v>
      </c>
      <c r="I10" s="42">
        <v>-0.0005024999999999999</v>
      </c>
      <c r="J10" s="38"/>
      <c r="K10" s="38"/>
      <c r="L10" s="38"/>
      <c r="M10" s="39"/>
      <c r="N10" s="2"/>
      <c r="O10" s="23">
        <v>107</v>
      </c>
    </row>
    <row r="11" spans="1:15" ht="15.75" thickBot="1">
      <c r="A11" s="172"/>
      <c r="B11" s="43"/>
      <c r="C11" s="44"/>
      <c r="D11" s="45"/>
      <c r="E11" s="46"/>
      <c r="F11" s="47" t="s">
        <v>21</v>
      </c>
      <c r="G11" s="48">
        <v>37.26</v>
      </c>
      <c r="H11" s="48"/>
      <c r="I11" s="48"/>
      <c r="J11" s="49"/>
      <c r="K11" s="49"/>
      <c r="L11" s="49"/>
      <c r="M11" s="50"/>
      <c r="N11" s="2"/>
      <c r="O11" s="23"/>
    </row>
    <row r="12" spans="1:13" ht="18.75" customHeight="1" thickBot="1">
      <c r="A12" s="183" t="s">
        <v>22</v>
      </c>
      <c r="B12" s="184"/>
      <c r="C12" s="185">
        <f>1/D5*12*G12</f>
        <v>42568.831168831166</v>
      </c>
      <c r="D12" s="185">
        <f>1/D9*12*I12</f>
        <v>6064.220183486238</v>
      </c>
      <c r="E12" s="51" t="s">
        <v>23</v>
      </c>
      <c r="F12" s="52" t="s">
        <v>24</v>
      </c>
      <c r="G12" s="53">
        <v>32778</v>
      </c>
      <c r="H12" s="52" t="s">
        <v>25</v>
      </c>
      <c r="I12" s="54">
        <v>16525</v>
      </c>
      <c r="J12" s="55"/>
      <c r="K12" s="56"/>
      <c r="L12" s="56"/>
      <c r="M12" s="57"/>
    </row>
    <row r="13" ht="15.75" thickBot="1"/>
    <row r="14" spans="1:15" ht="15.75" thickBot="1">
      <c r="A14" s="58" t="s">
        <v>26</v>
      </c>
      <c r="B14" s="59" t="s">
        <v>27</v>
      </c>
      <c r="C14" s="60">
        <f>C5</f>
        <v>15</v>
      </c>
      <c r="D14" s="61">
        <f>IF(C14&gt;13,G14+H14*C14+I14*C14^2+J14*C14^3,G14+H14*13+I14*13^2+J14*13^3)</f>
        <v>32980.4801025</v>
      </c>
      <c r="E14" s="62"/>
      <c r="F14" s="63"/>
      <c r="G14" s="242">
        <v>33168</v>
      </c>
      <c r="H14" s="243">
        <v>-13.50769</v>
      </c>
      <c r="I14" s="243">
        <v>0.0670909</v>
      </c>
      <c r="J14" s="64"/>
      <c r="K14" s="64"/>
      <c r="L14" s="64"/>
      <c r="M14" s="65"/>
      <c r="N14" s="2"/>
      <c r="O14" s="23">
        <v>100.67</v>
      </c>
    </row>
    <row r="16" ht="16.5" thickBot="1">
      <c r="A16" s="8" t="s">
        <v>28</v>
      </c>
    </row>
    <row r="17" spans="1:24" ht="15.75" thickBot="1">
      <c r="A17" s="170" t="s">
        <v>29</v>
      </c>
      <c r="B17" s="66" t="s">
        <v>15</v>
      </c>
      <c r="C17" s="67">
        <v>20</v>
      </c>
      <c r="D17" s="17">
        <f>ROUND(IF(C17&lt;O17,G17,IF(C17&lt;O18,G18+H18*C17+I18*C17^2+J18*C17^3+K18*C17^4+L18*C17^5+M18*C17^6,IF(C17&lt;O19,G19+H19*C17+I19*C17^2+J19*C17^3+K19*C17^4+L19*C17^5+M19*C17^6,G20))),2)</f>
        <v>9.53</v>
      </c>
      <c r="E17" s="18">
        <f>ROUND(C17/D17,2)</f>
        <v>2.1</v>
      </c>
      <c r="F17" s="68" t="s">
        <v>30</v>
      </c>
      <c r="G17" s="69">
        <v>6.65</v>
      </c>
      <c r="H17" s="20"/>
      <c r="I17" s="20"/>
      <c r="J17" s="20"/>
      <c r="K17" s="20"/>
      <c r="L17" s="20"/>
      <c r="M17" s="70"/>
      <c r="N17" s="2"/>
      <c r="O17" s="23">
        <v>10</v>
      </c>
      <c r="Q17" s="235"/>
      <c r="R17" s="235"/>
      <c r="S17" s="235"/>
      <c r="T17" s="235"/>
      <c r="U17" s="235"/>
      <c r="V17" s="235"/>
      <c r="W17" s="235"/>
      <c r="X17" s="232"/>
    </row>
    <row r="18" spans="1:24" ht="15">
      <c r="A18" s="174" t="s">
        <v>17</v>
      </c>
      <c r="B18" s="71"/>
      <c r="C18" s="72"/>
      <c r="D18" s="40"/>
      <c r="E18" s="27"/>
      <c r="F18" s="73" t="s">
        <v>31</v>
      </c>
      <c r="G18" s="225">
        <v>3.6398</v>
      </c>
      <c r="H18" s="42">
        <v>0.144604</v>
      </c>
      <c r="I18" s="29">
        <v>0.02364023</v>
      </c>
      <c r="J18" s="91">
        <v>-0.0008034591</v>
      </c>
      <c r="K18" s="74"/>
      <c r="L18" s="29"/>
      <c r="M18" s="75"/>
      <c r="N18" s="2"/>
      <c r="O18" s="23">
        <v>19</v>
      </c>
      <c r="Q18" s="236"/>
      <c r="R18" s="237"/>
      <c r="S18" s="104"/>
      <c r="T18" s="238"/>
      <c r="U18" s="233"/>
      <c r="V18" s="234"/>
      <c r="W18" s="234"/>
      <c r="X18" s="231"/>
    </row>
    <row r="19" spans="1:24" ht="15">
      <c r="A19" s="171"/>
      <c r="B19" s="71"/>
      <c r="C19" s="72"/>
      <c r="D19" s="40"/>
      <c r="E19" s="27"/>
      <c r="F19" s="73" t="s">
        <v>104</v>
      </c>
      <c r="G19" s="225">
        <v>6.8407</v>
      </c>
      <c r="H19" s="42">
        <v>0.1513346</v>
      </c>
      <c r="I19" s="91">
        <v>-0.0008870219</v>
      </c>
      <c r="J19" s="91">
        <v>2.022959E-06</v>
      </c>
      <c r="K19" s="91"/>
      <c r="L19" s="91"/>
      <c r="M19" s="75"/>
      <c r="N19" s="2"/>
      <c r="O19" s="23">
        <v>164</v>
      </c>
      <c r="Q19" s="236"/>
      <c r="R19" s="237"/>
      <c r="S19" s="238"/>
      <c r="T19" s="238"/>
      <c r="U19" s="239"/>
      <c r="V19" s="239"/>
      <c r="W19" s="234"/>
      <c r="X19" s="232"/>
    </row>
    <row r="20" spans="1:24" ht="15.75" thickBot="1">
      <c r="A20" s="172"/>
      <c r="B20" s="176"/>
      <c r="C20" s="93"/>
      <c r="D20" s="76"/>
      <c r="E20" s="32"/>
      <c r="F20" s="77" t="s">
        <v>105</v>
      </c>
      <c r="G20" s="84">
        <v>16.7</v>
      </c>
      <c r="H20" s="79"/>
      <c r="I20" s="79"/>
      <c r="J20" s="80"/>
      <c r="K20" s="80"/>
      <c r="L20" s="80"/>
      <c r="M20" s="81"/>
      <c r="N20" s="2"/>
      <c r="O20" s="23"/>
      <c r="Q20" s="235"/>
      <c r="R20" s="235"/>
      <c r="S20" s="235"/>
      <c r="T20" s="235"/>
      <c r="U20" s="235"/>
      <c r="V20" s="235"/>
      <c r="W20" s="235"/>
      <c r="X20" s="232"/>
    </row>
    <row r="21" spans="1:15" ht="15">
      <c r="A21" s="170" t="s">
        <v>29</v>
      </c>
      <c r="B21" s="177" t="s">
        <v>19</v>
      </c>
      <c r="C21" s="178">
        <f>C17</f>
        <v>20</v>
      </c>
      <c r="D21" s="35">
        <f>ROUND(IF(C21&lt;O21,G21,IF(C21&lt;O22,G22+H22*C21+I22*C21^2+J22*C21^3+K22*C21^4+L22*C21^5+M22*C21^6,G23)),2)</f>
        <v>28.88</v>
      </c>
      <c r="E21" s="36">
        <f>ROUND(C21/D21,2)</f>
        <v>0.69</v>
      </c>
      <c r="F21" s="77" t="s">
        <v>30</v>
      </c>
      <c r="G21" s="78">
        <v>23.03</v>
      </c>
      <c r="H21" s="80"/>
      <c r="I21" s="80"/>
      <c r="J21" s="80"/>
      <c r="K21" s="80"/>
      <c r="L21" s="80"/>
      <c r="M21" s="81"/>
      <c r="N21" s="2"/>
      <c r="O21" s="23">
        <v>10</v>
      </c>
    </row>
    <row r="22" spans="1:15" ht="15">
      <c r="A22" s="174" t="s">
        <v>20</v>
      </c>
      <c r="B22" s="82"/>
      <c r="C22" s="72"/>
      <c r="D22" s="40"/>
      <c r="E22" s="27"/>
      <c r="F22" s="73" t="s">
        <v>32</v>
      </c>
      <c r="G22" s="78">
        <v>16.447</v>
      </c>
      <c r="H22" s="78">
        <v>0.6955854</v>
      </c>
      <c r="I22" s="78">
        <v>-0.003687707</v>
      </c>
      <c r="J22" s="80"/>
      <c r="K22" s="80"/>
      <c r="L22" s="80"/>
      <c r="M22" s="81"/>
      <c r="N22" s="2"/>
      <c r="O22" s="23">
        <v>94.31</v>
      </c>
    </row>
    <row r="23" spans="1:15" ht="15.75" thickBot="1">
      <c r="A23" s="172"/>
      <c r="B23" s="92"/>
      <c r="C23" s="93"/>
      <c r="D23" s="40"/>
      <c r="E23" s="27"/>
      <c r="F23" s="83" t="s">
        <v>33</v>
      </c>
      <c r="G23" s="84">
        <v>49.25</v>
      </c>
      <c r="H23" s="79"/>
      <c r="I23" s="79"/>
      <c r="J23" s="79"/>
      <c r="K23" s="79"/>
      <c r="L23" s="79"/>
      <c r="M23" s="85"/>
      <c r="N23" s="2"/>
      <c r="O23" s="23"/>
    </row>
    <row r="24" spans="1:15" ht="21.75" customHeight="1" thickBot="1">
      <c r="A24" s="183" t="s">
        <v>22</v>
      </c>
      <c r="B24" s="184"/>
      <c r="C24" s="185">
        <f>12/D17*G24</f>
        <v>48761.804826862535</v>
      </c>
      <c r="D24" s="185">
        <f>12/D21*I24</f>
        <v>7782.548476454294</v>
      </c>
      <c r="E24" s="51" t="s">
        <v>23</v>
      </c>
      <c r="F24" s="52" t="s">
        <v>24</v>
      </c>
      <c r="G24" s="53">
        <v>38725</v>
      </c>
      <c r="H24" s="52" t="s">
        <v>25</v>
      </c>
      <c r="I24" s="54">
        <v>18730</v>
      </c>
      <c r="J24" s="86"/>
      <c r="K24" s="56"/>
      <c r="L24" s="56"/>
      <c r="M24" s="57"/>
      <c r="N24" s="2"/>
      <c r="O24" s="87"/>
    </row>
    <row r="25" spans="1:15" ht="15.75" thickBot="1">
      <c r="A25" s="2"/>
      <c r="B25" s="2"/>
      <c r="C25" s="2"/>
      <c r="D25" s="2"/>
      <c r="E25" s="3"/>
      <c r="F25" s="4"/>
      <c r="G25" s="2"/>
      <c r="H25" s="2"/>
      <c r="I25" s="2"/>
      <c r="J25" s="2"/>
      <c r="K25" s="2"/>
      <c r="L25" s="2"/>
      <c r="M25" s="2"/>
      <c r="N25" s="2"/>
      <c r="O25" s="88"/>
    </row>
    <row r="26" spans="1:15" ht="15.75" thickBot="1">
      <c r="A26" s="58" t="s">
        <v>34</v>
      </c>
      <c r="B26" s="59" t="s">
        <v>27</v>
      </c>
      <c r="C26" s="89">
        <f>C17</f>
        <v>20</v>
      </c>
      <c r="D26" s="61">
        <f>G26+H26*C26+I26*C26^2+J26*C26^3+K26*C26^4+L26*C26^5</f>
        <v>40031.11691999999</v>
      </c>
      <c r="E26" s="62"/>
      <c r="F26" s="63"/>
      <c r="G26" s="242">
        <v>41024</v>
      </c>
      <c r="H26" s="243">
        <v>-54.30895</v>
      </c>
      <c r="I26" s="243">
        <v>0.2332398</v>
      </c>
      <c r="J26" s="64"/>
      <c r="K26" s="64"/>
      <c r="L26" s="64"/>
      <c r="M26" s="65"/>
      <c r="N26" s="2"/>
      <c r="O26" s="23">
        <v>100.67</v>
      </c>
    </row>
    <row r="27" ht="29.25" customHeight="1" thickBot="1">
      <c r="A27" s="8" t="s">
        <v>35</v>
      </c>
    </row>
    <row r="28" spans="1:15" ht="15.75" thickBot="1">
      <c r="A28" s="170" t="s">
        <v>36</v>
      </c>
      <c r="B28" s="66" t="s">
        <v>15</v>
      </c>
      <c r="C28" s="16">
        <v>200</v>
      </c>
      <c r="D28" s="17">
        <f>ROUND(IF(C28&lt;O28,G28,IF(C28&lt;O29,G29+H29*C28+I29*C28^2+J29*C28^3+K29*C28^4+L29*C28^5+M29*C28^6,IF(C28&lt;O30,G30+H30*C28+I30*C28^2+J30*C28^3+K30*C28^4+L30*C28^5+M30*C28^6,G31))),2)</f>
        <v>18.91</v>
      </c>
      <c r="E28" s="18">
        <f>ROUND(C28/D28,2)</f>
        <v>10.58</v>
      </c>
      <c r="F28" s="68" t="s">
        <v>37</v>
      </c>
      <c r="G28" s="90">
        <v>15.42</v>
      </c>
      <c r="H28" s="90"/>
      <c r="I28" s="90"/>
      <c r="J28" s="90"/>
      <c r="K28" s="90"/>
      <c r="L28" s="90"/>
      <c r="M28" s="70"/>
      <c r="N28" s="2"/>
      <c r="O28" s="23">
        <v>85</v>
      </c>
    </row>
    <row r="29" spans="1:15" ht="15">
      <c r="A29" s="174" t="s">
        <v>38</v>
      </c>
      <c r="B29" s="71"/>
      <c r="C29" s="72"/>
      <c r="D29" s="40"/>
      <c r="E29" s="27"/>
      <c r="F29" s="33" t="s">
        <v>39</v>
      </c>
      <c r="G29" s="225">
        <v>10.110299999999999</v>
      </c>
      <c r="H29" s="29">
        <v>0.04263938</v>
      </c>
      <c r="I29" s="91">
        <v>0.0006223452</v>
      </c>
      <c r="J29" s="91">
        <v>-6.003169E-06</v>
      </c>
      <c r="K29" s="91">
        <v>1.84695E-08</v>
      </c>
      <c r="L29" s="91">
        <v>-1.922312E-11</v>
      </c>
      <c r="M29" s="75"/>
      <c r="N29" s="2"/>
      <c r="O29" s="23">
        <v>200</v>
      </c>
    </row>
    <row r="30" spans="1:15" ht="15">
      <c r="A30" s="171"/>
      <c r="B30" s="71"/>
      <c r="C30" s="72"/>
      <c r="D30" s="40"/>
      <c r="E30" s="27"/>
      <c r="F30" s="33" t="s">
        <v>97</v>
      </c>
      <c r="G30" s="225">
        <v>20.394</v>
      </c>
      <c r="H30" s="29">
        <v>-0.07529091</v>
      </c>
      <c r="I30" s="91">
        <v>0.0007802618</v>
      </c>
      <c r="J30" s="91">
        <v>-3.325777E-06</v>
      </c>
      <c r="K30" s="91">
        <v>6.604081E-09</v>
      </c>
      <c r="L30" s="91">
        <v>-5.001565E-12</v>
      </c>
      <c r="M30" s="75"/>
      <c r="N30" s="2"/>
      <c r="O30" s="23">
        <v>401</v>
      </c>
    </row>
    <row r="31" spans="1:15" ht="15.75" thickBot="1">
      <c r="A31" s="172"/>
      <c r="B31" s="92"/>
      <c r="C31" s="93"/>
      <c r="D31" s="45"/>
      <c r="E31" s="46"/>
      <c r="F31" s="94" t="s">
        <v>40</v>
      </c>
      <c r="G31" s="95">
        <v>20.12</v>
      </c>
      <c r="H31" s="95"/>
      <c r="I31" s="96"/>
      <c r="J31" s="96"/>
      <c r="K31" s="96"/>
      <c r="L31" s="96"/>
      <c r="M31" s="97"/>
      <c r="N31" s="2"/>
      <c r="O31" s="23"/>
    </row>
    <row r="32" spans="1:15" ht="15.75" thickBot="1">
      <c r="A32" s="183" t="s">
        <v>65</v>
      </c>
      <c r="B32" s="184"/>
      <c r="C32" s="185">
        <f>12/D28*G32</f>
        <v>24574.29931253305</v>
      </c>
      <c r="D32" s="51" t="s">
        <v>23</v>
      </c>
      <c r="E32" s="56"/>
      <c r="F32" s="52" t="s">
        <v>24</v>
      </c>
      <c r="G32" s="53">
        <v>38725</v>
      </c>
      <c r="H32" s="56"/>
      <c r="I32" s="56"/>
      <c r="J32" s="56"/>
      <c r="K32" s="56"/>
      <c r="L32" s="56"/>
      <c r="M32" s="98"/>
      <c r="N32" s="2"/>
      <c r="O32" s="23"/>
    </row>
    <row r="33" spans="1:15" ht="27.75" customHeight="1" thickBot="1">
      <c r="A33" s="8" t="s">
        <v>41</v>
      </c>
      <c r="B33" s="99"/>
      <c r="C33" s="100"/>
      <c r="D33" s="101"/>
      <c r="E33" s="102"/>
      <c r="F33" s="103"/>
      <c r="G33" s="104"/>
      <c r="H33" s="104"/>
      <c r="I33" s="104"/>
      <c r="J33" s="104"/>
      <c r="K33" s="104"/>
      <c r="L33" s="104"/>
      <c r="M33" s="104"/>
      <c r="N33" s="2"/>
      <c r="O33" s="23"/>
    </row>
    <row r="34" spans="1:15" ht="15.75" thickBot="1">
      <c r="A34" s="170" t="s">
        <v>36</v>
      </c>
      <c r="B34" s="66" t="s">
        <v>15</v>
      </c>
      <c r="C34" s="16">
        <v>420</v>
      </c>
      <c r="D34" s="17">
        <f>ROUND(IF(C34&lt;O34,G34+H34*C34+I34*C34^2+J34*C34^3+K34*C34^4+L34*C34^5+M34*C34^6,IF(C34&lt;O35,G35+H35*C34+I35*C34^2+J35*C34^3+K35*C34^4+L35*C34^5+M35*C34^6,G36)),2)</f>
        <v>14.31</v>
      </c>
      <c r="E34" s="18">
        <f>ROUND(C34/D34,2)</f>
        <v>29.35</v>
      </c>
      <c r="F34" s="68" t="s">
        <v>42</v>
      </c>
      <c r="G34" s="69">
        <v>10.41</v>
      </c>
      <c r="H34" s="20"/>
      <c r="I34" s="20"/>
      <c r="J34" s="105"/>
      <c r="K34" s="105"/>
      <c r="L34" s="105"/>
      <c r="M34" s="70"/>
      <c r="N34" s="2"/>
      <c r="O34" s="23">
        <v>68</v>
      </c>
    </row>
    <row r="35" spans="1:15" ht="15">
      <c r="A35" s="174" t="s">
        <v>43</v>
      </c>
      <c r="B35" s="71"/>
      <c r="C35" s="72"/>
      <c r="D35" s="40"/>
      <c r="E35" s="27"/>
      <c r="F35" s="33" t="s">
        <v>44</v>
      </c>
      <c r="G35" s="106">
        <v>2.4452</v>
      </c>
      <c r="H35" s="29">
        <v>0.1931431</v>
      </c>
      <c r="I35" s="29">
        <v>-0.001453898</v>
      </c>
      <c r="J35" s="91">
        <v>5.613024E-06</v>
      </c>
      <c r="K35" s="91">
        <v>-1.062034E-08</v>
      </c>
      <c r="L35" s="91">
        <v>7.800473E-12</v>
      </c>
      <c r="M35" s="75"/>
      <c r="N35" s="2"/>
      <c r="O35" s="23">
        <v>401</v>
      </c>
    </row>
    <row r="36" spans="1:15" ht="15.75" thickBot="1">
      <c r="A36" s="172"/>
      <c r="B36" s="92"/>
      <c r="C36" s="93"/>
      <c r="D36" s="45"/>
      <c r="E36" s="46"/>
      <c r="F36" s="94" t="s">
        <v>40</v>
      </c>
      <c r="G36" s="95">
        <v>14.31</v>
      </c>
      <c r="H36" s="95"/>
      <c r="I36" s="96"/>
      <c r="J36" s="96"/>
      <c r="K36" s="96"/>
      <c r="L36" s="96"/>
      <c r="M36" s="97"/>
      <c r="N36" s="2"/>
      <c r="O36" s="87"/>
    </row>
    <row r="37" spans="1:15" ht="15.75" thickBot="1">
      <c r="A37" s="183" t="s">
        <v>66</v>
      </c>
      <c r="B37" s="184"/>
      <c r="C37" s="185">
        <f>12/D34*G37</f>
        <v>32473.794549266247</v>
      </c>
      <c r="D37" s="51" t="s">
        <v>23</v>
      </c>
      <c r="E37" s="56"/>
      <c r="F37" s="52" t="s">
        <v>24</v>
      </c>
      <c r="G37" s="53">
        <v>38725</v>
      </c>
      <c r="H37" s="56"/>
      <c r="I37" s="56"/>
      <c r="J37" s="56"/>
      <c r="K37" s="56"/>
      <c r="L37" s="56"/>
      <c r="M37" s="98"/>
      <c r="N37" s="2"/>
      <c r="O37" s="87"/>
    </row>
    <row r="38" spans="1:15" ht="24.75" customHeight="1" thickBot="1">
      <c r="A38" s="8" t="s">
        <v>45</v>
      </c>
      <c r="B38" s="99"/>
      <c r="C38" s="100"/>
      <c r="D38" s="101"/>
      <c r="E38" s="102"/>
      <c r="F38" s="103"/>
      <c r="G38" s="104"/>
      <c r="H38" s="104"/>
      <c r="I38" s="104"/>
      <c r="J38" s="104"/>
      <c r="K38" s="104"/>
      <c r="L38" s="104"/>
      <c r="M38" s="104"/>
      <c r="N38" s="2"/>
      <c r="O38" s="88"/>
    </row>
    <row r="39" spans="1:15" ht="15.75" thickBot="1">
      <c r="A39" s="170" t="s">
        <v>46</v>
      </c>
      <c r="B39" s="66" t="s">
        <v>19</v>
      </c>
      <c r="C39" s="16">
        <v>150</v>
      </c>
      <c r="D39" s="17">
        <f>ROUND(IF(C39&lt;O39,G39,IF(C39&lt;O40,G40+H40*C39+I40*C39^2+J40*C39^3+K40*C39^4+L40*C39^5+M40*C39^6,G41)),2)</f>
        <v>48.68</v>
      </c>
      <c r="E39" s="18">
        <f>ROUND(C39/D39,2)</f>
        <v>3.08</v>
      </c>
      <c r="F39" s="107" t="s">
        <v>47</v>
      </c>
      <c r="G39" s="20">
        <v>48.68</v>
      </c>
      <c r="H39" s="20"/>
      <c r="I39" s="20"/>
      <c r="J39" s="20"/>
      <c r="K39" s="20"/>
      <c r="L39" s="20"/>
      <c r="M39" s="70"/>
      <c r="N39" s="2"/>
      <c r="O39" s="228">
        <v>153</v>
      </c>
    </row>
    <row r="40" spans="1:15" ht="15">
      <c r="A40" s="174" t="s">
        <v>48</v>
      </c>
      <c r="B40" s="71"/>
      <c r="C40" s="72"/>
      <c r="D40" s="40"/>
      <c r="E40" s="27"/>
      <c r="F40" s="108" t="s">
        <v>49</v>
      </c>
      <c r="G40" s="29">
        <v>37.5277</v>
      </c>
      <c r="H40" s="29">
        <v>0.08124098</v>
      </c>
      <c r="I40" s="91">
        <v>-5.437278E-05</v>
      </c>
      <c r="J40" s="29"/>
      <c r="K40" s="29"/>
      <c r="L40" s="29"/>
      <c r="M40" s="75"/>
      <c r="N40" s="2"/>
      <c r="O40" s="23">
        <v>747.0734109508014</v>
      </c>
    </row>
    <row r="41" spans="1:15" ht="15.75" thickBot="1">
      <c r="A41" s="172"/>
      <c r="B41" s="92"/>
      <c r="C41" s="93"/>
      <c r="D41" s="45"/>
      <c r="E41" s="46"/>
      <c r="F41" s="94" t="s">
        <v>50</v>
      </c>
      <c r="G41" s="48">
        <v>67.87</v>
      </c>
      <c r="H41" s="48"/>
      <c r="I41" s="48"/>
      <c r="J41" s="48"/>
      <c r="K41" s="48"/>
      <c r="L41" s="48"/>
      <c r="M41" s="109"/>
      <c r="N41" s="2"/>
      <c r="O41" s="23"/>
    </row>
    <row r="42" spans="1:15" ht="15.75" thickBot="1">
      <c r="A42" s="183" t="s">
        <v>51</v>
      </c>
      <c r="B42" s="184"/>
      <c r="C42" s="184"/>
      <c r="D42" s="185">
        <f>12/D39*I42</f>
        <v>4617.09120788825</v>
      </c>
      <c r="E42" s="51" t="s">
        <v>23</v>
      </c>
      <c r="F42" s="52" t="s">
        <v>24</v>
      </c>
      <c r="G42" s="53">
        <v>0</v>
      </c>
      <c r="H42" s="52" t="s">
        <v>25</v>
      </c>
      <c r="I42" s="54">
        <v>18730</v>
      </c>
      <c r="J42" s="110"/>
      <c r="K42" s="110"/>
      <c r="L42" s="110"/>
      <c r="M42" s="111"/>
      <c r="N42" s="2"/>
      <c r="O42" s="87"/>
    </row>
    <row r="43" spans="2:15" ht="15">
      <c r="B43" s="100"/>
      <c r="C43" s="112"/>
      <c r="D43" s="100"/>
      <c r="E43" s="113"/>
      <c r="F43" s="114"/>
      <c r="G43" s="115"/>
      <c r="H43" s="114"/>
      <c r="I43" s="116"/>
      <c r="J43" s="104"/>
      <c r="K43" s="104"/>
      <c r="L43" s="104"/>
      <c r="M43" s="104"/>
      <c r="N43" s="117"/>
      <c r="O43" s="118"/>
    </row>
    <row r="44" spans="1:15" ht="16.5" thickBot="1">
      <c r="A44" s="8" t="s">
        <v>52</v>
      </c>
      <c r="B44" s="99"/>
      <c r="C44" s="100"/>
      <c r="D44" s="101"/>
      <c r="E44" s="102"/>
      <c r="F44" s="104"/>
      <c r="G44" s="104"/>
      <c r="H44" s="104"/>
      <c r="I44" s="104"/>
      <c r="J44" s="104"/>
      <c r="K44" s="104"/>
      <c r="L44" s="104"/>
      <c r="M44" s="104"/>
      <c r="N44" s="100"/>
      <c r="O44" s="119"/>
    </row>
    <row r="45" spans="1:15" ht="15.75" thickBot="1">
      <c r="A45" s="179" t="s">
        <v>53</v>
      </c>
      <c r="B45" s="66" t="s">
        <v>15</v>
      </c>
      <c r="C45" s="16">
        <v>20</v>
      </c>
      <c r="D45" s="17">
        <f>ROUND(IF(C45&lt;O45,G45,IF(C45&lt;O46,G46+H46*C45+I46*C45^2+J46*C45^3+K46*C45^4+L46*C45^5+M46*C45^6,G47)),2)</f>
        <v>29.84</v>
      </c>
      <c r="E45" s="18">
        <f>ROUND(C45/D45,2)</f>
        <v>0.67</v>
      </c>
      <c r="F45" s="68" t="s">
        <v>54</v>
      </c>
      <c r="G45" s="120">
        <v>29.21</v>
      </c>
      <c r="H45" s="20"/>
      <c r="I45" s="20"/>
      <c r="J45" s="105"/>
      <c r="K45" s="105"/>
      <c r="L45" s="105"/>
      <c r="M45" s="70"/>
      <c r="N45" s="2"/>
      <c r="O45" s="23">
        <v>10</v>
      </c>
    </row>
    <row r="46" spans="1:15" ht="15">
      <c r="A46" s="171"/>
      <c r="B46" s="121"/>
      <c r="C46" s="173"/>
      <c r="D46" s="122"/>
      <c r="E46" s="27"/>
      <c r="F46" s="108" t="s">
        <v>98</v>
      </c>
      <c r="G46" s="123">
        <v>28.4586</v>
      </c>
      <c r="H46" s="124">
        <v>0.08175534</v>
      </c>
      <c r="I46" s="125">
        <v>-0.0006885195</v>
      </c>
      <c r="J46" s="127">
        <v>2.758635E-06</v>
      </c>
      <c r="K46" s="127">
        <v>-4.061738E-09</v>
      </c>
      <c r="L46" s="126"/>
      <c r="M46" s="128"/>
      <c r="N46" s="2"/>
      <c r="O46" s="23">
        <v>250</v>
      </c>
    </row>
    <row r="47" spans="1:15" ht="15.75" thickBot="1">
      <c r="A47" s="172"/>
      <c r="B47" s="92"/>
      <c r="C47" s="93"/>
      <c r="D47" s="45"/>
      <c r="E47" s="46"/>
      <c r="F47" s="129" t="s">
        <v>99</v>
      </c>
      <c r="G47" s="130">
        <v>33.1</v>
      </c>
      <c r="H47" s="48"/>
      <c r="I47" s="131"/>
      <c r="J47" s="132"/>
      <c r="K47" s="132"/>
      <c r="L47" s="133"/>
      <c r="M47" s="109"/>
      <c r="N47" s="2"/>
      <c r="O47" s="87"/>
    </row>
    <row r="48" spans="1:15" ht="15.75" thickBot="1">
      <c r="A48" s="183" t="s">
        <v>67</v>
      </c>
      <c r="B48" s="186"/>
      <c r="C48" s="187">
        <f>12/D45*G48</f>
        <v>12649.865951742628</v>
      </c>
      <c r="D48" s="51" t="s">
        <v>23</v>
      </c>
      <c r="E48" s="56"/>
      <c r="F48" s="52" t="s">
        <v>24</v>
      </c>
      <c r="G48" s="53">
        <v>31456</v>
      </c>
      <c r="H48" s="56"/>
      <c r="I48" s="56"/>
      <c r="J48" s="56"/>
      <c r="K48" s="56"/>
      <c r="L48" s="56"/>
      <c r="M48" s="57"/>
      <c r="N48" s="2"/>
      <c r="O48" s="134"/>
    </row>
    <row r="49" spans="2:15" ht="15">
      <c r="B49" s="100"/>
      <c r="C49" s="112"/>
      <c r="D49" s="100"/>
      <c r="E49" s="113"/>
      <c r="F49" s="114"/>
      <c r="G49" s="104"/>
      <c r="H49" s="113"/>
      <c r="I49" s="113"/>
      <c r="J49" s="113"/>
      <c r="K49" s="113"/>
      <c r="L49" s="113"/>
      <c r="M49" s="100"/>
      <c r="N49" s="117"/>
      <c r="O49" s="100"/>
    </row>
    <row r="50" spans="1:15" ht="27.75" customHeight="1" thickBot="1">
      <c r="A50" s="8" t="s">
        <v>90</v>
      </c>
      <c r="B50" s="99"/>
      <c r="C50" s="100"/>
      <c r="D50" s="101"/>
      <c r="E50" s="102"/>
      <c r="F50" s="103"/>
      <c r="G50" s="104"/>
      <c r="H50" s="104"/>
      <c r="I50" s="104"/>
      <c r="J50" s="104"/>
      <c r="K50" s="104"/>
      <c r="L50" s="104"/>
      <c r="M50" s="104"/>
      <c r="N50" s="100"/>
      <c r="O50" s="119"/>
    </row>
    <row r="51" spans="1:15" ht="15">
      <c r="A51" s="175" t="s">
        <v>70</v>
      </c>
      <c r="B51" s="135" t="s">
        <v>19</v>
      </c>
      <c r="C51" s="136">
        <v>150</v>
      </c>
      <c r="D51" s="17">
        <f>ROUND(IF(C51&lt;O51,G51+H51*C51+I51*C51^2+J51*C51^3+K51*C51^4+L51*C51^5,G52+H52*C51+I52*C51^2+J52*C51^3+K52*C51^4+L52*C51^5),2)</f>
        <v>49.54</v>
      </c>
      <c r="E51" s="137">
        <f>ROUND(C51/D51,2)</f>
        <v>3.03</v>
      </c>
      <c r="F51" s="107" t="s">
        <v>55</v>
      </c>
      <c r="G51" s="227">
        <v>32.562</v>
      </c>
      <c r="H51" s="138">
        <v>0.136172</v>
      </c>
      <c r="I51" s="139">
        <v>-0.0001634229</v>
      </c>
      <c r="J51" s="140">
        <v>6.879604E-08</v>
      </c>
      <c r="K51" s="141">
        <v>0</v>
      </c>
      <c r="L51" s="20">
        <v>0</v>
      </c>
      <c r="M51" s="70">
        <v>0</v>
      </c>
      <c r="N51" s="2"/>
      <c r="O51" s="23">
        <v>1067</v>
      </c>
    </row>
    <row r="52" spans="2:15" ht="15.75" thickBot="1">
      <c r="B52" s="142"/>
      <c r="C52" s="44"/>
      <c r="D52" s="143"/>
      <c r="E52" s="144"/>
      <c r="F52" s="94" t="s">
        <v>56</v>
      </c>
      <c r="G52" s="145">
        <v>75.37</v>
      </c>
      <c r="H52" s="146"/>
      <c r="I52" s="146"/>
      <c r="J52" s="146"/>
      <c r="K52" s="147"/>
      <c r="L52" s="48"/>
      <c r="M52" s="109"/>
      <c r="N52" s="2"/>
      <c r="O52" s="148"/>
    </row>
    <row r="53" spans="1:15" ht="15.75" thickBot="1">
      <c r="A53" s="183" t="s">
        <v>69</v>
      </c>
      <c r="B53" s="184"/>
      <c r="C53" s="184"/>
      <c r="D53" s="185">
        <f>12/D51*I53</f>
        <v>4655.389584174404</v>
      </c>
      <c r="E53" s="51" t="s">
        <v>23</v>
      </c>
      <c r="F53" s="52" t="s">
        <v>24</v>
      </c>
      <c r="G53" s="53">
        <v>0</v>
      </c>
      <c r="H53" s="52" t="s">
        <v>25</v>
      </c>
      <c r="I53" s="54">
        <v>19219</v>
      </c>
      <c r="J53" s="55"/>
      <c r="K53" s="56"/>
      <c r="L53" s="56"/>
      <c r="M53" s="57"/>
      <c r="N53" s="2"/>
      <c r="O53" s="87"/>
    </row>
    <row r="54" spans="1:15" ht="25.5" customHeight="1" thickBot="1">
      <c r="A54" s="8" t="s">
        <v>89</v>
      </c>
      <c r="B54" s="2"/>
      <c r="C54" s="2"/>
      <c r="D54" s="2"/>
      <c r="E54" s="3"/>
      <c r="F54" s="4"/>
      <c r="G54" s="3"/>
      <c r="H54" s="3"/>
      <c r="I54" s="3"/>
      <c r="J54" s="3"/>
      <c r="K54" s="3"/>
      <c r="L54" s="3"/>
      <c r="M54" s="2"/>
      <c r="N54" s="2"/>
      <c r="O54" s="88"/>
    </row>
    <row r="55" spans="1:15" ht="15.75" thickBot="1">
      <c r="A55" s="175" t="s">
        <v>58</v>
      </c>
      <c r="B55" s="149" t="s">
        <v>19</v>
      </c>
      <c r="C55" s="150">
        <v>53</v>
      </c>
      <c r="D55" s="151">
        <f>ROUND(G55+H55*C55+I55*C55^2+J55*C55^3+K55*C55^4+L55*C55^5,2)</f>
        <v>31.07</v>
      </c>
      <c r="E55" s="152">
        <f>ROUND(C55/D55,2)</f>
        <v>1.71</v>
      </c>
      <c r="F55" s="153"/>
      <c r="G55" s="154">
        <v>16.8117</v>
      </c>
      <c r="H55" s="155">
        <v>0.3633883</v>
      </c>
      <c r="I55" s="156">
        <v>-0.002012071</v>
      </c>
      <c r="J55" s="140">
        <v>4.370433E-06</v>
      </c>
      <c r="K55" s="157">
        <v>0</v>
      </c>
      <c r="L55" s="157">
        <v>0</v>
      </c>
      <c r="M55" s="158">
        <v>0</v>
      </c>
      <c r="N55" s="2"/>
      <c r="O55" s="159"/>
    </row>
    <row r="56" spans="1:15" ht="15.75" thickBot="1">
      <c r="A56" s="183" t="s">
        <v>69</v>
      </c>
      <c r="B56" s="184"/>
      <c r="C56" s="184"/>
      <c r="D56" s="185">
        <f>12/D55*I56</f>
        <v>7422.8516253620855</v>
      </c>
      <c r="E56" s="51" t="s">
        <v>23</v>
      </c>
      <c r="F56" s="52" t="s">
        <v>24</v>
      </c>
      <c r="G56" s="53">
        <v>0</v>
      </c>
      <c r="H56" s="52" t="s">
        <v>25</v>
      </c>
      <c r="I56" s="54">
        <v>19219</v>
      </c>
      <c r="J56" s="55"/>
      <c r="K56" s="56"/>
      <c r="L56" s="56"/>
      <c r="M56" s="57"/>
      <c r="N56" s="2"/>
      <c r="O56" s="160"/>
    </row>
    <row r="57" spans="2:15" ht="15">
      <c r="B57" s="100"/>
      <c r="C57" s="112"/>
      <c r="D57" s="100"/>
      <c r="E57" s="113"/>
      <c r="F57" s="114"/>
      <c r="G57" s="115"/>
      <c r="H57" s="114"/>
      <c r="I57" s="116"/>
      <c r="J57" s="161"/>
      <c r="K57" s="113"/>
      <c r="L57" s="113"/>
      <c r="M57" s="100"/>
      <c r="N57" s="117"/>
      <c r="O57" s="118"/>
    </row>
    <row r="58" spans="1:15" ht="20.25" customHeight="1" thickBot="1">
      <c r="A58" s="8" t="s">
        <v>59</v>
      </c>
      <c r="B58" s="2"/>
      <c r="C58" s="2"/>
      <c r="D58" s="162"/>
      <c r="E58" s="163"/>
      <c r="F58" s="4"/>
      <c r="G58" s="164"/>
      <c r="H58" s="2"/>
      <c r="I58" s="2"/>
      <c r="J58" s="2"/>
      <c r="K58" s="2"/>
      <c r="L58" s="2"/>
      <c r="M58" s="2"/>
      <c r="N58" s="2"/>
      <c r="O58" s="2"/>
    </row>
    <row r="59" spans="1:15" ht="15">
      <c r="A59" s="175" t="s">
        <v>63</v>
      </c>
      <c r="B59" s="66" t="s">
        <v>15</v>
      </c>
      <c r="C59" s="248">
        <v>50</v>
      </c>
      <c r="D59" s="17">
        <f>ROUND(IF(C59&lt;O59,G59,IF(C59&lt;O60,G60+H60*C59+I60*C59^2+J60*C59^3+K60*C59^4+L60*C59^5+M60*C59^6,G61)),2)</f>
        <v>13.31</v>
      </c>
      <c r="E59" s="137">
        <f>ROUND(C59/D59,2)</f>
        <v>3.76</v>
      </c>
      <c r="F59" s="107" t="s">
        <v>60</v>
      </c>
      <c r="G59" s="165">
        <v>9.66</v>
      </c>
      <c r="H59" s="166"/>
      <c r="I59" s="20"/>
      <c r="J59" s="140"/>
      <c r="K59" s="140"/>
      <c r="L59" s="140"/>
      <c r="M59" s="70"/>
      <c r="N59" s="2"/>
      <c r="O59" s="23">
        <v>20</v>
      </c>
    </row>
    <row r="60" spans="2:15" ht="15">
      <c r="B60" s="121"/>
      <c r="C60" s="25"/>
      <c r="D60" s="122"/>
      <c r="E60" s="167"/>
      <c r="F60" s="108" t="s">
        <v>61</v>
      </c>
      <c r="G60" s="226">
        <v>6.4337</v>
      </c>
      <c r="H60" s="229">
        <v>0.1795252</v>
      </c>
      <c r="I60" s="125">
        <v>-0.0009625689</v>
      </c>
      <c r="J60" s="127">
        <v>2.656191E-06</v>
      </c>
      <c r="K60" s="127">
        <v>-3.625607E-09</v>
      </c>
      <c r="L60" s="127">
        <v>1.907229E-12</v>
      </c>
      <c r="M60" s="128"/>
      <c r="N60" s="2"/>
      <c r="O60" s="23">
        <v>405</v>
      </c>
    </row>
    <row r="61" spans="2:15" ht="15.75" thickBot="1">
      <c r="B61" s="168"/>
      <c r="C61" s="44"/>
      <c r="D61" s="143"/>
      <c r="E61" s="144"/>
      <c r="F61" s="94" t="s">
        <v>62</v>
      </c>
      <c r="G61" s="169">
        <v>20.94</v>
      </c>
      <c r="H61" s="146"/>
      <c r="I61" s="146"/>
      <c r="J61" s="146"/>
      <c r="K61" s="147"/>
      <c r="L61" s="48"/>
      <c r="M61" s="109"/>
      <c r="N61" s="2"/>
      <c r="O61" s="160"/>
    </row>
    <row r="62" spans="1:15" ht="15.75" thickBot="1">
      <c r="A62" s="183" t="s">
        <v>68</v>
      </c>
      <c r="B62" s="184"/>
      <c r="C62" s="185">
        <f>12/D59*G62</f>
        <v>29748.45980465815</v>
      </c>
      <c r="D62" s="188">
        <f>12/27.69*I62</f>
        <v>8377.464788732395</v>
      </c>
      <c r="E62" s="51" t="s">
        <v>23</v>
      </c>
      <c r="F62" s="52" t="s">
        <v>24</v>
      </c>
      <c r="G62" s="53">
        <v>32996</v>
      </c>
      <c r="H62" s="52" t="s">
        <v>25</v>
      </c>
      <c r="I62" s="54">
        <v>19331</v>
      </c>
      <c r="J62" s="55"/>
      <c r="K62" s="56"/>
      <c r="L62" s="56"/>
      <c r="M62" s="57"/>
      <c r="N62" s="2"/>
      <c r="O62" s="2"/>
    </row>
  </sheetData>
  <sheetProtection sheet="1"/>
  <printOptions/>
  <pageMargins left="0.7" right="0.7" top="0.52" bottom="0.5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="90" zoomScaleNormal="90" zoomScalePageLayoutView="0" workbookViewId="0" topLeftCell="A1">
      <selection activeCell="C9" sqref="C9"/>
    </sheetView>
  </sheetViews>
  <sheetFormatPr defaultColWidth="9.140625" defaultRowHeight="15"/>
  <cols>
    <col min="1" max="1" width="19.00390625" style="0" customWidth="1"/>
    <col min="2" max="2" width="7.57421875" style="0" customWidth="1"/>
    <col min="3" max="3" width="9.57421875" style="0" customWidth="1"/>
    <col min="5" max="5" width="11.140625" style="0" customWidth="1"/>
    <col min="9" max="9" width="12.7109375" style="0" customWidth="1"/>
    <col min="10" max="10" width="11.57421875" style="0" customWidth="1"/>
  </cols>
  <sheetData>
    <row r="1" ht="18.75">
      <c r="A1" s="220" t="s">
        <v>91</v>
      </c>
    </row>
    <row r="2" ht="18.75">
      <c r="A2" s="220"/>
    </row>
    <row r="3" spans="1:7" ht="15.75" thickBot="1">
      <c r="A3" s="222" t="s">
        <v>92</v>
      </c>
      <c r="G3" t="s">
        <v>94</v>
      </c>
    </row>
    <row r="4" spans="1:7" ht="15.75" thickBot="1">
      <c r="A4" s="222" t="s">
        <v>93</v>
      </c>
      <c r="C4" s="203" t="s">
        <v>78</v>
      </c>
      <c r="D4" s="204" t="s">
        <v>19</v>
      </c>
      <c r="E4" s="205" t="s">
        <v>80</v>
      </c>
      <c r="F4" s="202" t="s">
        <v>81</v>
      </c>
      <c r="G4" t="s">
        <v>95</v>
      </c>
    </row>
    <row r="5" spans="1:7" ht="15">
      <c r="A5" s="221" t="s">
        <v>73</v>
      </c>
      <c r="C5" s="214">
        <v>0</v>
      </c>
      <c r="D5" s="206">
        <f>IF(C5=0,"",D24)</f>
      </c>
      <c r="E5" s="207">
        <f>IF(D5&lt;&gt;"",ROUND(C5/D5,2),"")</f>
      </c>
      <c r="F5">
        <v>19219</v>
      </c>
      <c r="G5" s="244">
        <f>IF(D5&lt;&gt;"",ROUND(E5*0.012*F5,3),0)</f>
        <v>0</v>
      </c>
    </row>
    <row r="6" spans="1:7" ht="15">
      <c r="A6" s="221" t="s">
        <v>74</v>
      </c>
      <c r="C6" s="215">
        <v>341</v>
      </c>
      <c r="D6" s="206">
        <f>IF(C6=0,"",D$20)</f>
        <v>75.37</v>
      </c>
      <c r="E6" s="208">
        <f aca="true" t="shared" si="0" ref="E6:E13">IF(D6&lt;&gt;"",ROUND(C6/D6,2),"")</f>
        <v>4.52</v>
      </c>
      <c r="F6">
        <v>19219</v>
      </c>
      <c r="G6" s="245">
        <f aca="true" t="shared" si="1" ref="G6:G13">IF(D6&lt;&gt;"",ROUND(E6*0.012*F6,3),0)</f>
        <v>1042.439</v>
      </c>
    </row>
    <row r="7" spans="1:7" ht="15">
      <c r="A7" s="221" t="s">
        <v>75</v>
      </c>
      <c r="C7" s="215">
        <v>802</v>
      </c>
      <c r="D7" s="206">
        <f>IF(C7=0,"",D$20)</f>
        <v>75.37</v>
      </c>
      <c r="E7" s="208">
        <f t="shared" si="0"/>
        <v>10.64</v>
      </c>
      <c r="F7">
        <v>19219</v>
      </c>
      <c r="G7" s="245">
        <f t="shared" si="1"/>
        <v>2453.882</v>
      </c>
    </row>
    <row r="8" spans="1:7" ht="15">
      <c r="A8" s="221" t="s">
        <v>82</v>
      </c>
      <c r="C8" s="215">
        <v>0</v>
      </c>
      <c r="D8" s="206">
        <f>IF(C8+C9=0,"",D28)</f>
        <v>26.25</v>
      </c>
      <c r="E8" s="208">
        <f t="shared" si="0"/>
        <v>0</v>
      </c>
      <c r="F8">
        <v>19479</v>
      </c>
      <c r="G8" s="245">
        <f t="shared" si="1"/>
        <v>0</v>
      </c>
    </row>
    <row r="9" spans="1:7" ht="15">
      <c r="A9" s="221" t="s">
        <v>83</v>
      </c>
      <c r="C9" s="215">
        <v>58</v>
      </c>
      <c r="D9" s="206">
        <f>IF(C8+C9=0,"",D28)</f>
        <v>26.25</v>
      </c>
      <c r="E9" s="208">
        <f t="shared" si="0"/>
        <v>2.21</v>
      </c>
      <c r="F9">
        <v>19479</v>
      </c>
      <c r="G9" s="245">
        <f t="shared" si="1"/>
        <v>516.583</v>
      </c>
    </row>
    <row r="10" spans="1:7" ht="15">
      <c r="A10" s="221" t="s">
        <v>84</v>
      </c>
      <c r="C10" s="215">
        <v>0</v>
      </c>
      <c r="D10" s="206">
        <f>IF(C10+C11=0,"",D34)</f>
        <v>37.01</v>
      </c>
      <c r="E10" s="208">
        <f t="shared" si="0"/>
        <v>0</v>
      </c>
      <c r="F10">
        <v>19479</v>
      </c>
      <c r="G10" s="245">
        <f t="shared" si="1"/>
        <v>0</v>
      </c>
    </row>
    <row r="11" spans="1:7" ht="15">
      <c r="A11" s="221" t="s">
        <v>85</v>
      </c>
      <c r="C11" s="215">
        <v>100</v>
      </c>
      <c r="D11" s="206">
        <f>IF(C10+C11=0,"",D34)</f>
        <v>37.01</v>
      </c>
      <c r="E11" s="208">
        <f t="shared" si="0"/>
        <v>2.7</v>
      </c>
      <c r="F11">
        <v>19479</v>
      </c>
      <c r="G11" s="245">
        <f t="shared" si="1"/>
        <v>631.12</v>
      </c>
    </row>
    <row r="12" spans="1:7" ht="15">
      <c r="A12" s="221" t="s">
        <v>87</v>
      </c>
      <c r="C12" s="215">
        <v>0</v>
      </c>
      <c r="D12" s="206">
        <f>IF(C12=0,"",D$24/0.67)</f>
      </c>
      <c r="E12" s="208">
        <f t="shared" si="0"/>
      </c>
      <c r="F12">
        <v>19219</v>
      </c>
      <c r="G12" s="245">
        <f t="shared" si="1"/>
        <v>0</v>
      </c>
    </row>
    <row r="13" spans="1:7" ht="15.75" thickBot="1">
      <c r="A13" s="221" t="s">
        <v>88</v>
      </c>
      <c r="C13" s="216">
        <v>219</v>
      </c>
      <c r="D13" s="206">
        <f>IF(C13=0,"",D$20/0.7)</f>
        <v>107.67142857142858</v>
      </c>
      <c r="E13" s="209">
        <f t="shared" si="0"/>
        <v>2.03</v>
      </c>
      <c r="F13">
        <v>19219</v>
      </c>
      <c r="G13" s="246">
        <f t="shared" si="1"/>
        <v>468.175</v>
      </c>
    </row>
    <row r="14" spans="1:7" ht="15">
      <c r="A14" s="175" t="s">
        <v>86</v>
      </c>
      <c r="B14" s="175"/>
      <c r="C14" s="175"/>
      <c r="D14" s="223"/>
      <c r="E14" s="224">
        <f>SUM(E5:E13)</f>
        <v>22.1</v>
      </c>
      <c r="F14" s="175"/>
      <c r="G14" s="247">
        <f>SUM(G5:G13)</f>
        <v>5112.1990000000005</v>
      </c>
    </row>
    <row r="15" ht="15">
      <c r="A15" s="217" t="s">
        <v>100</v>
      </c>
    </row>
    <row r="16" ht="15.75" thickBot="1"/>
    <row r="17" spans="1:15" ht="25.5">
      <c r="A17" s="180" t="s">
        <v>64</v>
      </c>
      <c r="B17" s="181" t="s">
        <v>71</v>
      </c>
      <c r="C17" s="182" t="s">
        <v>1</v>
      </c>
      <c r="D17" s="190" t="s">
        <v>79</v>
      </c>
      <c r="E17" s="191" t="s">
        <v>3</v>
      </c>
      <c r="F17" s="189" t="s">
        <v>4</v>
      </c>
      <c r="G17" s="192" t="s">
        <v>5</v>
      </c>
      <c r="H17" s="193" t="s">
        <v>6</v>
      </c>
      <c r="I17" s="193" t="s">
        <v>7</v>
      </c>
      <c r="J17" s="193" t="s">
        <v>8</v>
      </c>
      <c r="K17" s="193" t="s">
        <v>9</v>
      </c>
      <c r="L17" s="193" t="s">
        <v>10</v>
      </c>
      <c r="M17" s="193" t="s">
        <v>11</v>
      </c>
      <c r="N17" s="6"/>
      <c r="O17" s="7" t="s">
        <v>12</v>
      </c>
    </row>
    <row r="19" spans="1:13" ht="16.5" thickBot="1">
      <c r="A19" s="8" t="s">
        <v>72</v>
      </c>
      <c r="B19" s="99"/>
      <c r="C19" s="100"/>
      <c r="D19" s="101"/>
      <c r="E19" s="102"/>
      <c r="F19" s="103"/>
      <c r="G19" s="104"/>
      <c r="H19" s="104"/>
      <c r="I19" s="104"/>
      <c r="J19" s="104"/>
      <c r="K19" s="104"/>
      <c r="L19" s="104"/>
      <c r="M19" s="104"/>
    </row>
    <row r="20" spans="1:15" ht="15">
      <c r="A20" s="175" t="s">
        <v>76</v>
      </c>
      <c r="B20" s="135" t="s">
        <v>19</v>
      </c>
      <c r="C20" s="218">
        <f>C5+C6+C7+C8+C9+C10+C11+0.67*C12+0.7*C13</f>
        <v>1454.3</v>
      </c>
      <c r="D20" s="212">
        <f>ROUND(IF(C20&lt;O20,G20+H20*C20+I20*C20^2+J20*C20^3+K20*C20^4+L20*C20^5,G21+H21*C20+I21*C20^2+J21*C20^3+K21*C20^4+L21*C20^5),2)</f>
        <v>75.37</v>
      </c>
      <c r="E20" s="210"/>
      <c r="F20" s="107" t="s">
        <v>55</v>
      </c>
      <c r="G20" s="227">
        <v>32.562</v>
      </c>
      <c r="H20" s="138">
        <v>0.136172</v>
      </c>
      <c r="I20" s="139">
        <v>-0.0001634229</v>
      </c>
      <c r="J20" s="140">
        <v>6.879604E-08</v>
      </c>
      <c r="K20" s="141">
        <v>0</v>
      </c>
      <c r="L20" s="20">
        <v>0</v>
      </c>
      <c r="M20" s="70">
        <v>0</v>
      </c>
      <c r="O20" s="23">
        <v>1067</v>
      </c>
    </row>
    <row r="21" spans="2:15" ht="15.75" thickBot="1">
      <c r="B21" s="142"/>
      <c r="C21" s="72"/>
      <c r="D21" s="143"/>
      <c r="E21" s="144"/>
      <c r="F21" s="94" t="s">
        <v>56</v>
      </c>
      <c r="G21" s="145">
        <v>75.37</v>
      </c>
      <c r="H21" s="146"/>
      <c r="I21" s="146"/>
      <c r="J21" s="146"/>
      <c r="K21" s="147"/>
      <c r="L21" s="48"/>
      <c r="M21" s="109"/>
      <c r="O21" s="148"/>
    </row>
    <row r="22" spans="1:15" ht="15.75" thickBot="1">
      <c r="A22" s="183" t="s">
        <v>69</v>
      </c>
      <c r="B22" s="184"/>
      <c r="C22" s="184"/>
      <c r="D22" s="185">
        <f>12/D20*I22</f>
        <v>3059.9442749104414</v>
      </c>
      <c r="E22" s="51" t="s">
        <v>23</v>
      </c>
      <c r="F22" s="52" t="s">
        <v>24</v>
      </c>
      <c r="G22" s="53">
        <v>0</v>
      </c>
      <c r="H22" s="52" t="s">
        <v>25</v>
      </c>
      <c r="I22" s="54">
        <v>19219</v>
      </c>
      <c r="J22" s="55"/>
      <c r="K22" s="56"/>
      <c r="L22" s="56"/>
      <c r="M22" s="57"/>
      <c r="O22" s="87"/>
    </row>
    <row r="23" spans="1:15" ht="16.5" thickBot="1">
      <c r="A23" s="194" t="s">
        <v>57</v>
      </c>
      <c r="B23" s="2"/>
      <c r="C23" s="2"/>
      <c r="D23" s="2"/>
      <c r="E23" s="3"/>
      <c r="F23" s="4"/>
      <c r="G23" s="3"/>
      <c r="H23" s="3"/>
      <c r="I23" s="3"/>
      <c r="J23" s="3"/>
      <c r="K23" s="3"/>
      <c r="L23" s="3"/>
      <c r="M23" s="2"/>
      <c r="O23" s="88"/>
    </row>
    <row r="24" spans="1:15" ht="15.75" thickBot="1">
      <c r="A24" s="195" t="s">
        <v>77</v>
      </c>
      <c r="B24" s="196" t="s">
        <v>19</v>
      </c>
      <c r="C24" s="219">
        <f>C5+C8+C10+C12*0.67</f>
        <v>0</v>
      </c>
      <c r="D24" s="213">
        <f>ROUND(G24+H24*C24+I24*C24^2+J24*C24^3+K24*C24^4+L24*C24^5,2)</f>
        <v>16.81</v>
      </c>
      <c r="E24" s="211"/>
      <c r="F24" s="63"/>
      <c r="G24" s="197">
        <v>16.8117</v>
      </c>
      <c r="H24" s="198">
        <v>0.3633883</v>
      </c>
      <c r="I24" s="199">
        <v>-0.002012071</v>
      </c>
      <c r="J24" s="230">
        <v>4.370433E-06</v>
      </c>
      <c r="K24" s="200">
        <v>0</v>
      </c>
      <c r="L24" s="200">
        <v>0</v>
      </c>
      <c r="M24" s="201">
        <v>0</v>
      </c>
      <c r="O24" s="159"/>
    </row>
    <row r="25" spans="1:15" ht="15.75" thickBot="1">
      <c r="A25" s="183" t="s">
        <v>69</v>
      </c>
      <c r="B25" s="184"/>
      <c r="C25" s="184"/>
      <c r="D25" s="185">
        <f>12/D24*I25</f>
        <v>13719.690660321237</v>
      </c>
      <c r="E25" s="51" t="s">
        <v>23</v>
      </c>
      <c r="F25" s="52" t="s">
        <v>24</v>
      </c>
      <c r="G25" s="53">
        <v>0</v>
      </c>
      <c r="H25" s="52" t="s">
        <v>25</v>
      </c>
      <c r="I25" s="54">
        <v>19219</v>
      </c>
      <c r="J25" s="55"/>
      <c r="K25" s="56"/>
      <c r="L25" s="56"/>
      <c r="M25" s="57"/>
      <c r="O25" s="160"/>
    </row>
    <row r="26" spans="1:1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6.5" thickBot="1">
      <c r="A27" s="8" t="s">
        <v>110</v>
      </c>
      <c r="B27" s="99"/>
      <c r="C27" s="100"/>
      <c r="D27" s="101"/>
      <c r="E27" s="102"/>
      <c r="F27" s="103"/>
      <c r="G27" s="104"/>
      <c r="H27" s="104"/>
      <c r="I27" s="104"/>
      <c r="J27" s="104"/>
      <c r="K27" s="104"/>
      <c r="L27" s="104"/>
      <c r="M27" s="104"/>
      <c r="N27" s="2"/>
      <c r="O27" s="2"/>
      <c r="P27" s="2"/>
    </row>
    <row r="28" spans="1:16" ht="15.75" thickBot="1">
      <c r="A28" s="249" t="s">
        <v>76</v>
      </c>
      <c r="B28" s="66" t="s">
        <v>19</v>
      </c>
      <c r="C28" s="250">
        <f>C8+C9</f>
        <v>58</v>
      </c>
      <c r="D28" s="17">
        <f>ROUND(IF(C28&lt;O28,G28,IF(C28&lt;O29,G29+H29*C28+I29*C28^2+J29*C28^3+K29*C28^4+L29*C28^5+M29*C28^6,G30)),2)</f>
        <v>26.25</v>
      </c>
      <c r="E28" s="18">
        <f>ROUND(C28/D28,2)</f>
        <v>2.21</v>
      </c>
      <c r="F28" s="68" t="s">
        <v>54</v>
      </c>
      <c r="G28" s="120">
        <v>23.84</v>
      </c>
      <c r="H28" s="20"/>
      <c r="I28" s="20"/>
      <c r="J28" s="105"/>
      <c r="K28" s="105"/>
      <c r="L28" s="105"/>
      <c r="M28" s="70"/>
      <c r="N28" s="2"/>
      <c r="O28" s="23">
        <v>10</v>
      </c>
      <c r="P28" s="2"/>
    </row>
    <row r="29" spans="1:16" ht="15">
      <c r="A29" s="251"/>
      <c r="B29" s="121"/>
      <c r="C29" s="72"/>
      <c r="D29" s="122"/>
      <c r="E29" s="27"/>
      <c r="F29" s="108" t="s">
        <v>108</v>
      </c>
      <c r="G29" s="123">
        <v>23.47</v>
      </c>
      <c r="H29" s="124">
        <v>0.03410427</v>
      </c>
      <c r="I29" s="125">
        <v>0.0003454347</v>
      </c>
      <c r="J29" s="127">
        <v>-1.86602E-06</v>
      </c>
      <c r="K29" s="127"/>
      <c r="L29" s="126"/>
      <c r="M29" s="128"/>
      <c r="N29" s="2"/>
      <c r="O29" s="23">
        <v>155</v>
      </c>
      <c r="P29" s="2"/>
    </row>
    <row r="30" spans="1:16" ht="15.75" thickBot="1">
      <c r="A30" s="252"/>
      <c r="B30" s="92"/>
      <c r="C30" s="93"/>
      <c r="D30" s="45"/>
      <c r="E30" s="46"/>
      <c r="F30" s="129" t="s">
        <v>107</v>
      </c>
      <c r="G30" s="130">
        <v>30.11</v>
      </c>
      <c r="H30" s="48"/>
      <c r="I30" s="131"/>
      <c r="J30" s="132"/>
      <c r="K30" s="132"/>
      <c r="L30" s="133"/>
      <c r="M30" s="109"/>
      <c r="N30" s="2"/>
      <c r="O30" s="87"/>
      <c r="P30" s="2"/>
    </row>
    <row r="31" spans="1:16" ht="15.75" thickBot="1">
      <c r="A31" s="183" t="s">
        <v>69</v>
      </c>
      <c r="B31" s="184"/>
      <c r="C31" s="184"/>
      <c r="D31" s="185">
        <f>12/D28*I31</f>
        <v>8904.685714285713</v>
      </c>
      <c r="E31" s="51" t="s">
        <v>23</v>
      </c>
      <c r="F31" s="52" t="s">
        <v>24</v>
      </c>
      <c r="G31" s="53">
        <v>0</v>
      </c>
      <c r="H31" s="52" t="s">
        <v>25</v>
      </c>
      <c r="I31" s="54">
        <v>19479</v>
      </c>
      <c r="J31" s="55"/>
      <c r="K31" s="56"/>
      <c r="L31" s="56"/>
      <c r="M31" s="57"/>
      <c r="N31" s="2"/>
      <c r="O31" s="160"/>
      <c r="P31" s="2"/>
    </row>
    <row r="32" spans="1:1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6.5" thickBot="1">
      <c r="A33" s="8" t="s">
        <v>109</v>
      </c>
      <c r="B33" s="99"/>
      <c r="C33" s="100"/>
      <c r="D33" s="101"/>
      <c r="E33" s="102"/>
      <c r="F33" s="103"/>
      <c r="G33" s="104"/>
      <c r="H33" s="104"/>
      <c r="I33" s="104"/>
      <c r="J33" s="104"/>
      <c r="K33" s="104"/>
      <c r="L33" s="104"/>
      <c r="M33" s="104"/>
      <c r="N33" s="2"/>
      <c r="O33" s="2"/>
      <c r="P33" s="2"/>
    </row>
    <row r="34" spans="1:16" ht="15.75" thickBot="1">
      <c r="A34" s="249" t="s">
        <v>76</v>
      </c>
      <c r="B34" s="66" t="s">
        <v>19</v>
      </c>
      <c r="C34" s="250">
        <f>C10+C11</f>
        <v>100</v>
      </c>
      <c r="D34" s="17">
        <f>ROUND(IF(C34&lt;O34,G34,IF(C34&lt;O35,G35+H35*C34+I35*C34^2+J35*C34^3+K35*C34^4+L35*C34^5+M35*C34^6,G36)),2)</f>
        <v>37.01</v>
      </c>
      <c r="E34" s="18">
        <f>ROUND(C34/D34,2)</f>
        <v>2.7</v>
      </c>
      <c r="F34" s="68" t="s">
        <v>54</v>
      </c>
      <c r="G34" s="120">
        <v>30.99</v>
      </c>
      <c r="H34" s="20"/>
      <c r="I34" s="20"/>
      <c r="J34" s="105"/>
      <c r="K34" s="105"/>
      <c r="L34" s="105"/>
      <c r="M34" s="70"/>
      <c r="N34" s="2"/>
      <c r="O34" s="23">
        <v>10</v>
      </c>
      <c r="P34" s="2"/>
    </row>
    <row r="35" spans="1:16" ht="15">
      <c r="A35" s="251"/>
      <c r="B35" s="121"/>
      <c r="C35" s="72"/>
      <c r="D35" s="122"/>
      <c r="E35" s="27"/>
      <c r="F35" s="108" t="s">
        <v>108</v>
      </c>
      <c r="G35" s="123">
        <v>30.511</v>
      </c>
      <c r="H35" s="124">
        <v>0.04433555</v>
      </c>
      <c r="I35" s="125">
        <v>0.0004490651</v>
      </c>
      <c r="J35" s="127">
        <v>-2.425826E-06</v>
      </c>
      <c r="K35" s="127"/>
      <c r="L35" s="126"/>
      <c r="M35" s="128"/>
      <c r="N35" s="2"/>
      <c r="O35" s="23">
        <v>155</v>
      </c>
      <c r="P35" s="2"/>
    </row>
    <row r="36" spans="1:16" ht="15.75" thickBot="1">
      <c r="A36" s="252"/>
      <c r="B36" s="92"/>
      <c r="C36" s="93"/>
      <c r="D36" s="45"/>
      <c r="E36" s="46"/>
      <c r="F36" s="129" t="s">
        <v>107</v>
      </c>
      <c r="G36" s="130">
        <v>39.14</v>
      </c>
      <c r="H36" s="48"/>
      <c r="I36" s="131"/>
      <c r="J36" s="132"/>
      <c r="K36" s="132"/>
      <c r="L36" s="133"/>
      <c r="M36" s="109"/>
      <c r="N36" s="2"/>
      <c r="O36" s="87"/>
      <c r="P36" s="2"/>
    </row>
    <row r="37" spans="1:16" ht="15.75" thickBot="1">
      <c r="A37" s="183" t="s">
        <v>69</v>
      </c>
      <c r="B37" s="184"/>
      <c r="C37" s="184"/>
      <c r="D37" s="185">
        <f>12/D34*I37</f>
        <v>6315.806538773304</v>
      </c>
      <c r="E37" s="51" t="s">
        <v>23</v>
      </c>
      <c r="F37" s="52" t="s">
        <v>24</v>
      </c>
      <c r="G37" s="53">
        <v>0</v>
      </c>
      <c r="H37" s="52" t="s">
        <v>25</v>
      </c>
      <c r="I37" s="54">
        <v>19479</v>
      </c>
      <c r="J37" s="55"/>
      <c r="K37" s="56"/>
      <c r="L37" s="56"/>
      <c r="M37" s="57"/>
      <c r="N37" s="2"/>
      <c r="O37" s="2"/>
      <c r="P37" s="2"/>
    </row>
    <row r="38" spans="1:1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</sheetData>
  <sheetProtection sheet="1"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2019-02-15T09:57:53Z</cp:lastPrinted>
  <dcterms:created xsi:type="dcterms:W3CDTF">2011-02-23T12:23:42Z</dcterms:created>
  <dcterms:modified xsi:type="dcterms:W3CDTF">2019-02-15T10:30:19Z</dcterms:modified>
  <cp:category/>
  <cp:version/>
  <cp:contentType/>
  <cp:contentStatus/>
</cp:coreProperties>
</file>